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7815" tabRatio="695"/>
  </bookViews>
  <sheets>
    <sheet name="General Settings" sheetId="29" r:id="rId1"/>
    <sheet name="1MSynthDepo" sheetId="44" r:id="rId2"/>
    <sheet name="3MSynthDepo" sheetId="43" r:id="rId3"/>
    <sheet name="6MSynthDepo" sheetId="39" r:id="rId4"/>
    <sheet name="1YSynthDepo" sheetId="46" r:id="rId5"/>
    <sheet name="RateHelpersFra" sheetId="34" r:id="rId6"/>
    <sheet name="SynthFra" sheetId="35" r:id="rId7"/>
    <sheet name="Contribution" sheetId="33" r:id="rId8"/>
    <sheet name="basis 3M" sheetId="42" r:id="rId9"/>
    <sheet name="basis 6M " sheetId="40" r:id="rId10"/>
    <sheet name="1M Swaps" sheetId="45" r:id="rId11"/>
  </sheets>
  <externalReferences>
    <externalReference r:id="rId12"/>
  </externalReferences>
  <definedNames>
    <definedName name="Accuracy" localSheetId="10">'1M Swaps'!$D$30</definedName>
    <definedName name="Accuracy">'General Settings'!$D$30</definedName>
    <definedName name="AllTriggers">'General Settings'!$J$18:$J$22</definedName>
    <definedName name="BasisInterpolation" localSheetId="10">'1M Swaps'!$D$37</definedName>
    <definedName name="BasisInterpolation">'General Settings'!$D$37</definedName>
    <definedName name="BasisInterpolator">'General Settings'!$D$38</definedName>
    <definedName name="Calendar">'General Settings'!$D$5</definedName>
    <definedName name="Conventions" localSheetId="10">'1M Swaps'!$R$3:$R$4</definedName>
    <definedName name="Currency">'General Settings'!$D$4</definedName>
    <definedName name="DayCounter" localSheetId="10">'1M Swaps'!$D$39</definedName>
    <definedName name="DayCounter">'General Settings'!$D$39</definedName>
    <definedName name="DayCounter1M" localSheetId="1">'1MSynthDepo'!$E$10</definedName>
    <definedName name="DayCounter1M" localSheetId="4">'1YSynthDepo'!$E$10</definedName>
    <definedName name="DayCounter3M" localSheetId="2">'3MSynthDepo'!$E$10</definedName>
    <definedName name="DayCounter6M" localSheetId="3">'6MSynthDepo'!$E$10</definedName>
    <definedName name="DayCounterOIS" localSheetId="1">'1MSynthDepo'!$E$11</definedName>
    <definedName name="DayCounterOIS" localSheetId="4">'1YSynthDepo'!$E$11</definedName>
    <definedName name="DayCounterOIS" localSheetId="2">'3MSynthDepo'!$E$11</definedName>
    <definedName name="DayCounterOIS" localSheetId="3">'6MSynthDepo'!$E$11</definedName>
    <definedName name="DayCounterON" localSheetId="1">'1MSynthDepo'!$E$12</definedName>
    <definedName name="DayCounterON" localSheetId="4">'1YSynthDepo'!$E$12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">'General Settings'!$D$36</definedName>
    <definedName name="IborTenor" localSheetId="10">'1M Swaps'!$D$28</definedName>
    <definedName name="IborTenor">'General Settings'!$D$28</definedName>
    <definedName name="IborType">'General Settings'!$D$6</definedName>
    <definedName name="InterestRatesTrigger">'General Settings'!$J$20</definedName>
    <definedName name="InterpolatorID" localSheetId="10">'1M Swaps'!$D$32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inDistance">RateHelpersFra!$J$2:$J$6</definedName>
    <definedName name="Months12M" localSheetId="7">Contribution!$A$25</definedName>
    <definedName name="Months1M" localSheetId="7">Contribution!$A$3</definedName>
    <definedName name="Months3M" localSheetId="7">Contribution!$A$8</definedName>
    <definedName name="Months6M" localSheetId="7">Contribution!$A$15</definedName>
    <definedName name="NDays" localSheetId="10">'1M Swaps'!$D$29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7">Contribution!$N$3:$N$84</definedName>
    <definedName name="QuoteLive" localSheetId="7">Contribution!$J$3:$J$84</definedName>
    <definedName name="QuoteStatic" localSheetId="7">Contribution!$L$3:$L$84</definedName>
    <definedName name="QuoteSuffix">'General Settings'!$J$10</definedName>
    <definedName name="RateHelpers">RateHelpersFra!$F$2:$F$6</definedName>
    <definedName name="RateHelpersIncluded">RateHelpersFra!$H$2:$H$6</definedName>
    <definedName name="RateHelpersPriority">RateHelpersFra!$I$2:$I$6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7">Contribution!$A$26</definedName>
    <definedName name="Tenor1M" localSheetId="7">Contribution!$A$4</definedName>
    <definedName name="Tenor3M" localSheetId="7">Contribution!$A$9</definedName>
    <definedName name="Tenor6M" localSheetId="7">Contribution!$A$16</definedName>
    <definedName name="TraitsID" localSheetId="10">'1M Swaps'!$D$31</definedName>
    <definedName name="TraitsID">'General Settings'!$D$31</definedName>
    <definedName name="Trigger">'General Settings'!$J$18</definedName>
    <definedName name="TriggerCounter">'General Settings'!$J$22</definedName>
    <definedName name="YieldCurve" localSheetId="10">'1M Swaps'!$D$40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C3" i="42" l="1"/>
  <c r="P13" i="46" l="1"/>
  <c r="P12" i="46"/>
  <c r="P7" i="46"/>
  <c r="P14" i="46" s="1"/>
  <c r="D7" i="46"/>
  <c r="D6" i="46"/>
  <c r="D5" i="46"/>
  <c r="P4" i="46"/>
  <c r="P11" i="46" s="1"/>
  <c r="P3" i="46"/>
  <c r="P10" i="46" s="1"/>
  <c r="D3" i="46"/>
  <c r="O34" i="45"/>
  <c r="O33" i="45" l="1"/>
  <c r="O32" i="45"/>
  <c r="O31" i="45"/>
  <c r="J5" i="45" l="1"/>
  <c r="J6" i="45"/>
  <c r="J7" i="45"/>
  <c r="J8" i="45"/>
  <c r="J9" i="45"/>
  <c r="J4" i="45"/>
  <c r="S26" i="45"/>
  <c r="P26" i="45"/>
  <c r="S25" i="45"/>
  <c r="P25" i="45"/>
  <c r="K1" i="45"/>
  <c r="K5" i="45"/>
  <c r="K8" i="45"/>
  <c r="K7" i="45"/>
  <c r="R7" i="45"/>
  <c r="N5" i="45"/>
  <c r="L8" i="45"/>
  <c r="S7" i="45"/>
  <c r="R5" i="45"/>
  <c r="L1" i="45"/>
  <c r="S5" i="45"/>
  <c r="K6" i="45"/>
  <c r="L5" i="45"/>
  <c r="R6" i="45"/>
  <c r="K4" i="45"/>
  <c r="K9" i="45"/>
  <c r="S8" i="45"/>
  <c r="R8" i="45"/>
  <c r="N8" i="45"/>
  <c r="N7" i="45"/>
  <c r="L7" i="45"/>
  <c r="N6" i="45"/>
  <c r="L6" i="45"/>
  <c r="S6" i="45"/>
  <c r="L4" i="45"/>
  <c r="S4" i="45"/>
  <c r="R4" i="45"/>
  <c r="N4" i="45"/>
  <c r="R9" i="45"/>
  <c r="L9" i="45"/>
  <c r="N9" i="45"/>
  <c r="S9" i="45"/>
  <c r="P13" i="44" l="1"/>
  <c r="P12" i="44"/>
  <c r="P7" i="44"/>
  <c r="P14" i="44" s="1"/>
  <c r="D7" i="44"/>
  <c r="D6" i="44"/>
  <c r="D5" i="44"/>
  <c r="P4" i="44"/>
  <c r="P11" i="44" s="1"/>
  <c r="P3" i="44"/>
  <c r="P10" i="44" s="1"/>
  <c r="D3" i="44"/>
  <c r="P7" i="43" l="1"/>
  <c r="P14" i="43" s="1"/>
  <c r="P4" i="43"/>
  <c r="P11" i="43" s="1"/>
  <c r="P3" i="43"/>
  <c r="P10" i="43" s="1"/>
  <c r="P13" i="43"/>
  <c r="P12" i="43"/>
  <c r="D3" i="43"/>
  <c r="P4" i="39" l="1"/>
  <c r="P7" i="39"/>
  <c r="P3" i="39"/>
  <c r="P11" i="39" l="1"/>
  <c r="P10" i="39"/>
  <c r="P12" i="39"/>
  <c r="P13" i="39"/>
  <c r="P14" i="39"/>
  <c r="C6" i="39"/>
  <c r="D6" i="39" s="1"/>
  <c r="C7" i="39"/>
  <c r="D7" i="39" s="1"/>
  <c r="C5" i="39"/>
  <c r="D5" i="39" s="1"/>
  <c r="D3" i="39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Q26" i="45" l="1"/>
  <c r="Q25" i="45"/>
  <c r="A15" i="40"/>
  <c r="C14" i="40"/>
  <c r="D14" i="40" s="1"/>
  <c r="I75" i="33"/>
  <c r="I76" i="33"/>
  <c r="I77" i="33"/>
  <c r="I78" i="33"/>
  <c r="I79" i="33"/>
  <c r="I80" i="33"/>
  <c r="I81" i="33"/>
  <c r="I82" i="33"/>
  <c r="I83" i="33"/>
  <c r="I84" i="33"/>
  <c r="I74" i="33"/>
  <c r="A16" i="40" l="1"/>
  <c r="C15" i="40"/>
  <c r="D15" i="40" s="1"/>
  <c r="C2" i="33"/>
  <c r="A9" i="33"/>
  <c r="A17" i="40" l="1"/>
  <c r="C16" i="40"/>
  <c r="D16" i="40" s="1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I73" i="33"/>
  <c r="I72" i="33"/>
  <c r="I71" i="33"/>
  <c r="I70" i="33"/>
  <c r="I69" i="33"/>
  <c r="I68" i="33"/>
  <c r="I67" i="33"/>
  <c r="I66" i="33"/>
  <c r="I65" i="33"/>
  <c r="I64" i="33"/>
  <c r="I63" i="33"/>
  <c r="I62" i="33"/>
  <c r="I61" i="33"/>
  <c r="I60" i="33"/>
  <c r="I59" i="33"/>
  <c r="I58" i="33"/>
  <c r="I57" i="33"/>
  <c r="I56" i="33"/>
  <c r="I55" i="33"/>
  <c r="I54" i="33"/>
  <c r="I53" i="33"/>
  <c r="I52" i="33"/>
  <c r="I51" i="33"/>
  <c r="I50" i="33"/>
  <c r="I49" i="33"/>
  <c r="I48" i="33"/>
  <c r="I47" i="33"/>
  <c r="I46" i="33"/>
  <c r="I45" i="33"/>
  <c r="I44" i="33"/>
  <c r="I43" i="33"/>
  <c r="I42" i="33"/>
  <c r="I41" i="33"/>
  <c r="A18" i="40" l="1"/>
  <c r="C17" i="40"/>
  <c r="D17" i="40" s="1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8" i="33"/>
  <c r="D55" i="33"/>
  <c r="D59" i="33"/>
  <c r="D57" i="33"/>
  <c r="D70" i="33"/>
  <c r="D51" i="33"/>
  <c r="D73" i="33"/>
  <c r="D47" i="33"/>
  <c r="D75" i="33"/>
  <c r="D74" i="33"/>
  <c r="D41" i="33"/>
  <c r="D58" i="33"/>
  <c r="D77" i="33"/>
  <c r="D67" i="33"/>
  <c r="D79" i="33"/>
  <c r="D66" i="33"/>
  <c r="D45" i="33"/>
  <c r="D71" i="33"/>
  <c r="D65" i="33"/>
  <c r="D72" i="33"/>
  <c r="D46" i="33"/>
  <c r="D60" i="33"/>
  <c r="D50" i="33"/>
  <c r="D80" i="33"/>
  <c r="D64" i="33"/>
  <c r="D62" i="33"/>
  <c r="D68" i="33"/>
  <c r="D42" i="33"/>
  <c r="D83" i="33"/>
  <c r="D61" i="33"/>
  <c r="D82" i="33"/>
  <c r="D43" i="33"/>
  <c r="D52" i="33"/>
  <c r="D56" i="33"/>
  <c r="D48" i="33"/>
  <c r="D54" i="33"/>
  <c r="D44" i="33"/>
  <c r="D84" i="33"/>
  <c r="D76" i="33"/>
  <c r="D81" i="33"/>
  <c r="D53" i="33"/>
  <c r="D49" i="33"/>
  <c r="D63" i="33"/>
  <c r="D69" i="33"/>
  <c r="A19" i="40" l="1"/>
  <c r="C18" i="40"/>
  <c r="D18" i="40" s="1"/>
  <c r="C9" i="33"/>
  <c r="C12" i="33"/>
  <c r="C13" i="33"/>
  <c r="C8" i="33"/>
  <c r="C14" i="33"/>
  <c r="C11" i="33"/>
  <c r="C10" i="33"/>
  <c r="A4" i="33"/>
  <c r="A16" i="33"/>
  <c r="A26" i="33"/>
  <c r="E51" i="33"/>
  <c r="E52" i="33"/>
  <c r="E76" i="33"/>
  <c r="E49" i="33"/>
  <c r="E69" i="33"/>
  <c r="E71" i="33"/>
  <c r="E80" i="33"/>
  <c r="E73" i="33"/>
  <c r="E50" i="33"/>
  <c r="E66" i="33"/>
  <c r="E61" i="33"/>
  <c r="E63" i="33"/>
  <c r="E41" i="33"/>
  <c r="E64" i="33"/>
  <c r="E48" i="33"/>
  <c r="E74" i="33"/>
  <c r="E58" i="33"/>
  <c r="E82" i="33"/>
  <c r="E67" i="33"/>
  <c r="E79" i="33"/>
  <c r="E65" i="33"/>
  <c r="E57" i="33"/>
  <c r="E60" i="33"/>
  <c r="E72" i="33"/>
  <c r="E56" i="33"/>
  <c r="E43" i="33"/>
  <c r="E70" i="33"/>
  <c r="E59" i="33"/>
  <c r="E68" i="33"/>
  <c r="E84" i="33"/>
  <c r="E42" i="33"/>
  <c r="E62" i="33"/>
  <c r="E55" i="33"/>
  <c r="E83" i="33"/>
  <c r="E47" i="33"/>
  <c r="E54" i="33"/>
  <c r="E46" i="33"/>
  <c r="E75" i="33"/>
  <c r="E44" i="33"/>
  <c r="E53" i="33"/>
  <c r="E78" i="33"/>
  <c r="E45" i="33"/>
  <c r="E81" i="33"/>
  <c r="E77" i="33"/>
  <c r="A20" i="40" l="1"/>
  <c r="C19" i="40"/>
  <c r="D19" i="40" s="1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J3" i="45" s="1"/>
  <c r="O5" i="35"/>
  <c r="F10" i="34"/>
  <c r="D38" i="33"/>
  <c r="O2" i="35"/>
  <c r="D25" i="33"/>
  <c r="D29" i="33"/>
  <c r="D8" i="33"/>
  <c r="D33" i="33"/>
  <c r="B1" i="29"/>
  <c r="D14" i="33"/>
  <c r="D18" i="33"/>
  <c r="K3" i="45"/>
  <c r="D4" i="33"/>
  <c r="D16" i="33"/>
  <c r="D28" i="33"/>
  <c r="D36" i="33"/>
  <c r="D30" i="33"/>
  <c r="D15" i="33"/>
  <c r="D17" i="33"/>
  <c r="D19" i="33"/>
  <c r="D21" i="33"/>
  <c r="D37" i="33"/>
  <c r="D32" i="33"/>
  <c r="D6" i="33"/>
  <c r="D22" i="33"/>
  <c r="D10" i="33"/>
  <c r="O4" i="35"/>
  <c r="D5" i="33"/>
  <c r="D19" i="29"/>
  <c r="D34" i="33"/>
  <c r="D26" i="33"/>
  <c r="D12" i="33"/>
  <c r="R3" i="45"/>
  <c r="O3" i="35"/>
  <c r="D20" i="33"/>
  <c r="D35" i="33"/>
  <c r="D27" i="33"/>
  <c r="D9" i="33"/>
  <c r="D11" i="33"/>
  <c r="D3" i="33"/>
  <c r="D39" i="33"/>
  <c r="O6" i="35"/>
  <c r="D31" i="33"/>
  <c r="D18" i="29"/>
  <c r="F27" i="39"/>
  <c r="F24" i="43"/>
  <c r="S3" i="45"/>
  <c r="F24" i="46"/>
  <c r="D24" i="33"/>
  <c r="D40" i="33"/>
  <c r="D23" i="33"/>
  <c r="F20" i="39"/>
  <c r="F21" i="43"/>
  <c r="F21" i="46"/>
  <c r="F27" i="46"/>
  <c r="D7" i="33"/>
  <c r="D13" i="33"/>
  <c r="F19" i="43"/>
  <c r="F19" i="39"/>
  <c r="F19" i="44"/>
  <c r="N3" i="45"/>
  <c r="F32" i="46"/>
  <c r="L13" i="45" a="1"/>
  <c r="L3" i="45"/>
  <c r="E6" i="46"/>
  <c r="F20" i="44"/>
  <c r="E5" i="39"/>
  <c r="F26" i="39"/>
  <c r="F21" i="44"/>
  <c r="E6" i="44"/>
  <c r="F28" i="46"/>
  <c r="E5" i="46"/>
  <c r="F24" i="39"/>
  <c r="F22" i="44"/>
  <c r="F26" i="46"/>
  <c r="F18" i="39"/>
  <c r="F33" i="46"/>
  <c r="F20" i="46"/>
  <c r="F22" i="39"/>
  <c r="E7" i="44"/>
  <c r="F30" i="46"/>
  <c r="J13" i="44"/>
  <c r="F18" i="44"/>
  <c r="F25" i="46"/>
  <c r="J13" i="46"/>
  <c r="F19" i="46"/>
  <c r="F23" i="39"/>
  <c r="F23" i="43"/>
  <c r="F23" i="46"/>
  <c r="F22" i="46"/>
  <c r="E5" i="44"/>
  <c r="F20" i="43"/>
  <c r="F22" i="43"/>
  <c r="F31" i="46"/>
  <c r="J12" i="46"/>
  <c r="F18" i="46"/>
  <c r="F18" i="43"/>
  <c r="F25" i="39"/>
  <c r="E6" i="39"/>
  <c r="F29" i="46"/>
  <c r="E7" i="46"/>
  <c r="F21" i="39"/>
  <c r="J14" i="44"/>
  <c r="E7" i="39"/>
  <c r="T24" i="45"/>
  <c r="F6" i="46"/>
  <c r="G6" i="46"/>
  <c r="F6" i="44"/>
  <c r="F5" i="46"/>
  <c r="K12" i="46" s="1"/>
  <c r="G5" i="46"/>
  <c r="F7" i="44"/>
  <c r="F5" i="44"/>
  <c r="G5" i="44"/>
  <c r="J14" i="46"/>
  <c r="F7" i="46"/>
  <c r="G6" i="44"/>
  <c r="G7" i="44"/>
  <c r="K14" i="44"/>
  <c r="G7" i="46"/>
  <c r="E23" i="46" l="1"/>
  <c r="E31" i="46"/>
  <c r="E24" i="46"/>
  <c r="E32" i="46"/>
  <c r="E25" i="46"/>
  <c r="E33" i="46"/>
  <c r="E26" i="46"/>
  <c r="E27" i="46"/>
  <c r="E28" i="46"/>
  <c r="E29" i="46"/>
  <c r="E30" i="46"/>
  <c r="N12" i="46"/>
  <c r="M12" i="46"/>
  <c r="L12" i="46"/>
  <c r="L13" i="45"/>
  <c r="L19" i="45"/>
  <c r="L20" i="45"/>
  <c r="L21" i="45"/>
  <c r="L14" i="45"/>
  <c r="L15" i="45"/>
  <c r="L16" i="45"/>
  <c r="L17" i="45"/>
  <c r="L18" i="45"/>
  <c r="AF3" i="46"/>
  <c r="E19" i="46"/>
  <c r="Q31" i="45"/>
  <c r="E22" i="46"/>
  <c r="E18" i="46"/>
  <c r="E21" i="46"/>
  <c r="E4" i="46"/>
  <c r="E20" i="46"/>
  <c r="N14" i="44"/>
  <c r="M14" i="44"/>
  <c r="L14" i="44"/>
  <c r="E22" i="44"/>
  <c r="E18" i="44"/>
  <c r="AF3" i="44"/>
  <c r="E19" i="44"/>
  <c r="E4" i="44"/>
  <c r="E21" i="44"/>
  <c r="E20" i="44"/>
  <c r="D2" i="42"/>
  <c r="E2" i="42"/>
  <c r="AF3" i="43"/>
  <c r="E19" i="43"/>
  <c r="E23" i="43"/>
  <c r="E24" i="43"/>
  <c r="E4" i="43"/>
  <c r="E22" i="43"/>
  <c r="E18" i="43"/>
  <c r="E21" i="43"/>
  <c r="E20" i="43"/>
  <c r="E19" i="39"/>
  <c r="E4" i="39"/>
  <c r="M2" i="40"/>
  <c r="M2" i="42"/>
  <c r="D2" i="40"/>
  <c r="E2" i="40"/>
  <c r="C20" i="40"/>
  <c r="D20" i="40" s="1"/>
  <c r="E24" i="39"/>
  <c r="E25" i="39"/>
  <c r="E26" i="39"/>
  <c r="E23" i="39"/>
  <c r="E22" i="39"/>
  <c r="E18" i="39"/>
  <c r="E27" i="39"/>
  <c r="E21" i="39"/>
  <c r="AF3" i="39"/>
  <c r="E20" i="39"/>
  <c r="E2" i="34"/>
  <c r="D2" i="35"/>
  <c r="H7" i="46"/>
  <c r="G25" i="46"/>
  <c r="L18" i="46"/>
  <c r="G19" i="46"/>
  <c r="J20" i="46"/>
  <c r="F6" i="34"/>
  <c r="L19" i="43"/>
  <c r="E3" i="40"/>
  <c r="C5" i="43"/>
  <c r="E13" i="40"/>
  <c r="L23" i="43"/>
  <c r="K19" i="44"/>
  <c r="G20" i="43"/>
  <c r="K24" i="43"/>
  <c r="J23" i="43"/>
  <c r="E18" i="40"/>
  <c r="G21" i="44"/>
  <c r="L31" i="46"/>
  <c r="L32" i="46"/>
  <c r="L33" i="46"/>
  <c r="L27" i="46"/>
  <c r="G29" i="46"/>
  <c r="K14" i="46"/>
  <c r="L26" i="46"/>
  <c r="G18" i="46"/>
  <c r="L19" i="46"/>
  <c r="K20" i="46"/>
  <c r="E4" i="40"/>
  <c r="J11" i="39"/>
  <c r="G18" i="43"/>
  <c r="E7" i="40"/>
  <c r="E15" i="40"/>
  <c r="G23" i="43"/>
  <c r="J21" i="43"/>
  <c r="H5" i="44"/>
  <c r="J22" i="43"/>
  <c r="L18" i="44"/>
  <c r="K22" i="44"/>
  <c r="K31" i="46"/>
  <c r="K32" i="46"/>
  <c r="J33" i="46"/>
  <c r="L28" i="46"/>
  <c r="J30" i="46"/>
  <c r="K30" i="46"/>
  <c r="K12" i="44"/>
  <c r="AG3" i="46"/>
  <c r="J18" i="46"/>
  <c r="J19" i="46"/>
  <c r="G24" i="43"/>
  <c r="L22" i="43"/>
  <c r="L22" i="44"/>
  <c r="AF4" i="43"/>
  <c r="J20" i="44"/>
  <c r="K22" i="43"/>
  <c r="F2" i="42"/>
  <c r="F5" i="34"/>
  <c r="F4" i="34"/>
  <c r="E9" i="40"/>
  <c r="F5" i="39"/>
  <c r="E11" i="40"/>
  <c r="H18" i="46"/>
  <c r="G31" i="46"/>
  <c r="G32" i="46"/>
  <c r="J26" i="46"/>
  <c r="G28" i="46"/>
  <c r="H5" i="46"/>
  <c r="AF4" i="46"/>
  <c r="AF5" i="46" s="1"/>
  <c r="K18" i="46"/>
  <c r="K19" i="46"/>
  <c r="J12" i="44"/>
  <c r="K13" i="44"/>
  <c r="G22" i="46"/>
  <c r="H22" i="46" s="1"/>
  <c r="F4" i="46"/>
  <c r="G19" i="43"/>
  <c r="H19" i="43" s="1"/>
  <c r="G21" i="43"/>
  <c r="L21" i="44"/>
  <c r="F4" i="43"/>
  <c r="J20" i="43"/>
  <c r="E5" i="40"/>
  <c r="J24" i="46"/>
  <c r="G33" i="46"/>
  <c r="J28" i="46"/>
  <c r="H31" i="46"/>
  <c r="E6" i="40"/>
  <c r="H19" i="46"/>
  <c r="G26" i="46"/>
  <c r="L20" i="43"/>
  <c r="K20" i="43"/>
  <c r="J32" i="46"/>
  <c r="AG3" i="44"/>
  <c r="AG3" i="43"/>
  <c r="K23" i="46"/>
  <c r="K21" i="46"/>
  <c r="J19" i="44"/>
  <c r="H6" i="46"/>
  <c r="J22" i="46"/>
  <c r="G20" i="46"/>
  <c r="H20" i="46" s="1"/>
  <c r="L18" i="43"/>
  <c r="K18" i="43"/>
  <c r="E17" i="40"/>
  <c r="F4" i="39"/>
  <c r="F4" i="44"/>
  <c r="E14" i="40"/>
  <c r="AG4" i="46"/>
  <c r="L24" i="46"/>
  <c r="K33" i="46"/>
  <c r="K29" i="46"/>
  <c r="G24" i="46"/>
  <c r="L21" i="46"/>
  <c r="K18" i="44"/>
  <c r="G27" i="46"/>
  <c r="E19" i="40"/>
  <c r="J27" i="46"/>
  <c r="F2" i="40"/>
  <c r="L20" i="44"/>
  <c r="AF6" i="46"/>
  <c r="K13" i="46"/>
  <c r="K22" i="46"/>
  <c r="L20" i="46"/>
  <c r="E10" i="40"/>
  <c r="J11" i="44"/>
  <c r="G20" i="44"/>
  <c r="F6" i="39"/>
  <c r="L21" i="43"/>
  <c r="J18" i="43"/>
  <c r="AF4" i="44"/>
  <c r="K24" i="46"/>
  <c r="K26" i="46"/>
  <c r="L29" i="46"/>
  <c r="E16" i="40"/>
  <c r="J29" i="46"/>
  <c r="J11" i="43"/>
  <c r="F7" i="39"/>
  <c r="L23" i="46"/>
  <c r="L30" i="46"/>
  <c r="J18" i="44"/>
  <c r="E20" i="40"/>
  <c r="J31" i="46"/>
  <c r="AF5" i="43"/>
  <c r="L19" i="44"/>
  <c r="G21" i="46"/>
  <c r="H21" i="46" s="1"/>
  <c r="J19" i="43"/>
  <c r="G22" i="43"/>
  <c r="G18" i="44"/>
  <c r="AF4" i="39"/>
  <c r="J21" i="44"/>
  <c r="G22" i="44"/>
  <c r="H6" i="44"/>
  <c r="G30" i="46"/>
  <c r="J24" i="43"/>
  <c r="K19" i="43"/>
  <c r="J22" i="44"/>
  <c r="E12" i="40"/>
  <c r="K20" i="44"/>
  <c r="L25" i="46"/>
  <c r="J21" i="46"/>
  <c r="AG5" i="46"/>
  <c r="J11" i="46"/>
  <c r="K21" i="44"/>
  <c r="J23" i="46"/>
  <c r="G19" i="44"/>
  <c r="G23" i="46"/>
  <c r="H7" i="44"/>
  <c r="K25" i="46"/>
  <c r="K21" i="43"/>
  <c r="J25" i="46"/>
  <c r="K23" i="43"/>
  <c r="K28" i="46"/>
  <c r="L22" i="46"/>
  <c r="K27" i="46"/>
  <c r="L24" i="43"/>
  <c r="E8" i="40"/>
  <c r="K11" i="46"/>
  <c r="G4" i="46"/>
  <c r="AF7" i="46"/>
  <c r="AG6" i="46"/>
  <c r="AF5" i="44"/>
  <c r="AF6" i="43"/>
  <c r="AF8" i="46"/>
  <c r="AG7" i="46"/>
  <c r="AF6" i="44"/>
  <c r="AG5" i="44"/>
  <c r="AG6" i="43"/>
  <c r="AF9" i="46"/>
  <c r="AG8" i="46"/>
  <c r="AF7" i="44"/>
  <c r="AG6" i="44"/>
  <c r="AF10" i="46"/>
  <c r="AG9" i="46"/>
  <c r="AG7" i="44"/>
  <c r="AF8" i="44"/>
  <c r="AF11" i="46"/>
  <c r="AG10" i="46"/>
  <c r="AF9" i="44"/>
  <c r="AG8" i="44"/>
  <c r="AF12" i="46"/>
  <c r="AG11" i="46"/>
  <c r="AG9" i="44"/>
  <c r="AF10" i="44"/>
  <c r="AG12" i="46"/>
  <c r="AF13" i="46"/>
  <c r="AF11" i="44"/>
  <c r="AG10" i="44"/>
  <c r="AG13" i="46"/>
  <c r="AF14" i="46"/>
  <c r="AF12" i="44"/>
  <c r="AG11" i="44"/>
  <c r="AF15" i="46"/>
  <c r="AG14" i="46"/>
  <c r="AG12" i="44"/>
  <c r="AF13" i="44"/>
  <c r="AF16" i="46"/>
  <c r="AG15" i="46"/>
  <c r="AG13" i="44"/>
  <c r="AF14" i="44"/>
  <c r="AG16" i="46"/>
  <c r="AF17" i="46"/>
  <c r="AG14" i="44"/>
  <c r="AF15" i="44"/>
  <c r="AF18" i="46"/>
  <c r="AG17" i="46"/>
  <c r="AG15" i="44"/>
  <c r="AF16" i="44"/>
  <c r="AF19" i="46"/>
  <c r="AG18" i="46"/>
  <c r="AF17" i="44"/>
  <c r="AG16" i="44"/>
  <c r="AF20" i="46"/>
  <c r="AG19" i="46"/>
  <c r="AG17" i="44"/>
  <c r="AF18" i="44"/>
  <c r="AG20" i="46"/>
  <c r="AF21" i="46"/>
  <c r="AG18" i="44"/>
  <c r="AF19" i="44"/>
  <c r="AF22" i="46"/>
  <c r="AG21" i="46"/>
  <c r="AF20" i="44"/>
  <c r="AG19" i="44"/>
  <c r="AF23" i="46"/>
  <c r="AG22" i="46"/>
  <c r="AG20" i="44"/>
  <c r="AF21" i="44"/>
  <c r="AF24" i="46"/>
  <c r="AG23" i="46"/>
  <c r="AF22" i="44"/>
  <c r="AG21" i="44"/>
  <c r="AF25" i="46"/>
  <c r="AG24" i="46"/>
  <c r="AF23" i="44"/>
  <c r="AG22" i="44"/>
  <c r="AF26" i="46"/>
  <c r="AG25" i="46"/>
  <c r="AG23" i="44"/>
  <c r="AF24" i="44"/>
  <c r="AF27" i="46"/>
  <c r="AG26" i="46"/>
  <c r="AF28" i="46"/>
  <c r="AG27" i="46"/>
  <c r="AF29" i="46"/>
  <c r="AG28" i="46"/>
  <c r="AF30" i="46"/>
  <c r="AG29" i="46"/>
  <c r="AG30" i="46"/>
  <c r="AF31" i="46"/>
  <c r="AF32" i="46"/>
  <c r="AG31" i="46"/>
  <c r="AF33" i="46"/>
  <c r="AG32" i="46"/>
  <c r="AF34" i="46"/>
  <c r="AG33" i="46"/>
  <c r="AF35" i="46"/>
  <c r="AG34" i="46"/>
  <c r="AF36" i="46"/>
  <c r="AG35" i="46"/>
  <c r="AF37" i="46"/>
  <c r="AG36" i="46"/>
  <c r="AF38" i="46"/>
  <c r="AG37" i="46"/>
  <c r="AF39" i="46"/>
  <c r="AG38" i="46"/>
  <c r="AF40" i="46"/>
  <c r="AG39" i="46"/>
  <c r="AF41" i="46"/>
  <c r="AG40" i="46"/>
  <c r="AF42" i="46"/>
  <c r="AG41" i="46"/>
  <c r="AF43" i="46"/>
  <c r="AG42" i="46"/>
  <c r="AF44" i="46"/>
  <c r="AG43" i="46"/>
  <c r="AF45" i="46"/>
  <c r="AG44" i="46"/>
  <c r="AF46" i="46"/>
  <c r="AG45" i="46"/>
  <c r="AF47" i="46"/>
  <c r="AG46" i="46"/>
  <c r="AF48" i="46"/>
  <c r="AG47" i="46"/>
  <c r="AF49" i="46"/>
  <c r="AG48" i="46"/>
  <c r="AF50" i="46"/>
  <c r="AG49" i="46"/>
  <c r="AF51" i="46"/>
  <c r="AG50" i="46"/>
  <c r="AF52" i="46"/>
  <c r="AG51" i="46"/>
  <c r="AF53" i="46"/>
  <c r="AG52" i="46"/>
  <c r="AF54" i="46"/>
  <c r="AG53" i="46"/>
  <c r="AF55" i="46"/>
  <c r="AG54" i="46"/>
  <c r="AG55" i="46"/>
  <c r="AF56" i="46"/>
  <c r="AF57" i="46"/>
  <c r="AG56" i="46"/>
  <c r="AF58" i="46"/>
  <c r="AG57" i="46"/>
  <c r="AG58" i="46"/>
  <c r="AF59" i="46"/>
  <c r="AG59" i="46"/>
  <c r="AF60" i="46"/>
  <c r="AF61" i="46"/>
  <c r="AG60" i="46"/>
  <c r="AF62" i="46"/>
  <c r="AG61" i="46"/>
  <c r="AG62" i="46"/>
  <c r="AF63" i="46"/>
  <c r="AF64" i="46"/>
  <c r="AG63" i="46"/>
  <c r="AF65" i="46"/>
  <c r="AG64" i="46"/>
  <c r="AF66" i="46"/>
  <c r="AG65" i="46"/>
  <c r="AG66" i="46"/>
  <c r="AF67" i="46"/>
  <c r="AG67" i="46"/>
  <c r="AF68" i="46"/>
  <c r="AF69" i="46"/>
  <c r="AG68" i="46"/>
  <c r="AF70" i="46"/>
  <c r="AG69" i="46"/>
  <c r="AF71" i="46"/>
  <c r="AG70" i="46"/>
  <c r="AG71" i="46"/>
  <c r="AF72" i="46"/>
  <c r="AF73" i="46"/>
  <c r="AG72" i="46"/>
  <c r="AF74" i="46"/>
  <c r="AG73" i="46"/>
  <c r="AG74" i="46"/>
  <c r="AF75" i="46"/>
  <c r="AF76" i="46"/>
  <c r="AG75" i="46"/>
  <c r="AF77" i="46"/>
  <c r="AG76" i="46"/>
  <c r="AF78" i="46"/>
  <c r="AG77" i="46"/>
  <c r="AG78" i="46"/>
  <c r="AF79" i="46"/>
  <c r="AF80" i="46"/>
  <c r="AG79" i="46"/>
  <c r="AF81" i="46"/>
  <c r="AG80" i="46"/>
  <c r="AF82" i="46"/>
  <c r="AG81" i="46"/>
  <c r="AF83" i="46"/>
  <c r="AG82" i="46"/>
  <c r="AG83" i="46"/>
  <c r="AF84" i="46"/>
  <c r="AF85" i="46"/>
  <c r="AG84" i="46"/>
  <c r="AF86" i="46"/>
  <c r="AG85" i="46"/>
  <c r="AF87" i="46"/>
  <c r="AG86" i="46"/>
  <c r="AG87" i="46"/>
  <c r="AF88" i="46"/>
  <c r="AF89" i="46"/>
  <c r="AG88" i="46"/>
  <c r="AF90" i="46"/>
  <c r="AG89" i="46"/>
  <c r="AF91" i="46"/>
  <c r="AG90" i="46"/>
  <c r="AG91" i="46"/>
  <c r="AF92" i="46"/>
  <c r="AF93" i="46"/>
  <c r="AG92" i="46"/>
  <c r="AF94" i="46"/>
  <c r="AG93" i="46"/>
  <c r="AG94" i="46"/>
  <c r="AF95" i="46"/>
  <c r="AF96" i="46"/>
  <c r="AG95" i="46"/>
  <c r="AF97" i="46"/>
  <c r="AG96" i="46"/>
  <c r="AF98" i="46"/>
  <c r="AG97" i="46"/>
  <c r="AF99" i="46"/>
  <c r="AG98" i="46"/>
  <c r="AG99" i="46"/>
  <c r="AF100" i="46"/>
  <c r="AF101" i="46"/>
  <c r="AG100" i="46"/>
  <c r="AF102" i="46"/>
  <c r="AG101" i="46"/>
  <c r="AF103" i="46"/>
  <c r="AG102" i="46"/>
  <c r="AF104" i="46"/>
  <c r="AG103" i="46"/>
  <c r="AF105" i="46"/>
  <c r="AG104" i="46"/>
  <c r="AF106" i="46"/>
  <c r="AG105" i="46"/>
  <c r="AF107" i="46"/>
  <c r="AG106" i="46"/>
  <c r="AF108" i="46"/>
  <c r="AG107" i="46"/>
  <c r="AF109" i="46"/>
  <c r="AG108" i="46"/>
  <c r="AF110" i="46"/>
  <c r="AG109" i="46"/>
  <c r="AF111" i="46"/>
  <c r="AG110" i="46"/>
  <c r="AF112" i="46"/>
  <c r="AG111" i="46"/>
  <c r="AF113" i="46"/>
  <c r="AG112" i="46"/>
  <c r="AF114" i="46"/>
  <c r="AG113" i="46"/>
  <c r="AF115" i="46"/>
  <c r="AG114" i="46"/>
  <c r="AF116" i="46"/>
  <c r="AG115" i="46"/>
  <c r="AF117" i="46"/>
  <c r="AG116" i="46"/>
  <c r="AF118" i="46"/>
  <c r="AG117" i="46"/>
  <c r="AF119" i="46"/>
  <c r="AG118" i="46"/>
  <c r="AG119" i="46"/>
  <c r="AF120" i="46"/>
  <c r="AF121" i="46"/>
  <c r="AG120" i="46"/>
  <c r="AF122" i="46"/>
  <c r="AG121" i="46"/>
  <c r="AG122" i="46"/>
  <c r="AF123" i="46"/>
  <c r="AF124" i="46"/>
  <c r="AG123" i="46"/>
  <c r="AF125" i="46"/>
  <c r="AG124" i="46"/>
  <c r="AF126" i="46"/>
  <c r="AG125" i="46"/>
  <c r="AG126" i="46"/>
  <c r="AF127" i="46"/>
  <c r="AF128" i="46"/>
  <c r="AG127" i="46"/>
  <c r="AF129" i="46"/>
  <c r="AG128" i="46"/>
  <c r="AF130" i="46"/>
  <c r="AG129" i="46"/>
  <c r="AF131" i="46"/>
  <c r="AG130" i="46"/>
  <c r="AF132" i="46"/>
  <c r="AG131" i="46"/>
  <c r="AF133" i="46"/>
  <c r="AG132" i="46"/>
  <c r="AF134" i="46"/>
  <c r="AG133" i="46"/>
  <c r="AF135" i="46"/>
  <c r="AG134" i="46"/>
  <c r="AF136" i="46"/>
  <c r="AG135" i="46"/>
  <c r="AF137" i="46"/>
  <c r="AG136" i="46"/>
  <c r="AF138" i="46"/>
  <c r="AG137" i="46"/>
  <c r="AF139" i="46"/>
  <c r="AG138" i="46"/>
  <c r="AF140" i="46"/>
  <c r="AG139" i="46"/>
  <c r="AG140" i="46"/>
  <c r="AF141" i="46"/>
  <c r="AG141" i="46"/>
  <c r="AF142" i="46"/>
  <c r="AF143" i="46"/>
  <c r="AG142" i="46"/>
  <c r="AF144" i="46"/>
  <c r="AG143" i="46"/>
  <c r="AG144" i="46"/>
  <c r="AF145" i="46"/>
  <c r="AG145" i="46"/>
  <c r="AF146" i="46"/>
  <c r="AG146" i="46"/>
  <c r="AF147" i="46"/>
  <c r="AG147" i="46"/>
  <c r="AF148" i="46"/>
  <c r="AG148" i="46"/>
  <c r="AF149" i="46"/>
  <c r="AG149" i="46"/>
  <c r="AF150" i="46"/>
  <c r="AG150" i="46"/>
  <c r="AF151" i="46"/>
  <c r="AF152" i="46"/>
  <c r="AG151" i="46"/>
  <c r="AG152" i="46"/>
  <c r="AF153" i="46"/>
  <c r="AG153" i="46"/>
  <c r="AF154" i="46"/>
  <c r="AF155" i="46"/>
  <c r="AG154" i="46"/>
  <c r="AG155" i="46"/>
  <c r="AF156" i="46"/>
  <c r="AG156" i="46"/>
  <c r="AF157" i="46"/>
  <c r="AG157" i="46"/>
  <c r="AF158" i="46"/>
  <c r="AF159" i="46"/>
  <c r="AG158" i="46"/>
  <c r="AG159" i="46"/>
  <c r="AF160" i="46"/>
  <c r="AG160" i="46"/>
  <c r="AF161" i="46"/>
  <c r="AG161" i="46"/>
  <c r="AF162" i="46"/>
  <c r="AF163" i="46"/>
  <c r="AG162" i="46"/>
  <c r="AG163" i="46"/>
  <c r="AF164" i="46"/>
  <c r="AG164" i="46"/>
  <c r="AF165" i="46"/>
  <c r="AG165" i="46"/>
  <c r="AF166" i="46"/>
  <c r="AG166" i="46"/>
  <c r="AF167" i="46"/>
  <c r="AF168" i="46"/>
  <c r="AG167" i="46"/>
  <c r="AG168" i="46"/>
  <c r="AF169" i="46"/>
  <c r="AG169" i="46"/>
  <c r="AF170" i="46"/>
  <c r="AF171" i="46"/>
  <c r="AG170" i="46"/>
  <c r="AG171" i="46"/>
  <c r="AF172" i="46"/>
  <c r="AG172" i="46"/>
  <c r="AF173" i="46"/>
  <c r="AG173" i="46"/>
  <c r="AF174" i="46"/>
  <c r="AG174" i="46"/>
  <c r="AF175" i="46"/>
  <c r="AG175" i="46"/>
  <c r="AF176" i="46"/>
  <c r="AG176" i="46"/>
  <c r="AF177" i="46"/>
  <c r="AG177" i="46"/>
  <c r="AF178" i="46"/>
  <c r="AG178" i="46"/>
  <c r="AF179" i="46"/>
  <c r="AG179" i="46"/>
  <c r="AF180" i="46"/>
  <c r="AG180" i="46"/>
  <c r="AF181" i="46"/>
  <c r="AG181" i="46"/>
  <c r="AF182" i="46"/>
  <c r="AG182" i="46"/>
  <c r="AF183" i="46"/>
  <c r="AG183" i="46"/>
  <c r="AF184" i="46"/>
  <c r="AG184" i="46"/>
  <c r="AF185" i="46"/>
  <c r="AG185" i="46"/>
  <c r="AF186" i="46"/>
  <c r="AF187" i="46"/>
  <c r="AG186" i="46"/>
  <c r="AG187" i="46"/>
  <c r="AF188" i="46"/>
  <c r="AG188" i="46"/>
  <c r="AF189" i="46"/>
  <c r="AG189" i="46"/>
  <c r="AF190" i="46"/>
  <c r="AF191" i="46"/>
  <c r="AG190" i="46"/>
  <c r="AG191" i="46"/>
  <c r="AF192" i="46"/>
  <c r="AG192" i="46"/>
  <c r="AF193" i="46"/>
  <c r="AG193" i="46"/>
  <c r="AF194" i="46"/>
  <c r="AG194" i="46"/>
  <c r="AF195" i="46"/>
  <c r="AG195" i="46"/>
  <c r="AF196" i="46"/>
  <c r="AG196" i="46"/>
  <c r="AF197" i="46"/>
  <c r="AG197" i="46"/>
  <c r="AF198" i="46"/>
  <c r="AF199" i="46"/>
  <c r="AG198" i="46"/>
  <c r="AG199" i="46"/>
  <c r="AF200" i="46"/>
  <c r="AG200" i="46"/>
  <c r="AF201" i="46"/>
  <c r="AG201" i="46"/>
  <c r="AF202" i="46"/>
  <c r="AF203" i="46"/>
  <c r="AG202" i="46"/>
  <c r="AG203" i="46"/>
  <c r="AF204" i="46"/>
  <c r="AG204" i="46"/>
  <c r="AF205" i="46"/>
  <c r="AG205" i="46"/>
  <c r="AF206" i="46"/>
  <c r="AG206" i="46"/>
  <c r="AF207" i="46"/>
  <c r="AF208" i="46"/>
  <c r="AG207" i="46"/>
  <c r="AG208" i="46"/>
  <c r="AF209" i="46"/>
  <c r="AG209" i="46"/>
  <c r="AF210" i="46"/>
  <c r="AG210" i="46"/>
  <c r="AF211" i="46"/>
  <c r="AG211" i="46"/>
  <c r="AF212" i="46"/>
  <c r="AG212" i="46"/>
  <c r="AF213" i="46"/>
  <c r="AG213" i="46"/>
  <c r="AF214" i="46"/>
  <c r="AF215" i="46"/>
  <c r="AG214" i="46"/>
  <c r="AG215" i="46"/>
  <c r="AF216" i="46"/>
  <c r="AG216" i="46"/>
  <c r="AF217" i="46"/>
  <c r="AF218" i="46"/>
  <c r="AG217" i="46"/>
  <c r="AG218" i="46"/>
  <c r="AF219" i="46"/>
  <c r="AF220" i="46"/>
  <c r="AG219" i="46"/>
  <c r="AG220" i="46"/>
  <c r="AF221" i="46"/>
  <c r="AG221" i="46"/>
  <c r="AF222" i="46"/>
  <c r="AG222" i="46"/>
  <c r="AF223" i="46"/>
  <c r="AF224" i="46"/>
  <c r="AG223" i="46"/>
  <c r="AG224" i="46"/>
  <c r="AF225" i="46"/>
  <c r="AG225" i="46"/>
  <c r="AF226" i="46"/>
  <c r="AG226" i="46"/>
  <c r="AF227" i="46"/>
  <c r="AG227" i="46"/>
  <c r="AF228" i="46"/>
  <c r="AG228" i="46"/>
  <c r="AF229" i="46"/>
  <c r="AF230" i="46"/>
  <c r="AG229" i="46"/>
  <c r="AG230" i="46"/>
  <c r="AF231" i="46"/>
  <c r="AG231" i="46"/>
  <c r="AF232" i="46"/>
  <c r="AG232" i="46"/>
  <c r="AF233" i="46"/>
  <c r="AF234" i="46"/>
  <c r="AG233" i="46"/>
  <c r="AG234" i="46"/>
  <c r="AF235" i="46"/>
  <c r="AG235" i="46"/>
  <c r="AF236" i="46"/>
  <c r="AG236" i="46"/>
  <c r="AF237" i="46"/>
  <c r="AG237" i="46"/>
  <c r="AF238" i="46"/>
  <c r="AG238" i="46"/>
  <c r="AF239" i="46"/>
  <c r="AG239" i="46"/>
  <c r="AF240" i="46"/>
  <c r="AG240" i="46"/>
  <c r="AF241" i="46"/>
  <c r="AF242" i="46"/>
  <c r="AG241" i="46"/>
  <c r="AG242" i="46"/>
  <c r="AF243" i="46"/>
  <c r="AG243" i="46"/>
  <c r="AF244" i="46"/>
  <c r="AG244" i="46"/>
  <c r="AF245" i="46"/>
  <c r="AF246" i="46"/>
  <c r="AG245" i="46"/>
  <c r="AG246" i="46"/>
  <c r="AF247" i="46"/>
  <c r="AG247" i="46"/>
  <c r="AF248" i="46"/>
  <c r="AG248" i="46"/>
  <c r="AF249" i="46"/>
  <c r="AG249" i="46"/>
  <c r="AF250" i="46"/>
  <c r="AG250" i="46"/>
  <c r="AF251" i="46"/>
  <c r="AF252" i="46"/>
  <c r="AG251" i="46"/>
  <c r="AG252" i="46"/>
  <c r="AF253" i="46"/>
  <c r="AG253" i="46"/>
  <c r="AF254" i="46"/>
  <c r="AG254" i="46"/>
  <c r="AF255" i="46"/>
  <c r="AG255" i="46"/>
  <c r="AF256" i="46"/>
  <c r="AG256" i="46"/>
  <c r="AF257" i="46"/>
  <c r="N13" i="46" l="1"/>
  <c r="M13" i="46"/>
  <c r="L13" i="46"/>
  <c r="L13" i="44"/>
  <c r="N13" i="44"/>
  <c r="M13" i="44"/>
  <c r="M14" i="46"/>
  <c r="L14" i="46"/>
  <c r="N14" i="46"/>
  <c r="M11" i="46"/>
  <c r="L11" i="46"/>
  <c r="N11" i="46"/>
  <c r="M12" i="44"/>
  <c r="N12" i="44"/>
  <c r="L12" i="44"/>
  <c r="D5" i="43"/>
  <c r="A6" i="35"/>
  <c r="A5" i="35"/>
  <c r="A7" i="35"/>
  <c r="AG257" i="46"/>
  <c r="AG24" i="44"/>
  <c r="F7" i="40"/>
  <c r="G7" i="39"/>
  <c r="F4" i="40"/>
  <c r="F14" i="40"/>
  <c r="F3" i="40"/>
  <c r="AF7" i="43"/>
  <c r="H29" i="46"/>
  <c r="F10" i="40"/>
  <c r="H18" i="43"/>
  <c r="F20" i="40"/>
  <c r="AG4" i="43"/>
  <c r="F16" i="40"/>
  <c r="F17" i="40"/>
  <c r="H4" i="46"/>
  <c r="H21" i="44"/>
  <c r="F5" i="40"/>
  <c r="K11" i="43"/>
  <c r="G4" i="39"/>
  <c r="F9" i="40"/>
  <c r="H19" i="44"/>
  <c r="H22" i="43"/>
  <c r="H23" i="46"/>
  <c r="H27" i="46"/>
  <c r="H28" i="46"/>
  <c r="E5" i="43"/>
  <c r="G4" i="43"/>
  <c r="H4" i="43"/>
  <c r="F15" i="40"/>
  <c r="AF5" i="39"/>
  <c r="H21" i="43"/>
  <c r="H30" i="46"/>
  <c r="H24" i="46"/>
  <c r="H32" i="46"/>
  <c r="H25" i="46"/>
  <c r="F13" i="40"/>
  <c r="H20" i="43"/>
  <c r="K11" i="44"/>
  <c r="F11" i="40"/>
  <c r="H4" i="39"/>
  <c r="G4" i="44"/>
  <c r="H23" i="43"/>
  <c r="F6" i="40"/>
  <c r="H18" i="44"/>
  <c r="H2" i="42"/>
  <c r="H26" i="46"/>
  <c r="H22" i="44"/>
  <c r="G5" i="39"/>
  <c r="F12" i="40"/>
  <c r="G6" i="39"/>
  <c r="H4" i="44"/>
  <c r="H24" i="43"/>
  <c r="H20" i="44"/>
  <c r="H6" i="39"/>
  <c r="K11" i="39"/>
  <c r="AG5" i="43"/>
  <c r="H2" i="40"/>
  <c r="F18" i="40"/>
  <c r="AG4" i="44"/>
  <c r="F8" i="40"/>
  <c r="F19" i="40"/>
  <c r="H33" i="46"/>
  <c r="AF8" i="43"/>
  <c r="AG7" i="43"/>
  <c r="J12" i="43"/>
  <c r="C6" i="43"/>
  <c r="F5" i="43"/>
  <c r="AF9" i="43"/>
  <c r="AG8" i="43"/>
  <c r="E6" i="43"/>
  <c r="K12" i="43"/>
  <c r="AF10" i="43"/>
  <c r="AG9" i="43"/>
  <c r="J13" i="43"/>
  <c r="F6" i="43"/>
  <c r="K13" i="43" s="1"/>
  <c r="G6" i="43"/>
  <c r="C7" i="43"/>
  <c r="AF11" i="43"/>
  <c r="AG10" i="43"/>
  <c r="AF12" i="43"/>
  <c r="AG11" i="43"/>
  <c r="AF13" i="43"/>
  <c r="AG12" i="43"/>
  <c r="AG13" i="43"/>
  <c r="AF14" i="43"/>
  <c r="AF15" i="43"/>
  <c r="AG14" i="43"/>
  <c r="AG15" i="43"/>
  <c r="AF16" i="43"/>
  <c r="AG16" i="43"/>
  <c r="AF17" i="43"/>
  <c r="AG17" i="43"/>
  <c r="AF18" i="43"/>
  <c r="AF19" i="43"/>
  <c r="AG18" i="43"/>
  <c r="AF20" i="43"/>
  <c r="AG19" i="43"/>
  <c r="AG20" i="43"/>
  <c r="AF21" i="43"/>
  <c r="AG21" i="43"/>
  <c r="AF22" i="43"/>
  <c r="AF23" i="43"/>
  <c r="AG22" i="43"/>
  <c r="AF24" i="43"/>
  <c r="AG23" i="43"/>
  <c r="AF25" i="43"/>
  <c r="AG24" i="43"/>
  <c r="AG25" i="43"/>
  <c r="AF26" i="43"/>
  <c r="AF27" i="43"/>
  <c r="AG26" i="43"/>
  <c r="AF28" i="43"/>
  <c r="AG27" i="43"/>
  <c r="AF29" i="43"/>
  <c r="AG28" i="43"/>
  <c r="AG29" i="43"/>
  <c r="AF30" i="43"/>
  <c r="AG30" i="43"/>
  <c r="AF31" i="43"/>
  <c r="AG31" i="43"/>
  <c r="AF32" i="43"/>
  <c r="AF33" i="43"/>
  <c r="AG32" i="43"/>
  <c r="AF34" i="43"/>
  <c r="AG33" i="43"/>
  <c r="AF35" i="43"/>
  <c r="AG34" i="43"/>
  <c r="AG35" i="43"/>
  <c r="AF36" i="43"/>
  <c r="AG36" i="43"/>
  <c r="AF37" i="43"/>
  <c r="AG37" i="43"/>
  <c r="AF38" i="43"/>
  <c r="AF39" i="43"/>
  <c r="AG38" i="43"/>
  <c r="AF40" i="43"/>
  <c r="AG39" i="43"/>
  <c r="AF41" i="43"/>
  <c r="AG40" i="43"/>
  <c r="AG41" i="43"/>
  <c r="AF42" i="43"/>
  <c r="AG42" i="43"/>
  <c r="AF43" i="43"/>
  <c r="AF44" i="43"/>
  <c r="AG43" i="43"/>
  <c r="AF45" i="43"/>
  <c r="AG44" i="43"/>
  <c r="AG45" i="43"/>
  <c r="AF46" i="43"/>
  <c r="AF47" i="43"/>
  <c r="AG46" i="43"/>
  <c r="AG47" i="43"/>
  <c r="AF48" i="43"/>
  <c r="AF49" i="43"/>
  <c r="AG48" i="43"/>
  <c r="AG49" i="43"/>
  <c r="AF50" i="43"/>
  <c r="AF51" i="43"/>
  <c r="AG50" i="43"/>
  <c r="AF52" i="43"/>
  <c r="AG51" i="43"/>
  <c r="AF53" i="43"/>
  <c r="AG52" i="43"/>
  <c r="AG53" i="43"/>
  <c r="AF54" i="43"/>
  <c r="AF55" i="43"/>
  <c r="AG54" i="43"/>
  <c r="AG55" i="43"/>
  <c r="AF56" i="43"/>
  <c r="AG56" i="43"/>
  <c r="AF57" i="43"/>
  <c r="AF58" i="43"/>
  <c r="AG57" i="43"/>
  <c r="AG58" i="43"/>
  <c r="AF59" i="43"/>
  <c r="AF60" i="43"/>
  <c r="AG59" i="43"/>
  <c r="AF61" i="43"/>
  <c r="AG60" i="43"/>
  <c r="AG61" i="43"/>
  <c r="AF62" i="43"/>
  <c r="AF63" i="43"/>
  <c r="AG62" i="43"/>
  <c r="AF64" i="43"/>
  <c r="AG63" i="43"/>
  <c r="AG64" i="43"/>
  <c r="AF65" i="43"/>
  <c r="AG65" i="43" s="1"/>
  <c r="D6" i="43" l="1"/>
  <c r="D7" i="43"/>
  <c r="L11" i="44"/>
  <c r="N11" i="44"/>
  <c r="M11" i="44"/>
  <c r="N12" i="43"/>
  <c r="M12" i="43"/>
  <c r="L12" i="43"/>
  <c r="M13" i="43"/>
  <c r="L13" i="43"/>
  <c r="N13" i="43"/>
  <c r="N11" i="43"/>
  <c r="L11" i="43"/>
  <c r="M11" i="43"/>
  <c r="D2" i="33"/>
  <c r="G5" i="43"/>
  <c r="H5" i="43" s="1"/>
  <c r="H6" i="43"/>
  <c r="H7" i="39"/>
  <c r="I2" i="42"/>
  <c r="H5" i="39"/>
  <c r="E7" i="43"/>
  <c r="F7" i="43"/>
  <c r="J14" i="43"/>
  <c r="G7" i="43"/>
  <c r="L11" i="39" l="1"/>
  <c r="N11" i="39"/>
  <c r="M11" i="39"/>
  <c r="N2" i="42"/>
  <c r="L27" i="39"/>
  <c r="H7" i="43"/>
  <c r="I43" i="35"/>
  <c r="I28" i="35"/>
  <c r="K14" i="43"/>
  <c r="I45" i="35"/>
  <c r="M3" i="42"/>
  <c r="J23" i="39"/>
  <c r="E4" i="33"/>
  <c r="J26" i="39"/>
  <c r="E15" i="33"/>
  <c r="H10" i="40"/>
  <c r="I22" i="35"/>
  <c r="K25" i="39"/>
  <c r="H18" i="40"/>
  <c r="C5" i="35"/>
  <c r="E26" i="33"/>
  <c r="I42" i="35"/>
  <c r="D7" i="35"/>
  <c r="I16" i="35"/>
  <c r="G18" i="39"/>
  <c r="I31" i="35"/>
  <c r="J13" i="39"/>
  <c r="I54" i="35"/>
  <c r="H6" i="40"/>
  <c r="I27" i="35"/>
  <c r="I33" i="35"/>
  <c r="L21" i="39"/>
  <c r="I3" i="35"/>
  <c r="E16" i="33"/>
  <c r="K19" i="39"/>
  <c r="I14" i="35"/>
  <c r="L26" i="39"/>
  <c r="L23" i="39"/>
  <c r="AG3" i="39"/>
  <c r="C7" i="35"/>
  <c r="E35" i="33"/>
  <c r="I51" i="35"/>
  <c r="I12" i="35"/>
  <c r="K24" i="39"/>
  <c r="H17" i="40"/>
  <c r="E24" i="33"/>
  <c r="H20" i="40"/>
  <c r="H3" i="40"/>
  <c r="H14" i="40"/>
  <c r="M3" i="40"/>
  <c r="I19" i="35"/>
  <c r="E36" i="33"/>
  <c r="E32" i="33"/>
  <c r="E21" i="33"/>
  <c r="D20" i="29"/>
  <c r="L20" i="39"/>
  <c r="I56" i="35"/>
  <c r="I11" i="35"/>
  <c r="H5" i="40"/>
  <c r="AF6" i="39"/>
  <c r="E3" i="33"/>
  <c r="H9" i="40"/>
  <c r="I30" i="35"/>
  <c r="E19" i="33"/>
  <c r="J18" i="39"/>
  <c r="G24" i="39"/>
  <c r="I8" i="35"/>
  <c r="K20" i="39"/>
  <c r="I5" i="40"/>
  <c r="AG6" i="39"/>
  <c r="E22" i="33"/>
  <c r="J19" i="39"/>
  <c r="G19" i="39"/>
  <c r="L24" i="39"/>
  <c r="I18" i="35"/>
  <c r="I5" i="35"/>
  <c r="K27" i="39"/>
  <c r="I15" i="35"/>
  <c r="I37" i="35"/>
  <c r="D5" i="35"/>
  <c r="E34" i="33"/>
  <c r="I24" i="35"/>
  <c r="I21" i="35"/>
  <c r="C6" i="35"/>
  <c r="M4" i="42"/>
  <c r="N4" i="42" s="1"/>
  <c r="G23" i="39"/>
  <c r="G26" i="39"/>
  <c r="I52" i="35"/>
  <c r="I26" i="35"/>
  <c r="L19" i="39"/>
  <c r="E39" i="33"/>
  <c r="I2" i="40"/>
  <c r="K13" i="39"/>
  <c r="E17" i="33"/>
  <c r="I10" i="40"/>
  <c r="I23" i="35"/>
  <c r="D21" i="29"/>
  <c r="E37" i="33"/>
  <c r="I53" i="35"/>
  <c r="I29" i="35"/>
  <c r="E18" i="33"/>
  <c r="G22" i="39"/>
  <c r="G27" i="39"/>
  <c r="H27" i="39" s="1"/>
  <c r="I3" i="40"/>
  <c r="F2" i="34"/>
  <c r="H15" i="40"/>
  <c r="D6" i="35"/>
  <c r="I35" i="35"/>
  <c r="E6" i="33"/>
  <c r="K22" i="39"/>
  <c r="I41" i="35"/>
  <c r="E40" i="33"/>
  <c r="J24" i="39"/>
  <c r="G21" i="39"/>
  <c r="E30" i="33"/>
  <c r="I20" i="35"/>
  <c r="H19" i="40"/>
  <c r="I19" i="40" s="1"/>
  <c r="I49" i="35"/>
  <c r="H22" i="39"/>
  <c r="I13" i="35"/>
  <c r="H11" i="40"/>
  <c r="I47" i="35"/>
  <c r="H16" i="40"/>
  <c r="I6" i="35"/>
  <c r="E38" i="33"/>
  <c r="E27" i="33"/>
  <c r="I38" i="35"/>
  <c r="L25" i="39"/>
  <c r="J21" i="39"/>
  <c r="E5" i="33"/>
  <c r="I9" i="35"/>
  <c r="I46" i="35"/>
  <c r="I6" i="40"/>
  <c r="K21" i="39"/>
  <c r="H8" i="40"/>
  <c r="I8" i="40" s="1"/>
  <c r="K26" i="39"/>
  <c r="I32" i="35"/>
  <c r="I10" i="35"/>
  <c r="J12" i="39"/>
  <c r="I34" i="35"/>
  <c r="I50" i="35"/>
  <c r="H12" i="40"/>
  <c r="I12" i="40" s="1"/>
  <c r="E23" i="33"/>
  <c r="G25" i="39"/>
  <c r="H25" i="39" s="1"/>
  <c r="K12" i="39"/>
  <c r="K14" i="39"/>
  <c r="I15" i="40"/>
  <c r="AG4" i="39"/>
  <c r="L22" i="39"/>
  <c r="E7" i="33"/>
  <c r="M4" i="40"/>
  <c r="I48" i="35"/>
  <c r="I4" i="35"/>
  <c r="N13" i="45" a="1"/>
  <c r="E20" i="33"/>
  <c r="K18" i="39"/>
  <c r="H7" i="40"/>
  <c r="H4" i="40"/>
  <c r="E2" i="33"/>
  <c r="I39" i="35"/>
  <c r="I7" i="40"/>
  <c r="I25" i="35"/>
  <c r="I55" i="35"/>
  <c r="J27" i="39"/>
  <c r="E29" i="33"/>
  <c r="J25" i="39"/>
  <c r="G20" i="39"/>
  <c r="I14" i="40"/>
  <c r="I40" i="35"/>
  <c r="E33" i="33"/>
  <c r="I44" i="35"/>
  <c r="N4" i="40"/>
  <c r="H21" i="39"/>
  <c r="I36" i="35"/>
  <c r="H24" i="39"/>
  <c r="F3" i="34"/>
  <c r="J22" i="39"/>
  <c r="E25" i="33"/>
  <c r="J20" i="39"/>
  <c r="AG5" i="39"/>
  <c r="L18" i="39"/>
  <c r="H13" i="40"/>
  <c r="I13" i="40" s="1"/>
  <c r="I17" i="35"/>
  <c r="M5" i="42"/>
  <c r="I2" i="35"/>
  <c r="E31" i="33"/>
  <c r="N2" i="40"/>
  <c r="E28" i="33"/>
  <c r="J14" i="39"/>
  <c r="O2" i="42"/>
  <c r="P2" i="42" s="1"/>
  <c r="K23" i="39"/>
  <c r="N3" i="42"/>
  <c r="I20" i="40"/>
  <c r="I16" i="40"/>
  <c r="AF7" i="39"/>
  <c r="H19" i="39"/>
  <c r="I11" i="40"/>
  <c r="E3" i="42"/>
  <c r="AG7" i="39"/>
  <c r="H23" i="39"/>
  <c r="AF8" i="39"/>
  <c r="AG8" i="39"/>
  <c r="C4" i="42"/>
  <c r="I18" i="40"/>
  <c r="AF9" i="39"/>
  <c r="O2" i="40"/>
  <c r="I17" i="40"/>
  <c r="H18" i="39"/>
  <c r="O4" i="42"/>
  <c r="I4" i="40"/>
  <c r="O3" i="42"/>
  <c r="E4" i="42"/>
  <c r="F4" i="42" s="1"/>
  <c r="I9" i="40"/>
  <c r="C5" i="42"/>
  <c r="E5" i="42" s="1"/>
  <c r="F5" i="42" s="1"/>
  <c r="F3" i="42"/>
  <c r="C6" i="42"/>
  <c r="E6" i="42" s="1"/>
  <c r="O4" i="40"/>
  <c r="M5" i="40"/>
  <c r="M6" i="42"/>
  <c r="N5" i="42"/>
  <c r="O5" i="42" s="1"/>
  <c r="AF10" i="39"/>
  <c r="AG9" i="39"/>
  <c r="C7" i="42"/>
  <c r="E7" i="42" s="1"/>
  <c r="F6" i="42"/>
  <c r="N5" i="40"/>
  <c r="M6" i="40"/>
  <c r="M7" i="42"/>
  <c r="N6" i="42"/>
  <c r="O6" i="42" s="1"/>
  <c r="AF11" i="39"/>
  <c r="AG10" i="39"/>
  <c r="F7" i="42"/>
  <c r="C8" i="42"/>
  <c r="E8" i="42" s="1"/>
  <c r="N6" i="40"/>
  <c r="O6" i="40" s="1"/>
  <c r="M7" i="40"/>
  <c r="N7" i="42"/>
  <c r="O7" i="42" s="1"/>
  <c r="M8" i="42"/>
  <c r="AF12" i="39"/>
  <c r="AG11" i="39"/>
  <c r="C9" i="42"/>
  <c r="E9" i="42" s="1"/>
  <c r="F8" i="42"/>
  <c r="M8" i="40"/>
  <c r="N7" i="40"/>
  <c r="N8" i="42"/>
  <c r="O8" i="42" s="1"/>
  <c r="M9" i="42"/>
  <c r="AF13" i="39"/>
  <c r="AG12" i="39"/>
  <c r="F9" i="42"/>
  <c r="C10" i="42"/>
  <c r="E10" i="42" s="1"/>
  <c r="M9" i="40"/>
  <c r="N8" i="40"/>
  <c r="M10" i="42"/>
  <c r="N9" i="42"/>
  <c r="O9" i="42" s="1"/>
  <c r="AG13" i="39"/>
  <c r="AF14" i="39"/>
  <c r="C11" i="42"/>
  <c r="E11" i="42" s="1"/>
  <c r="F10" i="42"/>
  <c r="N9" i="40"/>
  <c r="M10" i="40"/>
  <c r="N10" i="42"/>
  <c r="O10" i="42" s="1"/>
  <c r="M11" i="42"/>
  <c r="AG14" i="39"/>
  <c r="AF15" i="39"/>
  <c r="N10" i="40"/>
  <c r="O10" i="40" s="1"/>
  <c r="M11" i="40"/>
  <c r="N11" i="42"/>
  <c r="O11" i="42" s="1"/>
  <c r="M12" i="42"/>
  <c r="AF16" i="39"/>
  <c r="AG15" i="39"/>
  <c r="M12" i="40"/>
  <c r="N11" i="40"/>
  <c r="N12" i="42"/>
  <c r="O12" i="42" s="1"/>
  <c r="M13" i="42"/>
  <c r="AG16" i="39"/>
  <c r="AF17" i="39"/>
  <c r="M13" i="40"/>
  <c r="N12" i="40"/>
  <c r="M14" i="42"/>
  <c r="N13" i="42"/>
  <c r="O13" i="42" s="1"/>
  <c r="AF18" i="39"/>
  <c r="AG17" i="39"/>
  <c r="N13" i="40"/>
  <c r="M14" i="40"/>
  <c r="N14" i="42"/>
  <c r="O14" i="42" s="1"/>
  <c r="M15" i="42"/>
  <c r="AG18" i="39"/>
  <c r="AF19" i="39"/>
  <c r="N14" i="40"/>
  <c r="O14" i="40" s="1"/>
  <c r="M15" i="40"/>
  <c r="M16" i="42"/>
  <c r="N15" i="42"/>
  <c r="O15" i="42" s="1"/>
  <c r="AF20" i="39"/>
  <c r="AG19" i="39"/>
  <c r="M16" i="40"/>
  <c r="N15" i="40"/>
  <c r="N16" i="42"/>
  <c r="O16" i="42" s="1"/>
  <c r="M17" i="42"/>
  <c r="AF21" i="39"/>
  <c r="AG20" i="39"/>
  <c r="M17" i="40"/>
  <c r="N16" i="40"/>
  <c r="M18" i="42"/>
  <c r="N17" i="42"/>
  <c r="O17" i="42" s="1"/>
  <c r="AG21" i="39"/>
  <c r="AF22" i="39"/>
  <c r="N17" i="40"/>
  <c r="M18" i="40"/>
  <c r="N18" i="42"/>
  <c r="O18" i="42" s="1"/>
  <c r="M19" i="42"/>
  <c r="AG22" i="39"/>
  <c r="AF23" i="39"/>
  <c r="M19" i="40"/>
  <c r="N18" i="40"/>
  <c r="M20" i="42"/>
  <c r="N19" i="42"/>
  <c r="O19" i="42" s="1"/>
  <c r="AG23" i="39"/>
  <c r="AF24" i="39"/>
  <c r="M20" i="40"/>
  <c r="N19" i="40"/>
  <c r="N20" i="42"/>
  <c r="O20" i="42" s="1"/>
  <c r="M21" i="42"/>
  <c r="AG24" i="39"/>
  <c r="AF25" i="39"/>
  <c r="N20" i="40"/>
  <c r="M21" i="40"/>
  <c r="N21" i="42"/>
  <c r="O21" i="42" s="1"/>
  <c r="M22" i="42"/>
  <c r="AF26" i="39"/>
  <c r="AG25" i="39"/>
  <c r="N21" i="40"/>
  <c r="M22" i="40"/>
  <c r="M23" i="42"/>
  <c r="N22" i="42"/>
  <c r="O22" i="42" s="1"/>
  <c r="AG26" i="39"/>
  <c r="AF27" i="39"/>
  <c r="M23" i="40"/>
  <c r="N22" i="40"/>
  <c r="M24" i="42"/>
  <c r="N23" i="42"/>
  <c r="O23" i="42" s="1"/>
  <c r="AF28" i="39"/>
  <c r="AG27" i="39"/>
  <c r="N23" i="40"/>
  <c r="M24" i="40"/>
  <c r="N24" i="42"/>
  <c r="O24" i="42" s="1"/>
  <c r="M25" i="42"/>
  <c r="AG28" i="39"/>
  <c r="AF29" i="39"/>
  <c r="M25" i="40"/>
  <c r="N24" i="40"/>
  <c r="N25" i="42"/>
  <c r="O25" i="42" s="1"/>
  <c r="M26" i="42"/>
  <c r="AF30" i="39"/>
  <c r="AG29" i="39"/>
  <c r="M26" i="40"/>
  <c r="N25" i="40"/>
  <c r="N26" i="42"/>
  <c r="O26" i="42" s="1"/>
  <c r="M27" i="42"/>
  <c r="AG30" i="39"/>
  <c r="AF31" i="39"/>
  <c r="N26" i="40"/>
  <c r="M27" i="40"/>
  <c r="M28" i="42"/>
  <c r="N27" i="42"/>
  <c r="O27" i="42" s="1"/>
  <c r="AF32" i="39"/>
  <c r="AG31" i="39"/>
  <c r="M28" i="40"/>
  <c r="N27" i="40"/>
  <c r="N28" i="42"/>
  <c r="O28" i="42" s="1"/>
  <c r="M29" i="42"/>
  <c r="AG32" i="39"/>
  <c r="AF33" i="39"/>
  <c r="M29" i="40"/>
  <c r="N28" i="40"/>
  <c r="M30" i="42"/>
  <c r="N29" i="42"/>
  <c r="O29" i="42" s="1"/>
  <c r="AG33" i="39"/>
  <c r="AF34" i="39"/>
  <c r="M30" i="40"/>
  <c r="N29" i="40"/>
  <c r="M31" i="42"/>
  <c r="N30" i="42"/>
  <c r="O30" i="42" s="1"/>
  <c r="AF35" i="39"/>
  <c r="AG34" i="39"/>
  <c r="M31" i="40"/>
  <c r="N30" i="40"/>
  <c r="O30" i="40" s="1"/>
  <c r="M32" i="42"/>
  <c r="N31" i="42"/>
  <c r="O31" i="42" s="1"/>
  <c r="AF36" i="39"/>
  <c r="AG35" i="39"/>
  <c r="N31" i="40"/>
  <c r="M32" i="40"/>
  <c r="M33" i="42"/>
  <c r="N32" i="42"/>
  <c r="O32" i="42" s="1"/>
  <c r="AG36" i="39"/>
  <c r="AF37" i="39"/>
  <c r="N32" i="40"/>
  <c r="O32" i="40" s="1"/>
  <c r="M33" i="40"/>
  <c r="N33" i="42"/>
  <c r="O33" i="42" s="1"/>
  <c r="M34" i="42"/>
  <c r="AF38" i="39"/>
  <c r="AG37" i="39"/>
  <c r="N33" i="40"/>
  <c r="M34" i="40"/>
  <c r="N34" i="42"/>
  <c r="O34" i="42" s="1"/>
  <c r="M35" i="42"/>
  <c r="AF39" i="39"/>
  <c r="AG38" i="39"/>
  <c r="N34" i="40"/>
  <c r="O34" i="40" s="1"/>
  <c r="M35" i="40"/>
  <c r="N35" i="42"/>
  <c r="O35" i="42" s="1"/>
  <c r="M36" i="42"/>
  <c r="AF40" i="39"/>
  <c r="AG39" i="39"/>
  <c r="N35" i="40"/>
  <c r="M36" i="40"/>
  <c r="N36" i="42"/>
  <c r="O36" i="42" s="1"/>
  <c r="M37" i="42"/>
  <c r="AG40" i="39"/>
  <c r="AF41" i="39"/>
  <c r="N36" i="40"/>
  <c r="M37" i="40"/>
  <c r="N37" i="42"/>
  <c r="O37" i="42" s="1"/>
  <c r="M38" i="42"/>
  <c r="AF42" i="39"/>
  <c r="AG41" i="39"/>
  <c r="M38" i="40"/>
  <c r="N37" i="40"/>
  <c r="N38" i="42"/>
  <c r="O38" i="42" s="1"/>
  <c r="M39" i="42"/>
  <c r="AF43" i="39"/>
  <c r="AG42" i="39"/>
  <c r="M39" i="40"/>
  <c r="N38" i="40"/>
  <c r="N39" i="42"/>
  <c r="O39" i="42" s="1"/>
  <c r="M40" i="42"/>
  <c r="AG43" i="39"/>
  <c r="AF44" i="39"/>
  <c r="N39" i="40"/>
  <c r="M40" i="40"/>
  <c r="M41" i="42"/>
  <c r="N40" i="42"/>
  <c r="O40" i="42" s="1"/>
  <c r="AG44" i="39"/>
  <c r="AF45" i="39"/>
  <c r="M41" i="40"/>
  <c r="N40" i="40"/>
  <c r="M42" i="42"/>
  <c r="N41" i="42"/>
  <c r="O41" i="42" s="1"/>
  <c r="AF46" i="39"/>
  <c r="AG45" i="39"/>
  <c r="M42" i="40"/>
  <c r="N41" i="40"/>
  <c r="M43" i="42"/>
  <c r="N42" i="42"/>
  <c r="O42" i="42" s="1"/>
  <c r="AG46" i="39"/>
  <c r="AF47" i="39"/>
  <c r="N42" i="40"/>
  <c r="O42" i="40" s="1"/>
  <c r="M43" i="40"/>
  <c r="N43" i="42"/>
  <c r="O43" i="42" s="1"/>
  <c r="M44" i="42"/>
  <c r="AF48" i="39"/>
  <c r="AG47" i="39"/>
  <c r="M44" i="40"/>
  <c r="N43" i="40"/>
  <c r="M45" i="42"/>
  <c r="N44" i="42"/>
  <c r="O44" i="42" s="1"/>
  <c r="AF49" i="39"/>
  <c r="AG48" i="39"/>
  <c r="N44" i="40"/>
  <c r="M45" i="40"/>
  <c r="M46" i="42"/>
  <c r="N45" i="42"/>
  <c r="O45" i="42" s="1"/>
  <c r="AF50" i="39"/>
  <c r="AG49" i="39"/>
  <c r="M46" i="40"/>
  <c r="N45" i="40"/>
  <c r="N46" i="42"/>
  <c r="O46" i="42" s="1"/>
  <c r="M47" i="42"/>
  <c r="AG50" i="39"/>
  <c r="AF51" i="39"/>
  <c r="M47" i="40"/>
  <c r="N46" i="40"/>
  <c r="N47" i="42"/>
  <c r="O47" i="42" s="1"/>
  <c r="M48" i="42"/>
  <c r="AG51" i="39"/>
  <c r="AF52" i="39"/>
  <c r="M48" i="40"/>
  <c r="N47" i="40"/>
  <c r="M49" i="42"/>
  <c r="N48" i="42"/>
  <c r="O48" i="42" s="1"/>
  <c r="AG52" i="39"/>
  <c r="AF53" i="39"/>
  <c r="N48" i="40"/>
  <c r="M49" i="40"/>
  <c r="N49" i="42"/>
  <c r="O49" i="42" s="1"/>
  <c r="M50" i="42"/>
  <c r="AG53" i="39"/>
  <c r="AF54" i="39"/>
  <c r="N49" i="40"/>
  <c r="M50" i="40"/>
  <c r="N50" i="42"/>
  <c r="O50" i="42" s="1"/>
  <c r="M51" i="42"/>
  <c r="AG54" i="39"/>
  <c r="AF55" i="39"/>
  <c r="M51" i="40"/>
  <c r="N50" i="40"/>
  <c r="M52" i="42"/>
  <c r="N51" i="42"/>
  <c r="O51" i="42" s="1"/>
  <c r="AF56" i="39"/>
  <c r="AG55" i="39"/>
  <c r="N51" i="40"/>
  <c r="M52" i="40"/>
  <c r="N52" i="42"/>
  <c r="O52" i="42" s="1"/>
  <c r="M53" i="42"/>
  <c r="AG56" i="39"/>
  <c r="AF57" i="39"/>
  <c r="M53" i="40"/>
  <c r="N52" i="40"/>
  <c r="O52" i="40" s="1"/>
  <c r="M54" i="42"/>
  <c r="N53" i="42"/>
  <c r="O53" i="42" s="1"/>
  <c r="AF58" i="39"/>
  <c r="AG57" i="39"/>
  <c r="M54" i="40"/>
  <c r="N53" i="40"/>
  <c r="O53" i="40" s="1"/>
  <c r="M55" i="42"/>
  <c r="N54" i="42"/>
  <c r="O54" i="42" s="1"/>
  <c r="AG58" i="39"/>
  <c r="AF59" i="39"/>
  <c r="M55" i="40"/>
  <c r="N54" i="40"/>
  <c r="M56" i="42"/>
  <c r="N55" i="42"/>
  <c r="O55" i="42" s="1"/>
  <c r="AF60" i="39"/>
  <c r="AG59" i="39"/>
  <c r="M56" i="40"/>
  <c r="N55" i="40"/>
  <c r="M57" i="42"/>
  <c r="N56" i="42"/>
  <c r="O56" i="42" s="1"/>
  <c r="AG60" i="39"/>
  <c r="AF61" i="39"/>
  <c r="N56" i="40"/>
  <c r="M57" i="40"/>
  <c r="M58" i="42"/>
  <c r="N57" i="42"/>
  <c r="O57" i="42" s="1"/>
  <c r="AF62" i="39"/>
  <c r="AG61" i="39"/>
  <c r="N57" i="40"/>
  <c r="M58" i="40"/>
  <c r="M59" i="42"/>
  <c r="N58" i="42"/>
  <c r="O58" i="42" s="1"/>
  <c r="AF63" i="39"/>
  <c r="AG62" i="39"/>
  <c r="M59" i="40"/>
  <c r="N58" i="40"/>
  <c r="M60" i="42"/>
  <c r="N59" i="42"/>
  <c r="O59" i="42" s="1"/>
  <c r="AG63" i="39"/>
  <c r="AF64" i="39"/>
  <c r="M60" i="40"/>
  <c r="N59" i="40"/>
  <c r="N60" i="42"/>
  <c r="O60" i="42" s="1"/>
  <c r="M61" i="42"/>
  <c r="AG64" i="39"/>
  <c r="AF65" i="39"/>
  <c r="M61" i="40"/>
  <c r="N60" i="40"/>
  <c r="N61" i="42"/>
  <c r="O61" i="42" s="1"/>
  <c r="M62" i="42"/>
  <c r="AG65" i="39"/>
  <c r="AF66" i="39"/>
  <c r="N61" i="40"/>
  <c r="M62" i="40"/>
  <c r="M63" i="42"/>
  <c r="N62" i="42"/>
  <c r="O62" i="42" s="1"/>
  <c r="AG66" i="39"/>
  <c r="AF67" i="39"/>
  <c r="N62" i="40"/>
  <c r="M63" i="40"/>
  <c r="M64" i="42"/>
  <c r="N63" i="42"/>
  <c r="O63" i="42" s="1"/>
  <c r="AG67" i="39"/>
  <c r="AF68" i="39"/>
  <c r="M64" i="40"/>
  <c r="N63" i="40"/>
  <c r="O63" i="40" s="1"/>
  <c r="M65" i="42"/>
  <c r="N64" i="42"/>
  <c r="O64" i="42" s="1"/>
  <c r="AG68" i="39"/>
  <c r="AF69" i="39"/>
  <c r="N64" i="40"/>
  <c r="M65" i="40"/>
  <c r="M66" i="42"/>
  <c r="N65" i="42"/>
  <c r="O65" i="42" s="1"/>
  <c r="AG69" i="39"/>
  <c r="AF70" i="39"/>
  <c r="M66" i="40"/>
  <c r="N65" i="40"/>
  <c r="O65" i="40" s="1"/>
  <c r="M67" i="42"/>
  <c r="N66" i="42"/>
  <c r="O66" i="42" s="1"/>
  <c r="AG70" i="39"/>
  <c r="AF71" i="39"/>
  <c r="N66" i="40"/>
  <c r="O66" i="40" s="1"/>
  <c r="M67" i="40"/>
  <c r="M68" i="42"/>
  <c r="N67" i="42"/>
  <c r="O67" i="42" s="1"/>
  <c r="AF72" i="39"/>
  <c r="AG71" i="39"/>
  <c r="N67" i="40"/>
  <c r="M68" i="40"/>
  <c r="N68" i="42"/>
  <c r="O68" i="42" s="1"/>
  <c r="M69" i="42"/>
  <c r="AF73" i="39"/>
  <c r="AG72" i="39"/>
  <c r="M69" i="40"/>
  <c r="N68" i="40"/>
  <c r="O68" i="40" s="1"/>
  <c r="M70" i="42"/>
  <c r="N69" i="42"/>
  <c r="O69" i="42" s="1"/>
  <c r="AG73" i="39"/>
  <c r="AF74" i="39"/>
  <c r="M70" i="40"/>
  <c r="N69" i="40"/>
  <c r="N70" i="42"/>
  <c r="O70" i="42" s="1"/>
  <c r="M71" i="42"/>
  <c r="AG74" i="39"/>
  <c r="AF75" i="39"/>
  <c r="M71" i="40"/>
  <c r="N70" i="40"/>
  <c r="M72" i="42"/>
  <c r="N71" i="42"/>
  <c r="O71" i="42" s="1"/>
  <c r="AF76" i="39"/>
  <c r="AG75" i="39"/>
  <c r="M72" i="40"/>
  <c r="N71" i="40"/>
  <c r="O71" i="40" s="1"/>
  <c r="N72" i="42"/>
  <c r="O72" i="42" s="1"/>
  <c r="M73" i="42"/>
  <c r="AG76" i="39"/>
  <c r="AF77" i="39"/>
  <c r="N72" i="40"/>
  <c r="M73" i="40"/>
  <c r="N73" i="42"/>
  <c r="O73" i="42" s="1"/>
  <c r="M74" i="42"/>
  <c r="AF78" i="39"/>
  <c r="AG77" i="39"/>
  <c r="M74" i="40"/>
  <c r="N73" i="40"/>
  <c r="N74" i="42"/>
  <c r="O74" i="42" s="1"/>
  <c r="M75" i="42"/>
  <c r="AF79" i="39"/>
  <c r="AG78" i="39"/>
  <c r="N74" i="40"/>
  <c r="M75" i="40"/>
  <c r="M76" i="42"/>
  <c r="N75" i="42"/>
  <c r="O75" i="42" s="1"/>
  <c r="AF80" i="39"/>
  <c r="AG79" i="39"/>
  <c r="N75" i="40"/>
  <c r="O75" i="40" s="1"/>
  <c r="M76" i="40"/>
  <c r="M77" i="42"/>
  <c r="N76" i="42"/>
  <c r="O76" i="42" s="1"/>
  <c r="AG80" i="39"/>
  <c r="AF81" i="39"/>
  <c r="M77" i="40"/>
  <c r="N76" i="40"/>
  <c r="M78" i="42"/>
  <c r="N77" i="42"/>
  <c r="O77" i="42" s="1"/>
  <c r="AF82" i="39"/>
  <c r="AG81" i="39"/>
  <c r="M78" i="40"/>
  <c r="N77" i="40"/>
  <c r="N78" i="42"/>
  <c r="O78" i="42" s="1"/>
  <c r="M79" i="42"/>
  <c r="AG82" i="39"/>
  <c r="AF83" i="39"/>
  <c r="N78" i="40"/>
  <c r="M79" i="40"/>
  <c r="N79" i="42"/>
  <c r="O79" i="42" s="1"/>
  <c r="M80" i="42"/>
  <c r="AG83" i="39"/>
  <c r="AF84" i="39"/>
  <c r="M80" i="40"/>
  <c r="N79" i="40"/>
  <c r="N80" i="42"/>
  <c r="O80" i="42" s="1"/>
  <c r="M81" i="42"/>
  <c r="AF85" i="39"/>
  <c r="AG84" i="39"/>
  <c r="N80" i="40"/>
  <c r="M81" i="40"/>
  <c r="M82" i="42"/>
  <c r="N81" i="42"/>
  <c r="O81" i="42" s="1"/>
  <c r="AG85" i="39"/>
  <c r="AF86" i="39"/>
  <c r="M82" i="40"/>
  <c r="N81" i="40"/>
  <c r="M83" i="42"/>
  <c r="N82" i="42"/>
  <c r="O82" i="42" s="1"/>
  <c r="AF87" i="39"/>
  <c r="AG86" i="39"/>
  <c r="N82" i="40"/>
  <c r="M83" i="40"/>
  <c r="N83" i="42"/>
  <c r="O83" i="42" s="1"/>
  <c r="M84" i="42"/>
  <c r="AG87" i="39"/>
  <c r="AF88" i="39"/>
  <c r="N83" i="40"/>
  <c r="M84" i="40"/>
  <c r="N84" i="42"/>
  <c r="O84" i="42" s="1"/>
  <c r="M85" i="42"/>
  <c r="AG88" i="39"/>
  <c r="AF89" i="39"/>
  <c r="N84" i="40"/>
  <c r="M85" i="40"/>
  <c r="N85" i="42"/>
  <c r="O85" i="42" s="1"/>
  <c r="M86" i="42"/>
  <c r="AF90" i="39"/>
  <c r="AG89" i="39"/>
  <c r="M86" i="40"/>
  <c r="N85" i="40"/>
  <c r="M87" i="42"/>
  <c r="N86" i="42"/>
  <c r="O86" i="42" s="1"/>
  <c r="AG90" i="39"/>
  <c r="AF91" i="39"/>
  <c r="M87" i="40"/>
  <c r="N86" i="40"/>
  <c r="M88" i="42"/>
  <c r="N87" i="42"/>
  <c r="O87" i="42" s="1"/>
  <c r="AG91" i="39"/>
  <c r="AF92" i="39"/>
  <c r="N87" i="40"/>
  <c r="O87" i="40" s="1"/>
  <c r="M88" i="40"/>
  <c r="N88" i="42"/>
  <c r="O88" i="42" s="1"/>
  <c r="M89" i="42"/>
  <c r="AF93" i="39"/>
  <c r="AG92" i="39"/>
  <c r="N88" i="40"/>
  <c r="M89" i="40"/>
  <c r="M90" i="42"/>
  <c r="N89" i="42"/>
  <c r="O89" i="42" s="1"/>
  <c r="AG93" i="39"/>
  <c r="AF94" i="39"/>
  <c r="N89" i="40"/>
  <c r="O89" i="40" s="1"/>
  <c r="M90" i="40"/>
  <c r="N90" i="42"/>
  <c r="O90" i="42" s="1"/>
  <c r="M91" i="42"/>
  <c r="AG94" i="39"/>
  <c r="AF95" i="39"/>
  <c r="M91" i="40"/>
  <c r="N90" i="40"/>
  <c r="M92" i="42"/>
  <c r="N91" i="42"/>
  <c r="O91" i="42" s="1"/>
  <c r="AF96" i="39"/>
  <c r="AG95" i="39"/>
  <c r="N91" i="40"/>
  <c r="M92" i="40"/>
  <c r="M93" i="42"/>
  <c r="N92" i="42"/>
  <c r="O92" i="42" s="1"/>
  <c r="AG96" i="39"/>
  <c r="AF97" i="39"/>
  <c r="N92" i="40"/>
  <c r="M93" i="40"/>
  <c r="M94" i="42"/>
  <c r="N93" i="42"/>
  <c r="O93" i="42" s="1"/>
  <c r="AG97" i="39"/>
  <c r="AF98" i="39"/>
  <c r="M94" i="40"/>
  <c r="N93" i="40"/>
  <c r="N94" i="42"/>
  <c r="O94" i="42" s="1"/>
  <c r="M95" i="42"/>
  <c r="AG98" i="39"/>
  <c r="AF99" i="39"/>
  <c r="M95" i="40"/>
  <c r="N94" i="40"/>
  <c r="O94" i="40" s="1"/>
  <c r="M96" i="42"/>
  <c r="N95" i="42"/>
  <c r="O95" i="42" s="1"/>
  <c r="AG99" i="39"/>
  <c r="AF100" i="39"/>
  <c r="N95" i="40"/>
  <c r="O95" i="40" s="1"/>
  <c r="M96" i="40"/>
  <c r="M97" i="42"/>
  <c r="N96" i="42"/>
  <c r="O96" i="42" s="1"/>
  <c r="AG100" i="39"/>
  <c r="AF101" i="39"/>
  <c r="N96" i="40"/>
  <c r="M97" i="40"/>
  <c r="M98" i="42"/>
  <c r="N97" i="42"/>
  <c r="O97" i="42" s="1"/>
  <c r="AG101" i="39"/>
  <c r="AF102" i="39"/>
  <c r="N97" i="40"/>
  <c r="O97" i="40" s="1"/>
  <c r="M98" i="40"/>
  <c r="M99" i="42"/>
  <c r="N98" i="42"/>
  <c r="O98" i="42" s="1"/>
  <c r="AG102" i="39"/>
  <c r="AF103" i="39"/>
  <c r="N98" i="40"/>
  <c r="M99" i="40"/>
  <c r="M100" i="42"/>
  <c r="N99" i="42"/>
  <c r="O99" i="42" s="1"/>
  <c r="AF104" i="39"/>
  <c r="AG103" i="39"/>
  <c r="M100" i="40"/>
  <c r="N99" i="40"/>
  <c r="M101" i="42"/>
  <c r="N100" i="42"/>
  <c r="O100" i="42" s="1"/>
  <c r="AG104" i="39"/>
  <c r="AF105" i="39"/>
  <c r="N100" i="40"/>
  <c r="M101" i="40"/>
  <c r="M102" i="42"/>
  <c r="N101" i="42"/>
  <c r="O101" i="42" s="1"/>
  <c r="AF106" i="39"/>
  <c r="AG105" i="39"/>
  <c r="M102" i="40"/>
  <c r="N101" i="40"/>
  <c r="N102" i="42"/>
  <c r="O102" i="42" s="1"/>
  <c r="M103" i="42"/>
  <c r="AG106" i="39"/>
  <c r="AF107" i="39"/>
  <c r="M103" i="40"/>
  <c r="N102" i="40"/>
  <c r="M104" i="42"/>
  <c r="N103" i="42"/>
  <c r="O103" i="42" s="1"/>
  <c r="AF108" i="39"/>
  <c r="AG107" i="39"/>
  <c r="N103" i="40"/>
  <c r="O103" i="40" s="1"/>
  <c r="M104" i="40"/>
  <c r="N104" i="42"/>
  <c r="O104" i="42" s="1"/>
  <c r="M105" i="42"/>
  <c r="AG108" i="39"/>
  <c r="AF109" i="39"/>
  <c r="M105" i="40"/>
  <c r="N104" i="40"/>
  <c r="M106" i="42"/>
  <c r="N105" i="42"/>
  <c r="O105" i="42" s="1"/>
  <c r="AG109" i="39"/>
  <c r="AF110" i="39"/>
  <c r="N105" i="40"/>
  <c r="M106" i="40"/>
  <c r="N106" i="42"/>
  <c r="O106" i="42" s="1"/>
  <c r="M107" i="42"/>
  <c r="AF111" i="39"/>
  <c r="AG110" i="39"/>
  <c r="N106" i="40"/>
  <c r="M107" i="40"/>
  <c r="M108" i="42"/>
  <c r="N107" i="42"/>
  <c r="O107" i="42" s="1"/>
  <c r="AG111" i="39"/>
  <c r="AF112" i="39"/>
  <c r="N107" i="40"/>
  <c r="M108" i="40"/>
  <c r="N108" i="42"/>
  <c r="O108" i="42" s="1"/>
  <c r="M109" i="42"/>
  <c r="AG112" i="39"/>
  <c r="AF113" i="39"/>
  <c r="M109" i="40"/>
  <c r="N108" i="40"/>
  <c r="N109" i="42"/>
  <c r="O109" i="42" s="1"/>
  <c r="M110" i="42"/>
  <c r="AF114" i="39"/>
  <c r="AG113" i="39"/>
  <c r="N109" i="40"/>
  <c r="O109" i="40" s="1"/>
  <c r="M110" i="40"/>
  <c r="N110" i="42"/>
  <c r="O110" i="42" s="1"/>
  <c r="M111" i="42"/>
  <c r="AG114" i="39"/>
  <c r="AF115" i="39"/>
  <c r="N110" i="40"/>
  <c r="M111" i="40"/>
  <c r="M112" i="42"/>
  <c r="N111" i="42"/>
  <c r="O111" i="42" s="1"/>
  <c r="AF116" i="39"/>
  <c r="AG115" i="39"/>
  <c r="M112" i="40"/>
  <c r="N111" i="40"/>
  <c r="M113" i="42"/>
  <c r="N112" i="42"/>
  <c r="O112" i="42" s="1"/>
  <c r="AG116" i="39"/>
  <c r="AF117" i="39"/>
  <c r="N112" i="40"/>
  <c r="M113" i="40"/>
  <c r="M114" i="42"/>
  <c r="N113" i="42"/>
  <c r="O113" i="42" s="1"/>
  <c r="AG117" i="39"/>
  <c r="AF118" i="39"/>
  <c r="N113" i="40"/>
  <c r="M114" i="40"/>
  <c r="M115" i="42"/>
  <c r="N114" i="42"/>
  <c r="O114" i="42" s="1"/>
  <c r="AF119" i="39"/>
  <c r="AG118" i="39"/>
  <c r="M115" i="40"/>
  <c r="N114" i="40"/>
  <c r="M116" i="42"/>
  <c r="N115" i="42"/>
  <c r="O115" i="42" s="1"/>
  <c r="AG119" i="39"/>
  <c r="AF120" i="39"/>
  <c r="M116" i="40"/>
  <c r="N115" i="40"/>
  <c r="M117" i="42"/>
  <c r="N116" i="42"/>
  <c r="O116" i="42" s="1"/>
  <c r="AF121" i="39"/>
  <c r="AG120" i="39"/>
  <c r="M117" i="40"/>
  <c r="N116" i="40"/>
  <c r="N117" i="42"/>
  <c r="O117" i="42" s="1"/>
  <c r="M118" i="42"/>
  <c r="AG121" i="39"/>
  <c r="AF122" i="39"/>
  <c r="M118" i="40"/>
  <c r="N117" i="40"/>
  <c r="O117" i="40" s="1"/>
  <c r="M119" i="42"/>
  <c r="N118" i="42"/>
  <c r="O118" i="42" s="1"/>
  <c r="AG122" i="39"/>
  <c r="AF123" i="39"/>
  <c r="N118" i="40"/>
  <c r="M119" i="40"/>
  <c r="N119" i="42"/>
  <c r="O119" i="42" s="1"/>
  <c r="M120" i="42"/>
  <c r="AF124" i="39"/>
  <c r="AG123" i="39"/>
  <c r="M120" i="40"/>
  <c r="N119" i="40"/>
  <c r="M121" i="42"/>
  <c r="N120" i="42"/>
  <c r="O120" i="42" s="1"/>
  <c r="AG124" i="39"/>
  <c r="AF125" i="39"/>
  <c r="M121" i="40"/>
  <c r="N120" i="40"/>
  <c r="N121" i="42"/>
  <c r="M122" i="42"/>
  <c r="AF126" i="39"/>
  <c r="AG125" i="39"/>
  <c r="M122" i="40"/>
  <c r="N121" i="40"/>
  <c r="M123" i="42"/>
  <c r="N122" i="42"/>
  <c r="O122" i="42" s="1"/>
  <c r="AG126" i="39"/>
  <c r="AF127" i="39"/>
  <c r="M123" i="40"/>
  <c r="N122" i="40"/>
  <c r="N123" i="42"/>
  <c r="O123" i="42" s="1"/>
  <c r="M124" i="42"/>
  <c r="AF128" i="39"/>
  <c r="AG127" i="39"/>
  <c r="N123" i="40"/>
  <c r="M124" i="40"/>
  <c r="N124" i="42"/>
  <c r="O124" i="42" s="1"/>
  <c r="M125" i="42"/>
  <c r="AF129" i="39"/>
  <c r="AG128" i="39"/>
  <c r="M125" i="40"/>
  <c r="N124" i="40"/>
  <c r="M126" i="42"/>
  <c r="N125" i="42"/>
  <c r="O125" i="42" s="1"/>
  <c r="AF130" i="39"/>
  <c r="AG129" i="39"/>
  <c r="N125" i="40"/>
  <c r="M126" i="40"/>
  <c r="N126" i="42"/>
  <c r="O126" i="42" s="1"/>
  <c r="M127" i="42"/>
  <c r="AF131" i="39"/>
  <c r="AG130" i="39"/>
  <c r="N126" i="40"/>
  <c r="M127" i="40"/>
  <c r="N127" i="42"/>
  <c r="O127" i="42" s="1"/>
  <c r="M128" i="42"/>
  <c r="AF132" i="39"/>
  <c r="AG131" i="39"/>
  <c r="N127" i="40"/>
  <c r="M128" i="40"/>
  <c r="M129" i="42"/>
  <c r="N128" i="42"/>
  <c r="O128" i="42" s="1"/>
  <c r="M129" i="40"/>
  <c r="N128" i="40"/>
  <c r="M130" i="42"/>
  <c r="N129" i="42"/>
  <c r="O129" i="42" s="1"/>
  <c r="M130" i="40"/>
  <c r="N129" i="40"/>
  <c r="O129" i="40" s="1"/>
  <c r="M131" i="42"/>
  <c r="N130" i="42"/>
  <c r="O130" i="42" s="1"/>
  <c r="N130" i="40"/>
  <c r="M131" i="40"/>
  <c r="M132" i="42"/>
  <c r="N131" i="42"/>
  <c r="O131" i="42" s="1"/>
  <c r="M132" i="40"/>
  <c r="N131" i="40"/>
  <c r="O131" i="40" s="1"/>
  <c r="N132" i="42"/>
  <c r="O132" i="42" s="1"/>
  <c r="M133" i="42"/>
  <c r="N132" i="40"/>
  <c r="M133" i="40"/>
  <c r="M134" i="42"/>
  <c r="N133" i="42"/>
  <c r="O133" i="42" s="1"/>
  <c r="M134" i="40"/>
  <c r="N133" i="40"/>
  <c r="M135" i="42"/>
  <c r="N134" i="42"/>
  <c r="O134" i="42" s="1"/>
  <c r="N134" i="40"/>
  <c r="M135" i="40"/>
  <c r="N135" i="42"/>
  <c r="O135" i="42" s="1"/>
  <c r="M136" i="42"/>
  <c r="N135" i="40"/>
  <c r="O135" i="40" s="1"/>
  <c r="M136" i="40"/>
  <c r="N136" i="42"/>
  <c r="O136" i="42" s="1"/>
  <c r="M137" i="42"/>
  <c r="M137" i="40"/>
  <c r="N136" i="40"/>
  <c r="M138" i="42"/>
  <c r="N137" i="42"/>
  <c r="O137" i="42" s="1"/>
  <c r="N137" i="40"/>
  <c r="M138" i="40"/>
  <c r="N138" i="42"/>
  <c r="O138" i="42" s="1"/>
  <c r="M139" i="42"/>
  <c r="N138" i="40"/>
  <c r="M139" i="40"/>
  <c r="N139" i="42"/>
  <c r="O139" i="42" s="1"/>
  <c r="M140" i="42"/>
  <c r="N139" i="40"/>
  <c r="M140" i="40"/>
  <c r="N140" i="42"/>
  <c r="O140" i="42" s="1"/>
  <c r="M141" i="42"/>
  <c r="M141" i="40"/>
  <c r="N140" i="40"/>
  <c r="M142" i="42"/>
  <c r="N141" i="42"/>
  <c r="O141" i="42" s="1"/>
  <c r="N141" i="40"/>
  <c r="M142" i="40"/>
  <c r="M143" i="42"/>
  <c r="N142" i="42"/>
  <c r="O142" i="42" s="1"/>
  <c r="N142" i="40"/>
  <c r="M143" i="40"/>
  <c r="N143" i="42"/>
  <c r="O143" i="42" s="1"/>
  <c r="M144" i="42"/>
  <c r="N143" i="40"/>
  <c r="M144" i="40"/>
  <c r="M145" i="42"/>
  <c r="N144" i="42"/>
  <c r="O144" i="42" s="1"/>
  <c r="N144" i="40"/>
  <c r="M145" i="40"/>
  <c r="M146" i="42"/>
  <c r="N145" i="42"/>
  <c r="O145" i="42" s="1"/>
  <c r="N145" i="40"/>
  <c r="O145" i="40" s="1"/>
  <c r="M146" i="40"/>
  <c r="M147" i="42"/>
  <c r="N146" i="42"/>
  <c r="O146" i="42" s="1"/>
  <c r="M147" i="40"/>
  <c r="N146" i="40"/>
  <c r="M148" i="42"/>
  <c r="N147" i="42"/>
  <c r="O147" i="42" s="1"/>
  <c r="N147" i="40"/>
  <c r="M148" i="40"/>
  <c r="M149" i="42"/>
  <c r="N148" i="42"/>
  <c r="O148" i="42" s="1"/>
  <c r="N148" i="40"/>
  <c r="M149" i="40"/>
  <c r="M150" i="42"/>
  <c r="N149" i="42"/>
  <c r="O149" i="42" s="1"/>
  <c r="N149" i="40"/>
  <c r="M150" i="40"/>
  <c r="M151" i="42"/>
  <c r="N150" i="42"/>
  <c r="O150" i="42" s="1"/>
  <c r="M151" i="40"/>
  <c r="N150" i="40"/>
  <c r="M152" i="42"/>
  <c r="N151" i="42"/>
  <c r="O151" i="42" s="1"/>
  <c r="N151" i="40"/>
  <c r="M152" i="40"/>
  <c r="N152" i="42"/>
  <c r="O152" i="42" s="1"/>
  <c r="M153" i="42"/>
  <c r="M153" i="40"/>
  <c r="N152" i="40"/>
  <c r="O152" i="40" s="1"/>
  <c r="M154" i="42"/>
  <c r="N153" i="42"/>
  <c r="O153" i="42" s="1"/>
  <c r="M154" i="40"/>
  <c r="N153" i="40"/>
  <c r="N154" i="42"/>
  <c r="O154" i="42" s="1"/>
  <c r="M155" i="42"/>
  <c r="M155" i="40"/>
  <c r="N154" i="40"/>
  <c r="N155" i="42"/>
  <c r="O155" i="42" s="1"/>
  <c r="M156" i="42"/>
  <c r="M156" i="40"/>
  <c r="N155" i="40"/>
  <c r="O155" i="40" s="1"/>
  <c r="M157" i="42"/>
  <c r="N156" i="42"/>
  <c r="O156" i="42" s="1"/>
  <c r="N156" i="40"/>
  <c r="M157" i="40"/>
  <c r="M158" i="42"/>
  <c r="N157" i="42"/>
  <c r="O157" i="42" s="1"/>
  <c r="M158" i="40"/>
  <c r="N157" i="40"/>
  <c r="O157" i="40" s="1"/>
  <c r="M159" i="42"/>
  <c r="N158" i="42"/>
  <c r="O158" i="42" s="1"/>
  <c r="N158" i="40"/>
  <c r="M159" i="40"/>
  <c r="M160" i="42"/>
  <c r="N159" i="42"/>
  <c r="O159" i="42" s="1"/>
  <c r="N159" i="40"/>
  <c r="O159" i="40" s="1"/>
  <c r="M160" i="40"/>
  <c r="N160" i="42"/>
  <c r="O160" i="42" s="1"/>
  <c r="M161" i="42"/>
  <c r="N160" i="40"/>
  <c r="O160" i="40" s="1"/>
  <c r="M161" i="40"/>
  <c r="N161" i="42"/>
  <c r="O161" i="42" s="1"/>
  <c r="M162" i="42"/>
  <c r="N161" i="40"/>
  <c r="M162" i="40"/>
  <c r="N162" i="42"/>
  <c r="M163" i="42"/>
  <c r="M163" i="40"/>
  <c r="N162" i="40"/>
  <c r="N163" i="42"/>
  <c r="O163" i="42" s="1"/>
  <c r="M164" i="42"/>
  <c r="M164" i="40"/>
  <c r="N163" i="40"/>
  <c r="M165" i="42"/>
  <c r="N164" i="42"/>
  <c r="O164" i="42" s="1"/>
  <c r="N164" i="40"/>
  <c r="O164" i="40" s="1"/>
  <c r="M165" i="40"/>
  <c r="N165" i="42"/>
  <c r="O165" i="42" s="1"/>
  <c r="M166" i="42"/>
  <c r="M166" i="40"/>
  <c r="N165" i="40"/>
  <c r="O165" i="40" s="1"/>
  <c r="M167" i="42"/>
  <c r="N166" i="42"/>
  <c r="O166" i="42" s="1"/>
  <c r="M167" i="40"/>
  <c r="N166" i="40"/>
  <c r="M168" i="42"/>
  <c r="N167" i="42"/>
  <c r="N167" i="40"/>
  <c r="M168" i="40"/>
  <c r="N168" i="42"/>
  <c r="O168" i="42" s="1"/>
  <c r="M169" i="42"/>
  <c r="M169" i="40"/>
  <c r="N168" i="40"/>
  <c r="N169" i="42"/>
  <c r="O169" i="42" s="1"/>
  <c r="M170" i="42"/>
  <c r="N169" i="40"/>
  <c r="M170" i="40"/>
  <c r="N170" i="42"/>
  <c r="O170" i="42" s="1"/>
  <c r="M171" i="42"/>
  <c r="N170" i="40"/>
  <c r="M171" i="40"/>
  <c r="M172" i="42"/>
  <c r="N171" i="42"/>
  <c r="O171" i="42" s="1"/>
  <c r="N171" i="40"/>
  <c r="M172" i="40"/>
  <c r="M173" i="42"/>
  <c r="N172" i="42"/>
  <c r="O172" i="42" s="1"/>
  <c r="M173" i="40"/>
  <c r="N172" i="40"/>
  <c r="N173" i="42"/>
  <c r="O173" i="42" s="1"/>
  <c r="M174" i="42"/>
  <c r="M174" i="40"/>
  <c r="N173" i="40"/>
  <c r="N174" i="42"/>
  <c r="O174" i="42" s="1"/>
  <c r="M175" i="42"/>
  <c r="N174" i="40"/>
  <c r="M175" i="40"/>
  <c r="M176" i="42"/>
  <c r="N175" i="42"/>
  <c r="O175" i="42" s="1"/>
  <c r="N175" i="40"/>
  <c r="M176" i="40"/>
  <c r="M177" i="42"/>
  <c r="N176" i="42"/>
  <c r="O176" i="42" s="1"/>
  <c r="N176" i="40"/>
  <c r="M177" i="40"/>
  <c r="N177" i="42"/>
  <c r="M178" i="42"/>
  <c r="N177" i="40"/>
  <c r="M178" i="40"/>
  <c r="N178" i="42"/>
  <c r="O178" i="42" s="1"/>
  <c r="M179" i="42"/>
  <c r="N178" i="40"/>
  <c r="O178" i="40" s="1"/>
  <c r="M179" i="40"/>
  <c r="N179" i="42"/>
  <c r="O179" i="42" s="1"/>
  <c r="M180" i="42"/>
  <c r="N179" i="40"/>
  <c r="M180" i="40"/>
  <c r="M181" i="42"/>
  <c r="N180" i="42"/>
  <c r="O180" i="42" s="1"/>
  <c r="M181" i="40"/>
  <c r="N180" i="40"/>
  <c r="N181" i="42"/>
  <c r="O181" i="42" s="1"/>
  <c r="M182" i="42"/>
  <c r="N181" i="40"/>
  <c r="O181" i="40" s="1"/>
  <c r="M182" i="40"/>
  <c r="M183" i="42"/>
  <c r="N182" i="42"/>
  <c r="O182" i="42" s="1"/>
  <c r="M183" i="40"/>
  <c r="N182" i="40"/>
  <c r="O182" i="40" s="1"/>
  <c r="M184" i="42"/>
  <c r="N183" i="42"/>
  <c r="O183" i="42" s="1"/>
  <c r="M184" i="40"/>
  <c r="N183" i="40"/>
  <c r="N184" i="42"/>
  <c r="O184" i="42" s="1"/>
  <c r="M185" i="42"/>
  <c r="M185" i="40"/>
  <c r="N184" i="40"/>
  <c r="N185" i="42"/>
  <c r="O185" i="42" s="1"/>
  <c r="M186" i="42"/>
  <c r="M186" i="40"/>
  <c r="N185" i="40"/>
  <c r="M187" i="42"/>
  <c r="N186" i="42"/>
  <c r="O186" i="42" s="1"/>
  <c r="N186" i="40"/>
  <c r="M187" i="40"/>
  <c r="M188" i="42"/>
  <c r="N187" i="42"/>
  <c r="O187" i="42" s="1"/>
  <c r="M188" i="40"/>
  <c r="N187" i="40"/>
  <c r="N188" i="42"/>
  <c r="O188" i="42" s="1"/>
  <c r="M189" i="42"/>
  <c r="N188" i="40"/>
  <c r="M189" i="40"/>
  <c r="M190" i="42"/>
  <c r="N189" i="42"/>
  <c r="O189" i="42" s="1"/>
  <c r="M190" i="40"/>
  <c r="N189" i="40"/>
  <c r="N190" i="42"/>
  <c r="O190" i="42" s="1"/>
  <c r="M191" i="42"/>
  <c r="N190" i="40"/>
  <c r="M191" i="40"/>
  <c r="N191" i="42"/>
  <c r="O191" i="42" s="1"/>
  <c r="M192" i="42"/>
  <c r="M192" i="40"/>
  <c r="N191" i="40"/>
  <c r="N192" i="42"/>
  <c r="O192" i="42" s="1"/>
  <c r="M193" i="42"/>
  <c r="M193" i="40"/>
  <c r="N192" i="40"/>
  <c r="M194" i="42"/>
  <c r="N193" i="42"/>
  <c r="O193" i="42" s="1"/>
  <c r="N193" i="40"/>
  <c r="O193" i="40" s="1"/>
  <c r="M194" i="40"/>
  <c r="N194" i="42"/>
  <c r="O194" i="42" s="1"/>
  <c r="M195" i="42"/>
  <c r="M195" i="40"/>
  <c r="N194" i="40"/>
  <c r="M196" i="42"/>
  <c r="N195" i="42"/>
  <c r="O195" i="42" s="1"/>
  <c r="N195" i="40"/>
  <c r="M196" i="40"/>
  <c r="M197" i="42"/>
  <c r="N196" i="42"/>
  <c r="O196" i="42" s="1"/>
  <c r="M197" i="40"/>
  <c r="N196" i="40"/>
  <c r="O196" i="40" s="1"/>
  <c r="M198" i="42"/>
  <c r="N197" i="42"/>
  <c r="O197" i="42" s="1"/>
  <c r="N197" i="40"/>
  <c r="O197" i="40" s="1"/>
  <c r="M198" i="40"/>
  <c r="M199" i="42"/>
  <c r="N198" i="42"/>
  <c r="O198" i="42" s="1"/>
  <c r="N198" i="40"/>
  <c r="M199" i="40"/>
  <c r="N199" i="42"/>
  <c r="O199" i="42" s="1"/>
  <c r="M200" i="42"/>
  <c r="M200" i="40"/>
  <c r="N199" i="40"/>
  <c r="M201" i="42"/>
  <c r="N200" i="42"/>
  <c r="O200" i="42" s="1"/>
  <c r="N200" i="40"/>
  <c r="O200" i="40" s="1"/>
  <c r="M201" i="40"/>
  <c r="M202" i="42"/>
  <c r="N201" i="42"/>
  <c r="O201" i="42" s="1"/>
  <c r="M202" i="40"/>
  <c r="N201" i="40"/>
  <c r="M203" i="42"/>
  <c r="N202" i="42"/>
  <c r="O202" i="42" s="1"/>
  <c r="M203" i="40"/>
  <c r="N202" i="40"/>
  <c r="O202" i="40" s="1"/>
  <c r="M204" i="42"/>
  <c r="N203" i="42"/>
  <c r="O203" i="42" s="1"/>
  <c r="M204" i="40"/>
  <c r="N203" i="40"/>
  <c r="M205" i="42"/>
  <c r="N204" i="42"/>
  <c r="O204" i="42" s="1"/>
  <c r="M205" i="40"/>
  <c r="N204" i="40"/>
  <c r="O204" i="40" s="1"/>
  <c r="N205" i="42"/>
  <c r="O205" i="42" s="1"/>
  <c r="M206" i="42"/>
  <c r="M206" i="40"/>
  <c r="N205" i="40"/>
  <c r="O205" i="40" s="1"/>
  <c r="M207" i="42"/>
  <c r="N206" i="42"/>
  <c r="O206" i="42" s="1"/>
  <c r="M207" i="40"/>
  <c r="N206" i="40"/>
  <c r="M208" i="42"/>
  <c r="N207" i="42"/>
  <c r="O207" i="42" s="1"/>
  <c r="N207" i="40"/>
  <c r="M208" i="40"/>
  <c r="M209" i="42"/>
  <c r="N208" i="42"/>
  <c r="O208" i="42" s="1"/>
  <c r="M209" i="40"/>
  <c r="N208" i="40"/>
  <c r="O208" i="40" s="1"/>
  <c r="M210" i="42"/>
  <c r="N209" i="42"/>
  <c r="O209" i="42" s="1"/>
  <c r="M210" i="40"/>
  <c r="N209" i="40"/>
  <c r="N210" i="42"/>
  <c r="O210" i="42" s="1"/>
  <c r="M211" i="42"/>
  <c r="M211" i="40"/>
  <c r="N210" i="40"/>
  <c r="M212" i="42"/>
  <c r="N211" i="42"/>
  <c r="O211" i="42" s="1"/>
  <c r="M212" i="40"/>
  <c r="N211" i="40"/>
  <c r="M213" i="42"/>
  <c r="N212" i="42"/>
  <c r="O212" i="42" s="1"/>
  <c r="N212" i="40"/>
  <c r="O212" i="40" s="1"/>
  <c r="M213" i="40"/>
  <c r="N213" i="42"/>
  <c r="O213" i="42" s="1"/>
  <c r="M214" i="42"/>
  <c r="M214" i="40"/>
  <c r="N213" i="40"/>
  <c r="M215" i="42"/>
  <c r="N214" i="42"/>
  <c r="O214" i="42" s="1"/>
  <c r="N214" i="40"/>
  <c r="M215" i="40"/>
  <c r="M216" i="42"/>
  <c r="N215" i="42"/>
  <c r="O215" i="42" s="1"/>
  <c r="M216" i="40"/>
  <c r="N215" i="40"/>
  <c r="N216" i="42"/>
  <c r="O216" i="42" s="1"/>
  <c r="M217" i="42"/>
  <c r="M217" i="40"/>
  <c r="N216" i="40"/>
  <c r="O216" i="40" s="1"/>
  <c r="M218" i="42"/>
  <c r="N217" i="42"/>
  <c r="O217" i="42" s="1"/>
  <c r="M218" i="40"/>
  <c r="N217" i="40"/>
  <c r="M219" i="42"/>
  <c r="N218" i="42"/>
  <c r="O218" i="42" s="1"/>
  <c r="M219" i="40"/>
  <c r="N218" i="40"/>
  <c r="M220" i="42"/>
  <c r="N219" i="42"/>
  <c r="O219" i="42" s="1"/>
  <c r="M220" i="40"/>
  <c r="N219" i="40"/>
  <c r="N220" i="42"/>
  <c r="O220" i="42" s="1"/>
  <c r="M221" i="42"/>
  <c r="N220" i="40"/>
  <c r="O220" i="40" s="1"/>
  <c r="M221" i="40"/>
  <c r="N221" i="42"/>
  <c r="O221" i="42" s="1"/>
  <c r="M222" i="42"/>
  <c r="N221" i="40"/>
  <c r="O221" i="40" s="1"/>
  <c r="M222" i="40"/>
  <c r="N222" i="42"/>
  <c r="O222" i="42" s="1"/>
  <c r="M223" i="42"/>
  <c r="N222" i="40"/>
  <c r="M223" i="40"/>
  <c r="N223" i="42"/>
  <c r="O223" i="42" s="1"/>
  <c r="M224" i="42"/>
  <c r="M224" i="40"/>
  <c r="N223" i="40"/>
  <c r="N224" i="42"/>
  <c r="O224" i="42" s="1"/>
  <c r="M225" i="42"/>
  <c r="M225" i="40"/>
  <c r="N224" i="40"/>
  <c r="M226" i="42"/>
  <c r="N225" i="42"/>
  <c r="O225" i="42" s="1"/>
  <c r="N225" i="40"/>
  <c r="O225" i="40" s="1"/>
  <c r="M226" i="40"/>
  <c r="M227" i="42"/>
  <c r="N226" i="42"/>
  <c r="O226" i="42" s="1"/>
  <c r="M227" i="40"/>
  <c r="N226" i="40"/>
  <c r="N227" i="42"/>
  <c r="M228" i="42"/>
  <c r="M228" i="40"/>
  <c r="N227" i="40"/>
  <c r="M229" i="42"/>
  <c r="N228" i="42"/>
  <c r="O228" i="42" s="1"/>
  <c r="N228" i="40"/>
  <c r="O228" i="40" s="1"/>
  <c r="M229" i="40"/>
  <c r="N229" i="42"/>
  <c r="O229" i="42" s="1"/>
  <c r="M230" i="42"/>
  <c r="N229" i="40"/>
  <c r="M230" i="40"/>
  <c r="M231" i="42"/>
  <c r="N230" i="42"/>
  <c r="O230" i="42" s="1"/>
  <c r="M231" i="40"/>
  <c r="N230" i="40"/>
  <c r="M232" i="42"/>
  <c r="N231" i="42"/>
  <c r="N231" i="40"/>
  <c r="O231" i="40" s="1"/>
  <c r="M232" i="40"/>
  <c r="N232" i="42"/>
  <c r="O232" i="42" s="1"/>
  <c r="M233" i="42"/>
  <c r="N232" i="40"/>
  <c r="O232" i="40" s="1"/>
  <c r="M233" i="40"/>
  <c r="M234" i="42"/>
  <c r="N233" i="42"/>
  <c r="O233" i="42" s="1"/>
  <c r="M234" i="40"/>
  <c r="N233" i="40"/>
  <c r="N234" i="42"/>
  <c r="O234" i="42" s="1"/>
  <c r="M235" i="42"/>
  <c r="N234" i="40"/>
  <c r="O234" i="40" s="1"/>
  <c r="M235" i="40"/>
  <c r="N235" i="42"/>
  <c r="O235" i="42" s="1"/>
  <c r="M236" i="42"/>
  <c r="M236" i="40"/>
  <c r="N235" i="40"/>
  <c r="N236" i="42"/>
  <c r="O236" i="42" s="1"/>
  <c r="M237" i="42"/>
  <c r="M237" i="40"/>
  <c r="N236" i="40"/>
  <c r="M238" i="42"/>
  <c r="N237" i="42"/>
  <c r="O237" i="42" s="1"/>
  <c r="N237" i="40"/>
  <c r="O237" i="40" s="1"/>
  <c r="M238" i="40"/>
  <c r="M239" i="42"/>
  <c r="N238" i="42"/>
  <c r="O238" i="42" s="1"/>
  <c r="M239" i="40"/>
  <c r="N238" i="40"/>
  <c r="M240" i="42"/>
  <c r="N239" i="42"/>
  <c r="O239" i="42" s="1"/>
  <c r="N239" i="40"/>
  <c r="M240" i="40"/>
  <c r="N240" i="42"/>
  <c r="O240" i="42" s="1"/>
  <c r="M241" i="42"/>
  <c r="N240" i="40"/>
  <c r="M241" i="40"/>
  <c r="N241" i="42"/>
  <c r="O241" i="42" s="1"/>
  <c r="M242" i="42"/>
  <c r="M242" i="40"/>
  <c r="N241" i="40"/>
  <c r="O241" i="40" s="1"/>
  <c r="N242" i="42"/>
  <c r="O242" i="42" s="1"/>
  <c r="M243" i="42"/>
  <c r="N242" i="40"/>
  <c r="M243" i="40"/>
  <c r="N243" i="42"/>
  <c r="M244" i="42"/>
  <c r="M244" i="40"/>
  <c r="N243" i="40"/>
  <c r="M245" i="42"/>
  <c r="N244" i="42"/>
  <c r="O244" i="42" s="1"/>
  <c r="M245" i="40"/>
  <c r="N244" i="40"/>
  <c r="M246" i="42"/>
  <c r="N245" i="42"/>
  <c r="O245" i="42" s="1"/>
  <c r="N245" i="40"/>
  <c r="M246" i="40"/>
  <c r="M247" i="42"/>
  <c r="N246" i="42"/>
  <c r="O246" i="42" s="1"/>
  <c r="M247" i="40"/>
  <c r="N246" i="40"/>
  <c r="O246" i="40" s="1"/>
  <c r="M248" i="42"/>
  <c r="N247" i="42"/>
  <c r="O247" i="42" s="1"/>
  <c r="N247" i="40"/>
  <c r="M248" i="40"/>
  <c r="N248" i="42"/>
  <c r="O248" i="42" s="1"/>
  <c r="M249" i="42"/>
  <c r="M249" i="40"/>
  <c r="N248" i="40"/>
  <c r="N249" i="42"/>
  <c r="O249" i="42" s="1"/>
  <c r="P249" i="42" s="1"/>
  <c r="M250" i="42"/>
  <c r="M250" i="40"/>
  <c r="N249" i="40"/>
  <c r="M251" i="42"/>
  <c r="N250" i="42"/>
  <c r="O250" i="42" s="1"/>
  <c r="N250" i="40"/>
  <c r="O250" i="40" s="1"/>
  <c r="M251" i="40"/>
  <c r="N251" i="42"/>
  <c r="M252" i="42"/>
  <c r="M252" i="40"/>
  <c r="N251" i="40"/>
  <c r="M253" i="42"/>
  <c r="N252" i="42"/>
  <c r="O252" i="42" s="1"/>
  <c r="N252" i="40"/>
  <c r="M253" i="40"/>
  <c r="M254" i="42"/>
  <c r="N253" i="42"/>
  <c r="O253" i="42" s="1"/>
  <c r="N253" i="40"/>
  <c r="M254" i="40"/>
  <c r="M255" i="42"/>
  <c r="N254" i="42"/>
  <c r="O254" i="42" s="1"/>
  <c r="N254" i="40"/>
  <c r="M255" i="40"/>
  <c r="N255" i="42"/>
  <c r="O255" i="42" s="1"/>
  <c r="M256" i="42"/>
  <c r="M256" i="40"/>
  <c r="N255" i="40"/>
  <c r="M257" i="42"/>
  <c r="N256" i="42"/>
  <c r="O256" i="42" s="1"/>
  <c r="N256" i="40"/>
  <c r="O256" i="40" s="1"/>
  <c r="M257" i="40"/>
  <c r="M258" i="42"/>
  <c r="N257" i="42"/>
  <c r="O257" i="42" s="1"/>
  <c r="N257" i="40"/>
  <c r="O257" i="40" s="1"/>
  <c r="M258" i="40"/>
  <c r="N258" i="42"/>
  <c r="O258" i="42" s="1"/>
  <c r="M259" i="42"/>
  <c r="M259" i="40"/>
  <c r="N258" i="40"/>
  <c r="M260" i="42"/>
  <c r="N259" i="42"/>
  <c r="O259" i="42" s="1"/>
  <c r="M260" i="40"/>
  <c r="N259" i="40"/>
  <c r="O259" i="40" s="1"/>
  <c r="N260" i="42"/>
  <c r="O260" i="42" s="1"/>
  <c r="M261" i="42"/>
  <c r="M261" i="40"/>
  <c r="N260" i="40"/>
  <c r="O260" i="40" s="1"/>
  <c r="M262" i="42"/>
  <c r="N261" i="42"/>
  <c r="O261" i="42" s="1"/>
  <c r="N261" i="40"/>
  <c r="M262" i="40"/>
  <c r="M263" i="42"/>
  <c r="N262" i="42"/>
  <c r="O262" i="42" s="1"/>
  <c r="M263" i="40"/>
  <c r="N262" i="40"/>
  <c r="N263" i="42"/>
  <c r="M264" i="42"/>
  <c r="M264" i="40"/>
  <c r="N263" i="40"/>
  <c r="N264" i="42"/>
  <c r="O264" i="42" s="1"/>
  <c r="M265" i="42"/>
  <c r="N264" i="40"/>
  <c r="M265" i="40"/>
  <c r="M266" i="42"/>
  <c r="N265" i="42"/>
  <c r="O265" i="42" s="1"/>
  <c r="N265" i="40"/>
  <c r="M266" i="40"/>
  <c r="M267" i="42"/>
  <c r="N266" i="42"/>
  <c r="O266" i="42" s="1"/>
  <c r="N266" i="40"/>
  <c r="M267" i="40"/>
  <c r="N267" i="42"/>
  <c r="O267" i="42" s="1"/>
  <c r="M268" i="42"/>
  <c r="N267" i="40"/>
  <c r="M268" i="40"/>
  <c r="M269" i="42"/>
  <c r="N268" i="42"/>
  <c r="O268" i="42" s="1"/>
  <c r="M269" i="40"/>
  <c r="N268" i="40"/>
  <c r="N269" i="42"/>
  <c r="O269" i="42" s="1"/>
  <c r="M270" i="42"/>
  <c r="M270" i="40"/>
  <c r="N269" i="40"/>
  <c r="M271" i="42"/>
  <c r="N270" i="42"/>
  <c r="O270" i="42" s="1"/>
  <c r="M271" i="40"/>
  <c r="N270" i="40"/>
  <c r="N271" i="42"/>
  <c r="O271" i="42" s="1"/>
  <c r="M272" i="42"/>
  <c r="N271" i="40"/>
  <c r="M272" i="40"/>
  <c r="M273" i="42"/>
  <c r="N272" i="42"/>
  <c r="O272" i="42" s="1"/>
  <c r="N272" i="40"/>
  <c r="M273" i="40"/>
  <c r="M274" i="42"/>
  <c r="N273" i="42"/>
  <c r="O273" i="42" s="1"/>
  <c r="N273" i="40"/>
  <c r="M274" i="40"/>
  <c r="N274" i="42"/>
  <c r="O274" i="42" s="1"/>
  <c r="M275" i="42"/>
  <c r="M275" i="40"/>
  <c r="N274" i="40"/>
  <c r="N275" i="42"/>
  <c r="O275" i="42" s="1"/>
  <c r="M276" i="42"/>
  <c r="N275" i="40"/>
  <c r="M276" i="40"/>
  <c r="M277" i="42"/>
  <c r="N276" i="42"/>
  <c r="O276" i="42" s="1"/>
  <c r="N276" i="40"/>
  <c r="M277" i="40"/>
  <c r="M278" i="42"/>
  <c r="N277" i="42"/>
  <c r="O277" i="42" s="1"/>
  <c r="N277" i="40"/>
  <c r="M278" i="40"/>
  <c r="M279" i="42"/>
  <c r="N278" i="42"/>
  <c r="O278" i="42" s="1"/>
  <c r="M279" i="40"/>
  <c r="N278" i="40"/>
  <c r="N279" i="42"/>
  <c r="O279" i="42" s="1"/>
  <c r="M280" i="42"/>
  <c r="M280" i="40"/>
  <c r="N279" i="40"/>
  <c r="N280" i="42"/>
  <c r="O280" i="42" s="1"/>
  <c r="M281" i="42"/>
  <c r="M281" i="40"/>
  <c r="N280" i="40"/>
  <c r="N281" i="42"/>
  <c r="O281" i="42" s="1"/>
  <c r="M282" i="42"/>
  <c r="N281" i="40"/>
  <c r="M282" i="40"/>
  <c r="N282" i="42"/>
  <c r="O282" i="42" s="1"/>
  <c r="M283" i="42"/>
  <c r="N282" i="40"/>
  <c r="M283" i="40"/>
  <c r="N283" i="42"/>
  <c r="O283" i="42" s="1"/>
  <c r="M284" i="42"/>
  <c r="N283" i="40"/>
  <c r="M284" i="40"/>
  <c r="M285" i="42"/>
  <c r="N284" i="42"/>
  <c r="O284" i="42" s="1"/>
  <c r="N284" i="40"/>
  <c r="M285" i="40"/>
  <c r="M286" i="42"/>
  <c r="N285" i="42"/>
  <c r="O285" i="42" s="1"/>
  <c r="M286" i="40"/>
  <c r="N285" i="40"/>
  <c r="M287" i="42"/>
  <c r="N286" i="42"/>
  <c r="O286" i="42" s="1"/>
  <c r="M287" i="40"/>
  <c r="N286" i="40"/>
  <c r="M288" i="42"/>
  <c r="N287" i="42"/>
  <c r="O287" i="42" s="1"/>
  <c r="M288" i="40"/>
  <c r="N287" i="40"/>
  <c r="M289" i="42"/>
  <c r="N288" i="42"/>
  <c r="O288" i="42" s="1"/>
  <c r="M289" i="40"/>
  <c r="N288" i="40"/>
  <c r="O288" i="40" s="1"/>
  <c r="N289" i="42"/>
  <c r="O289" i="42" s="1"/>
  <c r="M290" i="42"/>
  <c r="M290" i="40"/>
  <c r="N289" i="40"/>
  <c r="N290" i="42"/>
  <c r="O290" i="42" s="1"/>
  <c r="M291" i="42"/>
  <c r="M291" i="40"/>
  <c r="N290" i="40"/>
  <c r="N291" i="42"/>
  <c r="O291" i="42" s="1"/>
  <c r="M292" i="42"/>
  <c r="N291" i="40"/>
  <c r="M292" i="40"/>
  <c r="N292" i="42"/>
  <c r="O292" i="42" s="1"/>
  <c r="M293" i="42"/>
  <c r="N292" i="40"/>
  <c r="O292" i="40" s="1"/>
  <c r="M293" i="40"/>
  <c r="N293" i="42"/>
  <c r="O293" i="42" s="1"/>
  <c r="M294" i="42"/>
  <c r="N293" i="40"/>
  <c r="O293" i="40" s="1"/>
  <c r="M294" i="40"/>
  <c r="M295" i="42"/>
  <c r="N294" i="42"/>
  <c r="O294" i="42" s="1"/>
  <c r="M295" i="40"/>
  <c r="N294" i="40"/>
  <c r="N295" i="42"/>
  <c r="O295" i="42" s="1"/>
  <c r="M296" i="42"/>
  <c r="M296" i="40"/>
  <c r="N295" i="40"/>
  <c r="N296" i="42"/>
  <c r="O296" i="42" s="1"/>
  <c r="M297" i="42"/>
  <c r="M297" i="40"/>
  <c r="N296" i="40"/>
  <c r="O296" i="40" s="1"/>
  <c r="M298" i="42"/>
  <c r="N297" i="42"/>
  <c r="O297" i="42" s="1"/>
  <c r="N297" i="40"/>
  <c r="M298" i="40"/>
  <c r="M299" i="42"/>
  <c r="N298" i="42"/>
  <c r="O298" i="42" s="1"/>
  <c r="M299" i="40"/>
  <c r="N298" i="40"/>
  <c r="O298" i="40" s="1"/>
  <c r="M300" i="42"/>
  <c r="N299" i="42"/>
  <c r="O299" i="42" s="1"/>
  <c r="M300" i="40"/>
  <c r="N299" i="40"/>
  <c r="M301" i="42"/>
  <c r="N300" i="42"/>
  <c r="O300" i="42" s="1"/>
  <c r="M301" i="40"/>
  <c r="N300" i="40"/>
  <c r="O300" i="40" s="1"/>
  <c r="N301" i="42"/>
  <c r="O301" i="42" s="1"/>
  <c r="M302" i="42"/>
  <c r="M302" i="40"/>
  <c r="N301" i="40"/>
  <c r="N302" i="42"/>
  <c r="O302" i="42" s="1"/>
  <c r="M303" i="42"/>
  <c r="M303" i="40"/>
  <c r="N302" i="40"/>
  <c r="N303" i="42"/>
  <c r="O303" i="42" s="1"/>
  <c r="M304" i="42"/>
  <c r="M304" i="40"/>
  <c r="N303" i="40"/>
  <c r="N304" i="42"/>
  <c r="O304" i="42" s="1"/>
  <c r="M305" i="42"/>
  <c r="N304" i="40"/>
  <c r="O304" i="40" s="1"/>
  <c r="M305" i="40"/>
  <c r="N305" i="42"/>
  <c r="O305" i="42" s="1"/>
  <c r="M306" i="42"/>
  <c r="N305" i="40"/>
  <c r="M306" i="40"/>
  <c r="N306" i="42"/>
  <c r="O306" i="42" s="1"/>
  <c r="M307" i="42"/>
  <c r="M307" i="40"/>
  <c r="N306" i="40"/>
  <c r="N307" i="42"/>
  <c r="O307" i="42" s="1"/>
  <c r="M308" i="42"/>
  <c r="N307" i="40"/>
  <c r="M308" i="40"/>
  <c r="N308" i="42"/>
  <c r="O308" i="42" s="1"/>
  <c r="M309" i="42"/>
  <c r="M309" i="40"/>
  <c r="N308" i="40"/>
  <c r="O308" i="40" s="1"/>
  <c r="M310" i="42"/>
  <c r="N309" i="42"/>
  <c r="O309" i="42" s="1"/>
  <c r="N309" i="40"/>
  <c r="M310" i="40"/>
  <c r="N310" i="42"/>
  <c r="O310" i="42" s="1"/>
  <c r="M311" i="42"/>
  <c r="N310" i="40"/>
  <c r="O310" i="40" s="1"/>
  <c r="M311" i="40"/>
  <c r="N311" i="42"/>
  <c r="M312" i="42"/>
  <c r="N311" i="40"/>
  <c r="M312" i="40"/>
  <c r="M313" i="42"/>
  <c r="N312" i="42"/>
  <c r="O312" i="42" s="1"/>
  <c r="N312" i="40"/>
  <c r="M313" i="40"/>
  <c r="N313" i="42"/>
  <c r="O313" i="42" s="1"/>
  <c r="M314" i="42"/>
  <c r="M314" i="40"/>
  <c r="N313" i="40"/>
  <c r="O313" i="40" s="1"/>
  <c r="M315" i="42"/>
  <c r="N314" i="42"/>
  <c r="O314" i="42" s="1"/>
  <c r="N314" i="40"/>
  <c r="M315" i="40"/>
  <c r="M316" i="42"/>
  <c r="N315" i="42"/>
  <c r="O315" i="42" s="1"/>
  <c r="N315" i="40"/>
  <c r="M316" i="40"/>
  <c r="N316" i="42"/>
  <c r="O316" i="42" s="1"/>
  <c r="M317" i="42"/>
  <c r="M317" i="40"/>
  <c r="N316" i="40"/>
  <c r="O316" i="40" s="1"/>
  <c r="N317" i="42"/>
  <c r="O317" i="42" s="1"/>
  <c r="M318" i="42"/>
  <c r="M318" i="40"/>
  <c r="N317" i="40"/>
  <c r="O317" i="40" s="1"/>
  <c r="M319" i="42"/>
  <c r="N318" i="42"/>
  <c r="O318" i="42" s="1"/>
  <c r="M319" i="40"/>
  <c r="N318" i="40"/>
  <c r="N319" i="42"/>
  <c r="O319" i="42" s="1"/>
  <c r="M320" i="42"/>
  <c r="M320" i="40"/>
  <c r="N319" i="40"/>
  <c r="N320" i="42"/>
  <c r="O320" i="42" s="1"/>
  <c r="M321" i="42"/>
  <c r="N320" i="40"/>
  <c r="M321" i="40"/>
  <c r="N321" i="42"/>
  <c r="O321" i="42" s="1"/>
  <c r="M322" i="42"/>
  <c r="N321" i="40"/>
  <c r="M322" i="40"/>
  <c r="N322" i="42"/>
  <c r="O322" i="42" s="1"/>
  <c r="M323" i="42"/>
  <c r="N322" i="40"/>
  <c r="M323" i="40"/>
  <c r="N323" i="42"/>
  <c r="M324" i="42"/>
  <c r="M324" i="40"/>
  <c r="N323" i="40"/>
  <c r="N324" i="42"/>
  <c r="O324" i="42" s="1"/>
  <c r="M325" i="42"/>
  <c r="M325" i="40"/>
  <c r="N324" i="40"/>
  <c r="O324" i="40" s="1"/>
  <c r="N325" i="42"/>
  <c r="O325" i="42" s="1"/>
  <c r="M326" i="42"/>
  <c r="N325" i="40"/>
  <c r="M326" i="40"/>
  <c r="M327" i="42"/>
  <c r="N326" i="42"/>
  <c r="O326" i="42" s="1"/>
  <c r="N326" i="40"/>
  <c r="O326" i="40" s="1"/>
  <c r="M327" i="40"/>
  <c r="N327" i="42"/>
  <c r="O327" i="42" s="1"/>
  <c r="M328" i="42"/>
  <c r="M328" i="40"/>
  <c r="N327" i="40"/>
  <c r="N328" i="42"/>
  <c r="O328" i="42" s="1"/>
  <c r="M329" i="42"/>
  <c r="N328" i="40"/>
  <c r="M329" i="40"/>
  <c r="N329" i="42"/>
  <c r="O329" i="42" s="1"/>
  <c r="M330" i="42"/>
  <c r="M330" i="40"/>
  <c r="N329" i="40"/>
  <c r="M331" i="42"/>
  <c r="N330" i="42"/>
  <c r="O330" i="42" s="1"/>
  <c r="M331" i="40"/>
  <c r="N330" i="40"/>
  <c r="M332" i="42"/>
  <c r="N331" i="42"/>
  <c r="M332" i="40"/>
  <c r="N331" i="40"/>
  <c r="M333" i="42"/>
  <c r="N332" i="42"/>
  <c r="O332" i="42" s="1"/>
  <c r="N332" i="40"/>
  <c r="M333" i="40"/>
  <c r="M334" i="42"/>
  <c r="N333" i="42"/>
  <c r="O333" i="42" s="1"/>
  <c r="M334" i="40"/>
  <c r="N333" i="40"/>
  <c r="M335" i="42"/>
  <c r="N334" i="42"/>
  <c r="O334" i="42" s="1"/>
  <c r="N334" i="40"/>
  <c r="M335" i="40"/>
  <c r="N335" i="42"/>
  <c r="O335" i="42" s="1"/>
  <c r="M336" i="42"/>
  <c r="N335" i="40"/>
  <c r="M336" i="40"/>
  <c r="N336" i="42"/>
  <c r="M337" i="42"/>
  <c r="M337" i="40"/>
  <c r="N336" i="40"/>
  <c r="M338" i="42"/>
  <c r="N337" i="42"/>
  <c r="O337" i="42" s="1"/>
  <c r="M338" i="40"/>
  <c r="N337" i="40"/>
  <c r="M339" i="42"/>
  <c r="N338" i="42"/>
  <c r="O338" i="42" s="1"/>
  <c r="N338" i="40"/>
  <c r="M339" i="40"/>
  <c r="N339" i="42"/>
  <c r="O339" i="42" s="1"/>
  <c r="M340" i="42"/>
  <c r="N339" i="40"/>
  <c r="M340" i="40"/>
  <c r="N340" i="42"/>
  <c r="O340" i="42" s="1"/>
  <c r="M341" i="42"/>
  <c r="N340" i="40"/>
  <c r="M341" i="40"/>
  <c r="M342" i="42"/>
  <c r="N341" i="42"/>
  <c r="O341" i="42" s="1"/>
  <c r="N341" i="40"/>
  <c r="O341" i="40" s="1"/>
  <c r="M342" i="40"/>
  <c r="N342" i="42"/>
  <c r="O342" i="42" s="1"/>
  <c r="M343" i="42"/>
  <c r="M343" i="40"/>
  <c r="N342" i="40"/>
  <c r="N343" i="42"/>
  <c r="O343" i="42" s="1"/>
  <c r="M344" i="42"/>
  <c r="M344" i="40"/>
  <c r="N343" i="40"/>
  <c r="M345" i="42"/>
  <c r="N344" i="42"/>
  <c r="O344" i="42" s="1"/>
  <c r="M345" i="40"/>
  <c r="N344" i="40"/>
  <c r="N345" i="42"/>
  <c r="O345" i="42" s="1"/>
  <c r="M346" i="42"/>
  <c r="M346" i="40"/>
  <c r="N345" i="40"/>
  <c r="M347" i="42"/>
  <c r="N346" i="42"/>
  <c r="N346" i="40"/>
  <c r="M347" i="40"/>
  <c r="M348" i="42"/>
  <c r="N347" i="42"/>
  <c r="O347" i="42" s="1"/>
  <c r="N347" i="40"/>
  <c r="M348" i="40"/>
  <c r="M349" i="42"/>
  <c r="N348" i="42"/>
  <c r="O348" i="42" s="1"/>
  <c r="M349" i="40"/>
  <c r="N348" i="40"/>
  <c r="O348" i="40" s="1"/>
  <c r="M350" i="42"/>
  <c r="N349" i="42"/>
  <c r="O349" i="42" s="1"/>
  <c r="M350" i="40"/>
  <c r="N349" i="40"/>
  <c r="O349" i="40" s="1"/>
  <c r="M351" i="42"/>
  <c r="N350" i="42"/>
  <c r="M351" i="40"/>
  <c r="N350" i="40"/>
  <c r="M352" i="42"/>
  <c r="N351" i="42"/>
  <c r="M352" i="40"/>
  <c r="N351" i="40"/>
  <c r="N352" i="42"/>
  <c r="O352" i="42" s="1"/>
  <c r="M353" i="42"/>
  <c r="M353" i="40"/>
  <c r="N352" i="40"/>
  <c r="O352" i="40" s="1"/>
  <c r="M354" i="42"/>
  <c r="N353" i="42"/>
  <c r="O353" i="42" s="1"/>
  <c r="M354" i="40"/>
  <c r="N353" i="40"/>
  <c r="N354" i="42"/>
  <c r="O354" i="42" s="1"/>
  <c r="M355" i="42"/>
  <c r="M355" i="40"/>
  <c r="N354" i="40"/>
  <c r="M356" i="42"/>
  <c r="N355" i="42"/>
  <c r="N355" i="40"/>
  <c r="M356" i="40"/>
  <c r="N356" i="42"/>
  <c r="O356" i="42" s="1"/>
  <c r="M357" i="42"/>
  <c r="M357" i="40"/>
  <c r="N356" i="40"/>
  <c r="N357" i="42"/>
  <c r="O357" i="42" s="1"/>
  <c r="M358" i="42"/>
  <c r="M358" i="40"/>
  <c r="N357" i="40"/>
  <c r="O357" i="40" s="1"/>
  <c r="M359" i="42"/>
  <c r="N358" i="42"/>
  <c r="O358" i="42" s="1"/>
  <c r="N358" i="40"/>
  <c r="M359" i="40"/>
  <c r="M360" i="42"/>
  <c r="N359" i="42"/>
  <c r="O359" i="42" s="1"/>
  <c r="N359" i="40"/>
  <c r="M360" i="40"/>
  <c r="M361" i="42"/>
  <c r="N360" i="42"/>
  <c r="O360" i="42" s="1"/>
  <c r="N360" i="40"/>
  <c r="O360" i="40" s="1"/>
  <c r="M361" i="40"/>
  <c r="N361" i="42"/>
  <c r="O361" i="42" s="1"/>
  <c r="M362" i="42"/>
  <c r="M362" i="40"/>
  <c r="N361" i="40"/>
  <c r="N362" i="42"/>
  <c r="O362" i="42" s="1"/>
  <c r="M363" i="42"/>
  <c r="N362" i="40"/>
  <c r="M363" i="40"/>
  <c r="M364" i="42"/>
  <c r="N363" i="42"/>
  <c r="O363" i="42" s="1"/>
  <c r="N363" i="40"/>
  <c r="M364" i="40"/>
  <c r="M365" i="42"/>
  <c r="N364" i="42"/>
  <c r="O364" i="42" s="1"/>
  <c r="M365" i="40"/>
  <c r="N364" i="40"/>
  <c r="N365" i="42"/>
  <c r="O365" i="42" s="1"/>
  <c r="M366" i="42"/>
  <c r="N365" i="40"/>
  <c r="M366" i="40"/>
  <c r="M367" i="42"/>
  <c r="N366" i="42"/>
  <c r="O366" i="42" s="1"/>
  <c r="M367" i="40"/>
  <c r="N366" i="40"/>
  <c r="M368" i="42"/>
  <c r="N367" i="42"/>
  <c r="O367" i="42" s="1"/>
  <c r="M368" i="40"/>
  <c r="N367" i="40"/>
  <c r="M369" i="42"/>
  <c r="N368" i="42"/>
  <c r="M369" i="40"/>
  <c r="N368" i="40"/>
  <c r="M370" i="42"/>
  <c r="N369" i="42"/>
  <c r="O369" i="42" s="1"/>
  <c r="N369" i="40"/>
  <c r="M370" i="40"/>
  <c r="M371" i="42"/>
  <c r="N370" i="42"/>
  <c r="O370" i="42" s="1"/>
  <c r="N370" i="40"/>
  <c r="M371" i="40"/>
  <c r="N371" i="42"/>
  <c r="O371" i="42" s="1"/>
  <c r="M372" i="42"/>
  <c r="M372" i="40"/>
  <c r="N371" i="40"/>
  <c r="N372" i="42"/>
  <c r="O372" i="42" s="1"/>
  <c r="M373" i="42"/>
  <c r="M373" i="40"/>
  <c r="N372" i="40"/>
  <c r="N373" i="42"/>
  <c r="O373" i="42" s="1"/>
  <c r="M374" i="42"/>
  <c r="M374" i="40"/>
  <c r="N373" i="40"/>
  <c r="M375" i="42"/>
  <c r="N374" i="42"/>
  <c r="O374" i="42" s="1"/>
  <c r="N374" i="40"/>
  <c r="O374" i="40" s="1"/>
  <c r="M375" i="40"/>
  <c r="N375" i="42"/>
  <c r="O375" i="42" s="1"/>
  <c r="M376" i="42"/>
  <c r="M376" i="40"/>
  <c r="N375" i="40"/>
  <c r="N376" i="42"/>
  <c r="O376" i="42" s="1"/>
  <c r="M377" i="42"/>
  <c r="N376" i="40"/>
  <c r="O376" i="40" s="1"/>
  <c r="M377" i="40"/>
  <c r="M378" i="42"/>
  <c r="N377" i="42"/>
  <c r="O377" i="42" s="1"/>
  <c r="M378" i="40"/>
  <c r="N377" i="40"/>
  <c r="M379" i="42"/>
  <c r="N378" i="42"/>
  <c r="O378" i="42" s="1"/>
  <c r="N378" i="40"/>
  <c r="M379" i="40"/>
  <c r="N379" i="42"/>
  <c r="O379" i="42" s="1"/>
  <c r="M380" i="42"/>
  <c r="N379" i="40"/>
  <c r="O379" i="40" s="1"/>
  <c r="M380" i="40"/>
  <c r="M381" i="42"/>
  <c r="N380" i="42"/>
  <c r="O380" i="42" s="1"/>
  <c r="M381" i="40"/>
  <c r="N380" i="40"/>
  <c r="M382" i="42"/>
  <c r="N381" i="42"/>
  <c r="O381" i="42" s="1"/>
  <c r="M382" i="40"/>
  <c r="N381" i="40"/>
  <c r="O381" i="40" s="1"/>
  <c r="N382" i="42"/>
  <c r="O382" i="42" s="1"/>
  <c r="M383" i="42"/>
  <c r="M383" i="40"/>
  <c r="N382" i="40"/>
  <c r="O382" i="40" s="1"/>
  <c r="M384" i="42"/>
  <c r="N383" i="42"/>
  <c r="O383" i="42" s="1"/>
  <c r="M384" i="40"/>
  <c r="N383" i="40"/>
  <c r="N384" i="42"/>
  <c r="O384" i="42" s="1"/>
  <c r="M385" i="42"/>
  <c r="M385" i="40"/>
  <c r="N384" i="40"/>
  <c r="M386" i="42"/>
  <c r="N385" i="42"/>
  <c r="O385" i="42" s="1"/>
  <c r="N385" i="40"/>
  <c r="M386" i="40"/>
  <c r="M387" i="42"/>
  <c r="N386" i="42"/>
  <c r="O386" i="42" s="1"/>
  <c r="N386" i="40"/>
  <c r="M387" i="40"/>
  <c r="M388" i="42"/>
  <c r="N387" i="42"/>
  <c r="O387" i="42" s="1"/>
  <c r="N387" i="40"/>
  <c r="M388" i="40"/>
  <c r="M389" i="42"/>
  <c r="N388" i="42"/>
  <c r="O388" i="42" s="1"/>
  <c r="M389" i="40"/>
  <c r="N388" i="40"/>
  <c r="O388" i="40" s="1"/>
  <c r="M390" i="42"/>
  <c r="N389" i="42"/>
  <c r="O389" i="42" s="1"/>
  <c r="M390" i="40"/>
  <c r="N389" i="40"/>
  <c r="M391" i="42"/>
  <c r="N390" i="42"/>
  <c r="O390" i="42" s="1"/>
  <c r="N390" i="40"/>
  <c r="O390" i="40" s="1"/>
  <c r="M391" i="40"/>
  <c r="M392" i="42"/>
  <c r="N391" i="42"/>
  <c r="O391" i="42" s="1"/>
  <c r="M392" i="40"/>
  <c r="N391" i="40"/>
  <c r="M393" i="42"/>
  <c r="N392" i="42"/>
  <c r="O392" i="42" s="1"/>
  <c r="N392" i="40"/>
  <c r="O392" i="40" s="1"/>
  <c r="M393" i="40"/>
  <c r="N393" i="42"/>
  <c r="O393" i="42" s="1"/>
  <c r="M394" i="42"/>
  <c r="M394" i="40"/>
  <c r="N393" i="40"/>
  <c r="N394" i="42"/>
  <c r="O394" i="42" s="1"/>
  <c r="M395" i="42"/>
  <c r="M395" i="40"/>
  <c r="N394" i="40"/>
  <c r="M396" i="42"/>
  <c r="N395" i="42"/>
  <c r="M396" i="40"/>
  <c r="N395" i="40"/>
  <c r="N396" i="42"/>
  <c r="O396" i="42" s="1"/>
  <c r="M397" i="42"/>
  <c r="M397" i="40"/>
  <c r="N396" i="40"/>
  <c r="O396" i="40" s="1"/>
  <c r="N397" i="42"/>
  <c r="O397" i="42" s="1"/>
  <c r="M398" i="42"/>
  <c r="M398" i="40"/>
  <c r="N397" i="40"/>
  <c r="O397" i="40" s="1"/>
  <c r="N398" i="42"/>
  <c r="O398" i="42" s="1"/>
  <c r="M399" i="42"/>
  <c r="M399" i="40"/>
  <c r="N398" i="40"/>
  <c r="M400" i="42"/>
  <c r="N399" i="42"/>
  <c r="O399" i="42" s="1"/>
  <c r="N399" i="40"/>
  <c r="M400" i="40"/>
  <c r="M401" i="42"/>
  <c r="N400" i="42"/>
  <c r="O400" i="42" s="1"/>
  <c r="M401" i="40"/>
  <c r="N400" i="40"/>
  <c r="O400" i="40" s="1"/>
  <c r="M402" i="42"/>
  <c r="N401" i="42"/>
  <c r="O401" i="42" s="1"/>
  <c r="M402" i="40"/>
  <c r="N401" i="40"/>
  <c r="N402" i="42"/>
  <c r="O402" i="42" s="1"/>
  <c r="M403" i="42"/>
  <c r="M403" i="40"/>
  <c r="N402" i="40"/>
  <c r="O402" i="40" s="1"/>
  <c r="M404" i="42"/>
  <c r="N403" i="42"/>
  <c r="O403" i="42" s="1"/>
  <c r="M404" i="40"/>
  <c r="N403" i="40"/>
  <c r="N404" i="42"/>
  <c r="O404" i="42" s="1"/>
  <c r="M405" i="42"/>
  <c r="M405" i="40"/>
  <c r="N404" i="40"/>
  <c r="N405" i="42"/>
  <c r="O405" i="42" s="1"/>
  <c r="M406" i="42"/>
  <c r="M406" i="40"/>
  <c r="N405" i="40"/>
  <c r="O405" i="40" s="1"/>
  <c r="N406" i="42"/>
  <c r="O406" i="42" s="1"/>
  <c r="M407" i="42"/>
  <c r="M407" i="40"/>
  <c r="N406" i="40"/>
  <c r="N407" i="42"/>
  <c r="M408" i="42"/>
  <c r="M408" i="40"/>
  <c r="N407" i="40"/>
  <c r="O407" i="40" s="1"/>
  <c r="N408" i="42"/>
  <c r="O408" i="42" s="1"/>
  <c r="M409" i="42"/>
  <c r="M409" i="40"/>
  <c r="N408" i="40"/>
  <c r="N409" i="42"/>
  <c r="O409" i="42" s="1"/>
  <c r="M410" i="42"/>
  <c r="M410" i="40"/>
  <c r="N409" i="40"/>
  <c r="O409" i="40" s="1"/>
  <c r="M411" i="42"/>
  <c r="N410" i="42"/>
  <c r="O410" i="42" s="1"/>
  <c r="N410" i="40"/>
  <c r="M411" i="40"/>
  <c r="M412" i="42"/>
  <c r="N411" i="42"/>
  <c r="O411" i="42" s="1"/>
  <c r="N411" i="40"/>
  <c r="M412" i="40"/>
  <c r="N412" i="42"/>
  <c r="O412" i="42" s="1"/>
  <c r="M413" i="42"/>
  <c r="N412" i="40"/>
  <c r="M413" i="40"/>
  <c r="M414" i="42"/>
  <c r="N413" i="42"/>
  <c r="O413" i="42" s="1"/>
  <c r="M414" i="40"/>
  <c r="N413" i="40"/>
  <c r="O413" i="40" s="1"/>
  <c r="M415" i="42"/>
  <c r="N414" i="42"/>
  <c r="O414" i="42" s="1"/>
  <c r="M415" i="40"/>
  <c r="N414" i="40"/>
  <c r="M416" i="42"/>
  <c r="N415" i="42"/>
  <c r="M416" i="40"/>
  <c r="N415" i="40"/>
  <c r="N416" i="42"/>
  <c r="O416" i="42" s="1"/>
  <c r="M417" i="42"/>
  <c r="N416" i="40"/>
  <c r="M417" i="40"/>
  <c r="N417" i="42"/>
  <c r="O417" i="42" s="1"/>
  <c r="M418" i="42"/>
  <c r="M418" i="40"/>
  <c r="N417" i="40"/>
  <c r="O417" i="40" s="1"/>
  <c r="M419" i="42"/>
  <c r="N418" i="42"/>
  <c r="O418" i="42" s="1"/>
  <c r="N418" i="40"/>
  <c r="O418" i="40" s="1"/>
  <c r="M419" i="40"/>
  <c r="M420" i="42"/>
  <c r="N419" i="42"/>
  <c r="O419" i="42" s="1"/>
  <c r="M420" i="40"/>
  <c r="N419" i="40"/>
  <c r="O419" i="40" s="1"/>
  <c r="M421" i="42"/>
  <c r="N420" i="42"/>
  <c r="O420" i="42" s="1"/>
  <c r="N420" i="40"/>
  <c r="M421" i="40"/>
  <c r="M422" i="42"/>
  <c r="N421" i="42"/>
  <c r="O421" i="42" s="1"/>
  <c r="N421" i="40"/>
  <c r="M422" i="40"/>
  <c r="M423" i="42"/>
  <c r="N422" i="42"/>
  <c r="O422" i="42" s="1"/>
  <c r="M423" i="40"/>
  <c r="N422" i="40"/>
  <c r="M424" i="42"/>
  <c r="N423" i="42"/>
  <c r="M424" i="40"/>
  <c r="N423" i="40"/>
  <c r="O423" i="40" s="1"/>
  <c r="N424" i="42"/>
  <c r="O424" i="42" s="1"/>
  <c r="M425" i="42"/>
  <c r="N424" i="40"/>
  <c r="M425" i="40"/>
  <c r="N425" i="42"/>
  <c r="O425" i="42" s="1"/>
  <c r="M426" i="42"/>
  <c r="M426" i="40"/>
  <c r="N425" i="40"/>
  <c r="O425" i="40" s="1"/>
  <c r="M427" i="42"/>
  <c r="N426" i="42"/>
  <c r="O426" i="42" s="1"/>
  <c r="N426" i="40"/>
  <c r="M427" i="40"/>
  <c r="M428" i="42"/>
  <c r="N427" i="42"/>
  <c r="O427" i="42" s="1"/>
  <c r="N427" i="40"/>
  <c r="O427" i="40" s="1"/>
  <c r="M428" i="40"/>
  <c r="N428" i="42"/>
  <c r="O428" i="42" s="1"/>
  <c r="M429" i="42"/>
  <c r="M429" i="40"/>
  <c r="N428" i="40"/>
  <c r="N429" i="42"/>
  <c r="O429" i="42" s="1"/>
  <c r="M430" i="42"/>
  <c r="N429" i="40"/>
  <c r="O429" i="40" s="1"/>
  <c r="M430" i="40"/>
  <c r="N430" i="42"/>
  <c r="O430" i="42" s="1"/>
  <c r="M431" i="42"/>
  <c r="M431" i="40"/>
  <c r="N430" i="40"/>
  <c r="O430" i="40" s="1"/>
  <c r="N431" i="42"/>
  <c r="O431" i="42" s="1"/>
  <c r="M432" i="42"/>
  <c r="M432" i="40"/>
  <c r="N431" i="40"/>
  <c r="N432" i="42"/>
  <c r="O432" i="42" s="1"/>
  <c r="M433" i="42"/>
  <c r="M433" i="40"/>
  <c r="N432" i="40"/>
  <c r="N433" i="42"/>
  <c r="O433" i="42" s="1"/>
  <c r="M434" i="42"/>
  <c r="M434" i="40"/>
  <c r="N433" i="40"/>
  <c r="O433" i="40" s="1"/>
  <c r="N434" i="42"/>
  <c r="O434" i="42" s="1"/>
  <c r="M435" i="42"/>
  <c r="M435" i="40"/>
  <c r="N434" i="40"/>
  <c r="O434" i="40" s="1"/>
  <c r="M436" i="42"/>
  <c r="N435" i="42"/>
  <c r="M436" i="40"/>
  <c r="N435" i="40"/>
  <c r="M437" i="42"/>
  <c r="N436" i="42"/>
  <c r="O436" i="42" s="1"/>
  <c r="N436" i="40"/>
  <c r="M437" i="40"/>
  <c r="N437" i="42"/>
  <c r="O437" i="42" s="1"/>
  <c r="M438" i="42"/>
  <c r="M438" i="40"/>
  <c r="N437" i="40"/>
  <c r="O437" i="40" s="1"/>
  <c r="M439" i="42"/>
  <c r="N438" i="42"/>
  <c r="O438" i="42" s="1"/>
  <c r="M439" i="40"/>
  <c r="N438" i="40"/>
  <c r="M440" i="42"/>
  <c r="N439" i="42"/>
  <c r="M440" i="40"/>
  <c r="N439" i="40"/>
  <c r="M441" i="42"/>
  <c r="N440" i="42"/>
  <c r="M441" i="40"/>
  <c r="N440" i="40"/>
  <c r="N441" i="42"/>
  <c r="O441" i="42" s="1"/>
  <c r="M442" i="42"/>
  <c r="N441" i="40"/>
  <c r="M442" i="40"/>
  <c r="N442" i="42"/>
  <c r="O442" i="42" s="1"/>
  <c r="M443" i="42"/>
  <c r="N442" i="40"/>
  <c r="M443" i="40"/>
  <c r="M444" i="42"/>
  <c r="N443" i="42"/>
  <c r="O443" i="42" s="1"/>
  <c r="M444" i="40"/>
  <c r="N443" i="40"/>
  <c r="N444" i="42"/>
  <c r="O444" i="42" s="1"/>
  <c r="M445" i="42"/>
  <c r="N444" i="40"/>
  <c r="M445" i="40"/>
  <c r="N445" i="42"/>
  <c r="O445" i="42" s="1"/>
  <c r="M446" i="42"/>
  <c r="N445" i="40"/>
  <c r="O445" i="40" s="1"/>
  <c r="M446" i="40"/>
  <c r="M447" i="42"/>
  <c r="N446" i="42"/>
  <c r="O446" i="42" s="1"/>
  <c r="N446" i="40"/>
  <c r="M447" i="40"/>
  <c r="M448" i="42"/>
  <c r="N447" i="42"/>
  <c r="O447" i="42" s="1"/>
  <c r="M448" i="40"/>
  <c r="N447" i="40"/>
  <c r="N448" i="42"/>
  <c r="O448" i="42" s="1"/>
  <c r="M449" i="42"/>
  <c r="N448" i="40"/>
  <c r="M449" i="40"/>
  <c r="N449" i="42"/>
  <c r="O449" i="42" s="1"/>
  <c r="M450" i="42"/>
  <c r="N449" i="40"/>
  <c r="O449" i="40" s="1"/>
  <c r="M450" i="40"/>
  <c r="N450" i="42"/>
  <c r="O450" i="42" s="1"/>
  <c r="M451" i="42"/>
  <c r="N450" i="40"/>
  <c r="O450" i="40" s="1"/>
  <c r="M451" i="40"/>
  <c r="N451" i="42"/>
  <c r="O451" i="42" s="1"/>
  <c r="M452" i="42"/>
  <c r="M452" i="40"/>
  <c r="N451" i="40"/>
  <c r="M453" i="42"/>
  <c r="N452" i="42"/>
  <c r="O452" i="42" s="1"/>
  <c r="N452" i="40"/>
  <c r="M453" i="40"/>
  <c r="M454" i="42"/>
  <c r="N453" i="42"/>
  <c r="O453" i="42" s="1"/>
  <c r="M454" i="40"/>
  <c r="N453" i="40"/>
  <c r="O453" i="40" s="1"/>
  <c r="N454" i="42"/>
  <c r="O454" i="42" s="1"/>
  <c r="M455" i="42"/>
  <c r="N454" i="40"/>
  <c r="O454" i="40" s="1"/>
  <c r="M455" i="40"/>
  <c r="N455" i="42"/>
  <c r="O455" i="42" s="1"/>
  <c r="M456" i="42"/>
  <c r="N455" i="40"/>
  <c r="M456" i="40"/>
  <c r="N456" i="42"/>
  <c r="O456" i="42" s="1"/>
  <c r="M457" i="42"/>
  <c r="N456" i="40"/>
  <c r="M457" i="40"/>
  <c r="N457" i="42"/>
  <c r="M458" i="42"/>
  <c r="M458" i="40"/>
  <c r="N457" i="40"/>
  <c r="O457" i="40" s="1"/>
  <c r="N458" i="42"/>
  <c r="O458" i="42" s="1"/>
  <c r="M459" i="42"/>
  <c r="N458" i="40"/>
  <c r="M459" i="40"/>
  <c r="N459" i="42"/>
  <c r="M460" i="42"/>
  <c r="M460" i="40"/>
  <c r="N459" i="40"/>
  <c r="O459" i="40" s="1"/>
  <c r="M461" i="42"/>
  <c r="N460" i="42"/>
  <c r="O460" i="42" s="1"/>
  <c r="N460" i="40"/>
  <c r="M461" i="40"/>
  <c r="N461" i="42"/>
  <c r="O461" i="42" s="1"/>
  <c r="M462" i="42"/>
  <c r="N461" i="40"/>
  <c r="O461" i="40" s="1"/>
  <c r="M462" i="40"/>
  <c r="M463" i="42"/>
  <c r="N462" i="42"/>
  <c r="O462" i="42" s="1"/>
  <c r="M463" i="40"/>
  <c r="N462" i="40"/>
  <c r="N463" i="42"/>
  <c r="O463" i="42" s="1"/>
  <c r="M464" i="42"/>
  <c r="N463" i="40"/>
  <c r="O463" i="40" s="1"/>
  <c r="M464" i="40"/>
  <c r="N464" i="42"/>
  <c r="O464" i="42" s="1"/>
  <c r="M465" i="42"/>
  <c r="M465" i="40"/>
  <c r="N464" i="40"/>
  <c r="M466" i="42"/>
  <c r="N465" i="42"/>
  <c r="O465" i="42" s="1"/>
  <c r="M466" i="40"/>
  <c r="N465" i="40"/>
  <c r="O465" i="40" s="1"/>
  <c r="N466" i="42"/>
  <c r="O466" i="42" s="1"/>
  <c r="M467" i="42"/>
  <c r="M467" i="40"/>
  <c r="N466" i="40"/>
  <c r="M468" i="42"/>
  <c r="N467" i="42"/>
  <c r="O467" i="42" s="1"/>
  <c r="N467" i="40"/>
  <c r="O467" i="40" s="1"/>
  <c r="M468" i="40"/>
  <c r="M469" i="42"/>
  <c r="N468" i="42"/>
  <c r="O468" i="42" s="1"/>
  <c r="N468" i="40"/>
  <c r="M469" i="40"/>
  <c r="N469" i="42"/>
  <c r="O469" i="42" s="1"/>
  <c r="M470" i="42"/>
  <c r="M470" i="40"/>
  <c r="N469" i="40"/>
  <c r="O469" i="40" s="1"/>
  <c r="M471" i="42"/>
  <c r="N470" i="42"/>
  <c r="O470" i="42" s="1"/>
  <c r="N470" i="40"/>
  <c r="M471" i="40"/>
  <c r="M472" i="42"/>
  <c r="N471" i="42"/>
  <c r="O471" i="42" s="1"/>
  <c r="M472" i="40"/>
  <c r="N471" i="40"/>
  <c r="O471" i="40" s="1"/>
  <c r="M473" i="42"/>
  <c r="N472" i="42"/>
  <c r="M473" i="40"/>
  <c r="N472" i="40"/>
  <c r="N473" i="42"/>
  <c r="O473" i="42" s="1"/>
  <c r="M474" i="42"/>
  <c r="N473" i="40"/>
  <c r="O473" i="40" s="1"/>
  <c r="M474" i="40"/>
  <c r="N474" i="42"/>
  <c r="O474" i="42" s="1"/>
  <c r="M475" i="42"/>
  <c r="M475" i="40"/>
  <c r="N474" i="40"/>
  <c r="N475" i="42"/>
  <c r="O475" i="42" s="1"/>
  <c r="M476" i="42"/>
  <c r="M476" i="40"/>
  <c r="N475" i="40"/>
  <c r="N476" i="42"/>
  <c r="O476" i="42" s="1"/>
  <c r="M477" i="42"/>
  <c r="N476" i="40"/>
  <c r="M477" i="40"/>
  <c r="M478" i="42"/>
  <c r="N477" i="42"/>
  <c r="O477" i="42" s="1"/>
  <c r="M478" i="40"/>
  <c r="N477" i="40"/>
  <c r="O477" i="40" s="1"/>
  <c r="N478" i="42"/>
  <c r="O478" i="42" s="1"/>
  <c r="M479" i="42"/>
  <c r="M479" i="40"/>
  <c r="N478" i="40"/>
  <c r="N479" i="42"/>
  <c r="O479" i="42" s="1"/>
  <c r="M480" i="42"/>
  <c r="M480" i="40"/>
  <c r="N479" i="40"/>
  <c r="N480" i="42"/>
  <c r="O480" i="42" s="1"/>
  <c r="M481" i="42"/>
  <c r="M481" i="40"/>
  <c r="N480" i="40"/>
  <c r="O480" i="40" s="1"/>
  <c r="M482" i="42"/>
  <c r="N481" i="42"/>
  <c r="O481" i="42" s="1"/>
  <c r="M482" i="40"/>
  <c r="N481" i="40"/>
  <c r="M483" i="42"/>
  <c r="N482" i="42"/>
  <c r="O482" i="42" s="1"/>
  <c r="M483" i="40"/>
  <c r="N482" i="40"/>
  <c r="M484" i="42"/>
  <c r="N483" i="42"/>
  <c r="O483" i="42" s="1"/>
  <c r="M484" i="40"/>
  <c r="N483" i="40"/>
  <c r="M485" i="42"/>
  <c r="N484" i="42"/>
  <c r="O484" i="42" s="1"/>
  <c r="M485" i="40"/>
  <c r="N484" i="40"/>
  <c r="N485" i="42"/>
  <c r="O485" i="42" s="1"/>
  <c r="M486" i="42"/>
  <c r="N485" i="40"/>
  <c r="O485" i="40" s="1"/>
  <c r="M486" i="40"/>
  <c r="M487" i="42"/>
  <c r="N486" i="42"/>
  <c r="O486" i="42" s="1"/>
  <c r="N486" i="40"/>
  <c r="M487" i="40"/>
  <c r="N487" i="42"/>
  <c r="M488" i="42"/>
  <c r="M488" i="40"/>
  <c r="N487" i="40"/>
  <c r="O487" i="40" s="1"/>
  <c r="N488" i="42"/>
  <c r="O488" i="42" s="1"/>
  <c r="M489" i="42"/>
  <c r="N488" i="40"/>
  <c r="O488" i="40" s="1"/>
  <c r="M489" i="40"/>
  <c r="N489" i="42"/>
  <c r="M490" i="42"/>
  <c r="M490" i="40"/>
  <c r="N489" i="40"/>
  <c r="M491" i="42"/>
  <c r="N490" i="42"/>
  <c r="O490" i="42" s="1"/>
  <c r="M491" i="40"/>
  <c r="N490" i="40"/>
  <c r="N491" i="42"/>
  <c r="O491" i="42" s="1"/>
  <c r="M492" i="42"/>
  <c r="N491" i="40"/>
  <c r="O491" i="40" s="1"/>
  <c r="M492" i="40"/>
  <c r="M493" i="42"/>
  <c r="N492" i="42"/>
  <c r="O492" i="42" s="1"/>
  <c r="M493" i="40"/>
  <c r="N492" i="40"/>
  <c r="O492" i="40" s="1"/>
  <c r="N493" i="42"/>
  <c r="O493" i="42" s="1"/>
  <c r="M494" i="42"/>
  <c r="M494" i="40"/>
  <c r="N493" i="40"/>
  <c r="M495" i="42"/>
  <c r="N494" i="42"/>
  <c r="O494" i="42" s="1"/>
  <c r="N494" i="40"/>
  <c r="M495" i="40"/>
  <c r="M496" i="42"/>
  <c r="N495" i="42"/>
  <c r="O495" i="42" s="1"/>
  <c r="N495" i="40"/>
  <c r="M496" i="40"/>
  <c r="N496" i="42"/>
  <c r="O496" i="42" s="1"/>
  <c r="M497" i="42"/>
  <c r="M497" i="40"/>
  <c r="N496" i="40"/>
  <c r="O496" i="40" s="1"/>
  <c r="M498" i="42"/>
  <c r="N497" i="42"/>
  <c r="O497" i="42" s="1"/>
  <c r="M498" i="40"/>
  <c r="N497" i="40"/>
  <c r="N498" i="42"/>
  <c r="M499" i="42"/>
  <c r="M499" i="40"/>
  <c r="N498" i="40"/>
  <c r="N499" i="42"/>
  <c r="O499" i="42" s="1"/>
  <c r="M500" i="42"/>
  <c r="M500" i="40"/>
  <c r="N499" i="40"/>
  <c r="N500" i="42"/>
  <c r="O500" i="42" s="1"/>
  <c r="M501" i="42"/>
  <c r="M501" i="40"/>
  <c r="N500" i="40"/>
  <c r="O500" i="40" s="1"/>
  <c r="M502" i="42"/>
  <c r="N501" i="42"/>
  <c r="O501" i="42" s="1"/>
  <c r="N501" i="40"/>
  <c r="M502" i="40"/>
  <c r="M503" i="42"/>
  <c r="N502" i="42"/>
  <c r="O502" i="42" s="1"/>
  <c r="N502" i="40"/>
  <c r="M503" i="40"/>
  <c r="M504" i="42"/>
  <c r="N503" i="42"/>
  <c r="O503" i="42" s="1"/>
  <c r="M504" i="40"/>
  <c r="N503" i="40"/>
  <c r="M505" i="42"/>
  <c r="N504" i="42"/>
  <c r="O504" i="42" s="1"/>
  <c r="N504" i="40"/>
  <c r="M505" i="40"/>
  <c r="M506" i="42"/>
  <c r="N505" i="42"/>
  <c r="O505" i="42" s="1"/>
  <c r="N505" i="40"/>
  <c r="M506" i="40"/>
  <c r="M507" i="42"/>
  <c r="N506" i="42"/>
  <c r="O506" i="42" s="1"/>
  <c r="M507" i="40"/>
  <c r="N506" i="40"/>
  <c r="M508" i="42"/>
  <c r="N507" i="42"/>
  <c r="M508" i="40"/>
  <c r="N507" i="40"/>
  <c r="M509" i="42"/>
  <c r="N508" i="42"/>
  <c r="O508" i="42" s="1"/>
  <c r="N508" i="40"/>
  <c r="O508" i="40" s="1"/>
  <c r="M509" i="40"/>
  <c r="N509" i="42"/>
  <c r="O509" i="42" s="1"/>
  <c r="M510" i="42"/>
  <c r="M510" i="40"/>
  <c r="N509" i="40"/>
  <c r="M511" i="42"/>
  <c r="N510" i="42"/>
  <c r="O510" i="42" s="1"/>
  <c r="N510" i="40"/>
  <c r="M511" i="40"/>
  <c r="M512" i="42"/>
  <c r="N511" i="42"/>
  <c r="O511" i="42" s="1"/>
  <c r="N511" i="40"/>
  <c r="O511" i="40" s="1"/>
  <c r="M512" i="40"/>
  <c r="M513" i="42"/>
  <c r="N512" i="42"/>
  <c r="O512" i="42" s="1"/>
  <c r="N512" i="40"/>
  <c r="O512" i="40" s="1"/>
  <c r="M513" i="40"/>
  <c r="M514" i="42"/>
  <c r="N513" i="42"/>
  <c r="O513" i="42" s="1"/>
  <c r="N513" i="40"/>
  <c r="M514" i="40"/>
  <c r="M515" i="42"/>
  <c r="N514" i="42"/>
  <c r="O514" i="42" s="1"/>
  <c r="N514" i="40"/>
  <c r="M515" i="40"/>
  <c r="M516" i="42"/>
  <c r="N515" i="42"/>
  <c r="O515" i="42" s="1"/>
  <c r="M516" i="40"/>
  <c r="N515" i="40"/>
  <c r="M517" i="42"/>
  <c r="N516" i="42"/>
  <c r="O516" i="42" s="1"/>
  <c r="M517" i="40"/>
  <c r="N516" i="40"/>
  <c r="N517" i="42"/>
  <c r="O517" i="42" s="1"/>
  <c r="M518" i="42"/>
  <c r="M518" i="40"/>
  <c r="N517" i="40"/>
  <c r="M519" i="42"/>
  <c r="N518" i="42"/>
  <c r="O518" i="42" s="1"/>
  <c r="N518" i="40"/>
  <c r="M519" i="40"/>
  <c r="N519" i="42"/>
  <c r="M520" i="42"/>
  <c r="M520" i="40"/>
  <c r="N519" i="40"/>
  <c r="M521" i="42"/>
  <c r="N520" i="42"/>
  <c r="O520" i="42" s="1"/>
  <c r="N520" i="40"/>
  <c r="M521" i="40"/>
  <c r="N521" i="42"/>
  <c r="M522" i="42"/>
  <c r="N521" i="40"/>
  <c r="O521" i="40" s="1"/>
  <c r="M522" i="40"/>
  <c r="N522" i="42"/>
  <c r="O522" i="42" s="1"/>
  <c r="M523" i="42"/>
  <c r="M523" i="40"/>
  <c r="N522" i="40"/>
  <c r="N523" i="42"/>
  <c r="O523" i="42" s="1"/>
  <c r="M524" i="42"/>
  <c r="M524" i="40"/>
  <c r="N523" i="40"/>
  <c r="M525" i="42"/>
  <c r="N524" i="42"/>
  <c r="O524" i="42" s="1"/>
  <c r="M525" i="40"/>
  <c r="N524" i="40"/>
  <c r="M526" i="42"/>
  <c r="N525" i="42"/>
  <c r="O525" i="42" s="1"/>
  <c r="N525" i="40"/>
  <c r="M526" i="40"/>
  <c r="N526" i="42"/>
  <c r="O526" i="42" s="1"/>
  <c r="M527" i="42"/>
  <c r="M527" i="40"/>
  <c r="N526" i="40"/>
  <c r="N527" i="42"/>
  <c r="M528" i="42"/>
  <c r="N527" i="40"/>
  <c r="O527" i="40" s="1"/>
  <c r="M528" i="40"/>
  <c r="N528" i="42"/>
  <c r="O528" i="42" s="1"/>
  <c r="M529" i="42"/>
  <c r="M529" i="40"/>
  <c r="N528" i="40"/>
  <c r="N529" i="42"/>
  <c r="M530" i="42"/>
  <c r="M530" i="40"/>
  <c r="N529" i="40"/>
  <c r="O529" i="40" s="1"/>
  <c r="M531" i="42"/>
  <c r="N530" i="42"/>
  <c r="O530" i="42" s="1"/>
  <c r="N530" i="40"/>
  <c r="M531" i="40"/>
  <c r="N531" i="42"/>
  <c r="O531" i="42" s="1"/>
  <c r="M532" i="42"/>
  <c r="M532" i="40"/>
  <c r="N531" i="40"/>
  <c r="N532" i="42"/>
  <c r="O532" i="42" s="1"/>
  <c r="M533" i="42"/>
  <c r="M533" i="40"/>
  <c r="N532" i="40"/>
  <c r="O532" i="40" s="1"/>
  <c r="N533" i="42"/>
  <c r="O533" i="42" s="1"/>
  <c r="M534" i="42"/>
  <c r="N533" i="40"/>
  <c r="M534" i="40"/>
  <c r="M535" i="42"/>
  <c r="N534" i="42"/>
  <c r="O534" i="42" s="1"/>
  <c r="M535" i="40"/>
  <c r="N534" i="40"/>
  <c r="N535" i="42"/>
  <c r="O535" i="42" s="1"/>
  <c r="M536" i="42"/>
  <c r="N535" i="40"/>
  <c r="M536" i="40"/>
  <c r="M537" i="42"/>
  <c r="N536" i="42"/>
  <c r="O536" i="42" s="1"/>
  <c r="M537" i="40"/>
  <c r="N536" i="40"/>
  <c r="M538" i="42"/>
  <c r="N537" i="42"/>
  <c r="O537" i="42" s="1"/>
  <c r="M538" i="40"/>
  <c r="N537" i="40"/>
  <c r="N538" i="42"/>
  <c r="O538" i="42" s="1"/>
  <c r="M539" i="42"/>
  <c r="N538" i="40"/>
  <c r="M539" i="40"/>
  <c r="M540" i="42"/>
  <c r="N539" i="42"/>
  <c r="O539" i="42" s="1"/>
  <c r="M540" i="40"/>
  <c r="N539" i="40"/>
  <c r="O539" i="40" s="1"/>
  <c r="N540" i="42"/>
  <c r="O540" i="42" s="1"/>
  <c r="M541" i="42"/>
  <c r="M541" i="40"/>
  <c r="N540" i="40"/>
  <c r="N541" i="42"/>
  <c r="O541" i="42" s="1"/>
  <c r="M542" i="42"/>
  <c r="N541" i="40"/>
  <c r="O541" i="40" s="1"/>
  <c r="M542" i="40"/>
  <c r="M543" i="42"/>
  <c r="N542" i="42"/>
  <c r="O542" i="42" s="1"/>
  <c r="M543" i="40"/>
  <c r="N542" i="40"/>
  <c r="M544" i="42"/>
  <c r="N543" i="42"/>
  <c r="O543" i="42" s="1"/>
  <c r="M544" i="40"/>
  <c r="N543" i="40"/>
  <c r="N544" i="42"/>
  <c r="O544" i="42" s="1"/>
  <c r="M545" i="42"/>
  <c r="M545" i="40"/>
  <c r="N544" i="40"/>
  <c r="N545" i="42"/>
  <c r="O545" i="42" s="1"/>
  <c r="M546" i="42"/>
  <c r="M546" i="40"/>
  <c r="N545" i="40"/>
  <c r="N546" i="42"/>
  <c r="O546" i="42" s="1"/>
  <c r="M547" i="42"/>
  <c r="N546" i="40"/>
  <c r="M547" i="40"/>
  <c r="N547" i="42"/>
  <c r="O547" i="42" s="1"/>
  <c r="M548" i="42"/>
  <c r="M548" i="40"/>
  <c r="N547" i="40"/>
  <c r="O547" i="40" s="1"/>
  <c r="M549" i="42"/>
  <c r="N548" i="42"/>
  <c r="O548" i="42" s="1"/>
  <c r="M549" i="40"/>
  <c r="N548" i="40"/>
  <c r="N549" i="42"/>
  <c r="O549" i="42" s="1"/>
  <c r="M550" i="42"/>
  <c r="M550" i="40"/>
  <c r="N549" i="40"/>
  <c r="O549" i="40" s="1"/>
  <c r="N550" i="42"/>
  <c r="O550" i="42" s="1"/>
  <c r="M551" i="42"/>
  <c r="N550" i="40"/>
  <c r="M551" i="40"/>
  <c r="M552" i="42"/>
  <c r="N551" i="42"/>
  <c r="O551" i="42" s="1"/>
  <c r="M552" i="40"/>
  <c r="N551" i="40"/>
  <c r="O551" i="40" s="1"/>
  <c r="M553" i="42"/>
  <c r="N552" i="42"/>
  <c r="O552" i="42" s="1"/>
  <c r="N552" i="40"/>
  <c r="M553" i="40"/>
  <c r="M554" i="42"/>
  <c r="N553" i="42"/>
  <c r="N553" i="40"/>
  <c r="O553" i="40" s="1"/>
  <c r="M554" i="40"/>
  <c r="N554" i="42"/>
  <c r="M555" i="42"/>
  <c r="N554" i="40"/>
  <c r="M555" i="40"/>
  <c r="N555" i="42"/>
  <c r="O555" i="42" s="1"/>
  <c r="M556" i="42"/>
  <c r="M556" i="40"/>
  <c r="N555" i="40"/>
  <c r="N556" i="42"/>
  <c r="O556" i="42" s="1"/>
  <c r="M557" i="42"/>
  <c r="N556" i="40"/>
  <c r="M557" i="40"/>
  <c r="M558" i="42"/>
  <c r="N557" i="42"/>
  <c r="O557" i="42" s="1"/>
  <c r="M558" i="40"/>
  <c r="N557" i="40"/>
  <c r="O557" i="40" s="1"/>
  <c r="N558" i="42"/>
  <c r="M559" i="42"/>
  <c r="M559" i="40"/>
  <c r="N558" i="40"/>
  <c r="M560" i="42"/>
  <c r="N559" i="42"/>
  <c r="O559" i="42" s="1"/>
  <c r="M560" i="40"/>
  <c r="N559" i="40"/>
  <c r="M561" i="42"/>
  <c r="N560" i="42"/>
  <c r="M561" i="40"/>
  <c r="N560" i="40"/>
  <c r="O560" i="40" s="1"/>
  <c r="M562" i="42"/>
  <c r="N561" i="42"/>
  <c r="O561" i="42" s="1"/>
  <c r="N561" i="40"/>
  <c r="M562" i="40"/>
  <c r="M563" i="42"/>
  <c r="N562" i="42"/>
  <c r="O562" i="42" s="1"/>
  <c r="M563" i="40"/>
  <c r="N562" i="40"/>
  <c r="N563" i="42"/>
  <c r="O563" i="42" s="1"/>
  <c r="M564" i="42"/>
  <c r="N563" i="40"/>
  <c r="M564" i="40"/>
  <c r="M565" i="42"/>
  <c r="N564" i="42"/>
  <c r="O564" i="42" s="1"/>
  <c r="N564" i="40"/>
  <c r="M565" i="40"/>
  <c r="N565" i="42"/>
  <c r="O565" i="42" s="1"/>
  <c r="M566" i="42"/>
  <c r="M566" i="40"/>
  <c r="N565" i="40"/>
  <c r="M567" i="42"/>
  <c r="N566" i="42"/>
  <c r="O566" i="42" s="1"/>
  <c r="M567" i="40"/>
  <c r="N566" i="40"/>
  <c r="M568" i="42"/>
  <c r="N567" i="42"/>
  <c r="O567" i="42" s="1"/>
  <c r="M568" i="40"/>
  <c r="N567" i="40"/>
  <c r="N568" i="42"/>
  <c r="O568" i="42" s="1"/>
  <c r="M569" i="42"/>
  <c r="M569" i="40"/>
  <c r="N568" i="40"/>
  <c r="O568" i="40" s="1"/>
  <c r="M570" i="42"/>
  <c r="N569" i="42"/>
  <c r="O569" i="42" s="1"/>
  <c r="M570" i="40"/>
  <c r="N569" i="40"/>
  <c r="O569" i="40" s="1"/>
  <c r="N570" i="42"/>
  <c r="M571" i="42"/>
  <c r="M571" i="40"/>
  <c r="N570" i="40"/>
  <c r="N571" i="42"/>
  <c r="O571" i="42" s="1"/>
  <c r="M572" i="42"/>
  <c r="M572" i="40"/>
  <c r="N571" i="40"/>
  <c r="M573" i="42"/>
  <c r="N572" i="42"/>
  <c r="O572" i="42" s="1"/>
  <c r="M573" i="40"/>
  <c r="N572" i="40"/>
  <c r="O572" i="40" s="1"/>
  <c r="N573" i="42"/>
  <c r="O573" i="42" s="1"/>
  <c r="M574" i="42"/>
  <c r="N573" i="40"/>
  <c r="O573" i="40" s="1"/>
  <c r="M574" i="40"/>
  <c r="N574" i="42"/>
  <c r="O574" i="42" s="1"/>
  <c r="M575" i="42"/>
  <c r="M575" i="40"/>
  <c r="N574" i="40"/>
  <c r="M576" i="42"/>
  <c r="N575" i="42"/>
  <c r="O575" i="42" s="1"/>
  <c r="N575" i="40"/>
  <c r="M576" i="40"/>
  <c r="M577" i="42"/>
  <c r="N576" i="42"/>
  <c r="M577" i="40"/>
  <c r="N576" i="40"/>
  <c r="O576" i="40" s="1"/>
  <c r="M578" i="42"/>
  <c r="N577" i="42"/>
  <c r="O577" i="42" s="1"/>
  <c r="N577" i="40"/>
  <c r="M578" i="40"/>
  <c r="N578" i="42"/>
  <c r="O578" i="42" s="1"/>
  <c r="M579" i="42"/>
  <c r="N578" i="40"/>
  <c r="M579" i="40"/>
  <c r="N579" i="42"/>
  <c r="O579" i="42" s="1"/>
  <c r="M580" i="42"/>
  <c r="N579" i="40"/>
  <c r="M580" i="40"/>
  <c r="N580" i="42"/>
  <c r="O580" i="42" s="1"/>
  <c r="M581" i="42"/>
  <c r="M581" i="40"/>
  <c r="N581" i="40" s="1"/>
  <c r="N580" i="40"/>
  <c r="A4" i="35" l="1"/>
  <c r="N16" i="45"/>
  <c r="N20" i="45"/>
  <c r="N13" i="45"/>
  <c r="N17" i="45"/>
  <c r="N18" i="45"/>
  <c r="N14" i="45"/>
  <c r="N21" i="45"/>
  <c r="N15" i="45"/>
  <c r="N19" i="45"/>
  <c r="N14" i="39"/>
  <c r="L14" i="39"/>
  <c r="M14" i="39"/>
  <c r="N12" i="39"/>
  <c r="L12" i="39"/>
  <c r="M12" i="39"/>
  <c r="A3" i="35"/>
  <c r="M13" i="39"/>
  <c r="L13" i="39"/>
  <c r="N13" i="39"/>
  <c r="N14" i="43"/>
  <c r="M14" i="43"/>
  <c r="L14" i="43"/>
  <c r="D11" i="42"/>
  <c r="D10" i="42"/>
  <c r="D9" i="42"/>
  <c r="D8" i="42"/>
  <c r="D7" i="42"/>
  <c r="D6" i="42"/>
  <c r="D5" i="42"/>
  <c r="D4" i="42"/>
  <c r="D3" i="42"/>
  <c r="O580" i="40"/>
  <c r="P580" i="40" s="1"/>
  <c r="O574" i="40"/>
  <c r="P574" i="40" s="1"/>
  <c r="O563" i="40"/>
  <c r="P563" i="40" s="1"/>
  <c r="O555" i="40"/>
  <c r="P555" i="40" s="1"/>
  <c r="O545" i="40"/>
  <c r="P545" i="40" s="1"/>
  <c r="O535" i="40"/>
  <c r="P535" i="40" s="1"/>
  <c r="O526" i="40"/>
  <c r="P526" i="40" s="1"/>
  <c r="O519" i="42"/>
  <c r="P519" i="42" s="1"/>
  <c r="O509" i="40"/>
  <c r="P509" i="40" s="1"/>
  <c r="O501" i="40"/>
  <c r="P501" i="40" s="1"/>
  <c r="O490" i="40"/>
  <c r="P490" i="40" s="1"/>
  <c r="O481" i="40"/>
  <c r="P481" i="40" s="1"/>
  <c r="O470" i="40"/>
  <c r="P470" i="40" s="1"/>
  <c r="O457" i="42"/>
  <c r="P457" i="42" s="1"/>
  <c r="O444" i="40"/>
  <c r="P444" i="40" s="1"/>
  <c r="O438" i="40"/>
  <c r="P438" i="40" s="1"/>
  <c r="O424" i="40"/>
  <c r="P424" i="40" s="1"/>
  <c r="O414" i="40"/>
  <c r="P414" i="40" s="1"/>
  <c r="O403" i="40"/>
  <c r="P403" i="40" s="1"/>
  <c r="O391" i="40"/>
  <c r="P391" i="40" s="1"/>
  <c r="O378" i="40"/>
  <c r="P378" i="40" s="1"/>
  <c r="O368" i="40"/>
  <c r="P368" i="40" s="1"/>
  <c r="O361" i="40"/>
  <c r="P361" i="40" s="1"/>
  <c r="O351" i="40"/>
  <c r="P351" i="40" s="1"/>
  <c r="O344" i="40"/>
  <c r="P344" i="40" s="1"/>
  <c r="O336" i="42"/>
  <c r="P336" i="42" s="1"/>
  <c r="O329" i="40"/>
  <c r="P329" i="40" s="1"/>
  <c r="O320" i="40"/>
  <c r="P320" i="40" s="1"/>
  <c r="O309" i="40"/>
  <c r="P309" i="40" s="1"/>
  <c r="O297" i="40"/>
  <c r="P297" i="40" s="1"/>
  <c r="O285" i="40"/>
  <c r="P285" i="40" s="1"/>
  <c r="O277" i="40"/>
  <c r="P277" i="40" s="1"/>
  <c r="O269" i="40"/>
  <c r="P269" i="40" s="1"/>
  <c r="O262" i="40"/>
  <c r="P262" i="40" s="1"/>
  <c r="O251" i="42"/>
  <c r="P251" i="42" s="1"/>
  <c r="O242" i="40"/>
  <c r="P242" i="40" s="1"/>
  <c r="O230" i="40"/>
  <c r="P230" i="40" s="1"/>
  <c r="O219" i="40"/>
  <c r="P219" i="40" s="1"/>
  <c r="O209" i="40"/>
  <c r="P209" i="40" s="1"/>
  <c r="O194" i="40"/>
  <c r="P194" i="40" s="1"/>
  <c r="O185" i="40"/>
  <c r="P185" i="40" s="1"/>
  <c r="O175" i="40"/>
  <c r="P175" i="40" s="1"/>
  <c r="O167" i="40"/>
  <c r="P167" i="40" s="1"/>
  <c r="O156" i="40"/>
  <c r="P156" i="40" s="1"/>
  <c r="O146" i="40"/>
  <c r="P146" i="40" s="1"/>
  <c r="O137" i="40"/>
  <c r="P137" i="40" s="1"/>
  <c r="O126" i="40"/>
  <c r="P126" i="40" s="1"/>
  <c r="O119" i="40"/>
  <c r="P119" i="40" s="1"/>
  <c r="O110" i="40"/>
  <c r="P110" i="40" s="1"/>
  <c r="O100" i="40"/>
  <c r="P100" i="40" s="1"/>
  <c r="O88" i="40"/>
  <c r="P88" i="40" s="1"/>
  <c r="O79" i="40"/>
  <c r="P79" i="40" s="1"/>
  <c r="O69" i="40"/>
  <c r="P69" i="40" s="1"/>
  <c r="O57" i="40"/>
  <c r="P57" i="40" s="1"/>
  <c r="O47" i="40"/>
  <c r="P47" i="40" s="1"/>
  <c r="O38" i="40"/>
  <c r="P38" i="40" s="1"/>
  <c r="O27" i="40"/>
  <c r="P27" i="40" s="1"/>
  <c r="O19" i="40"/>
  <c r="P19" i="40" s="1"/>
  <c r="O9" i="40"/>
  <c r="P9" i="40" s="1"/>
  <c r="H6" i="42"/>
  <c r="I6" i="42" s="1"/>
  <c r="D38" i="29"/>
  <c r="P40" i="42"/>
  <c r="P487" i="40"/>
  <c r="P85" i="42"/>
  <c r="P165" i="42"/>
  <c r="P232" i="42"/>
  <c r="P466" i="42"/>
  <c r="P30" i="42"/>
  <c r="P108" i="42"/>
  <c r="P556" i="42"/>
  <c r="P309" i="42"/>
  <c r="P97" i="40"/>
  <c r="P521" i="40"/>
  <c r="P110" i="42"/>
  <c r="P488" i="42"/>
  <c r="P164" i="42"/>
  <c r="P538" i="42"/>
  <c r="P193" i="42"/>
  <c r="P175" i="42"/>
  <c r="P43" i="42"/>
  <c r="P518" i="42"/>
  <c r="P245" i="42"/>
  <c r="P513" i="42"/>
  <c r="P573" i="40"/>
  <c r="P517" i="42"/>
  <c r="P237" i="40"/>
  <c r="P275" i="42"/>
  <c r="P514" i="42"/>
  <c r="P419" i="42"/>
  <c r="P213" i="42"/>
  <c r="P384" i="42"/>
  <c r="P484" i="42"/>
  <c r="P42" i="42"/>
  <c r="P215" i="42"/>
  <c r="P260" i="40"/>
  <c r="P341" i="40"/>
  <c r="P185" i="42"/>
  <c r="P36" i="42"/>
  <c r="P335" i="42"/>
  <c r="P173" i="42"/>
  <c r="P324" i="42"/>
  <c r="P196" i="42"/>
  <c r="P55" i="42"/>
  <c r="P539" i="42"/>
  <c r="P257" i="42"/>
  <c r="P525" i="42"/>
  <c r="P282" i="42"/>
  <c r="P239" i="42"/>
  <c r="P69" i="42"/>
  <c r="P382" i="42"/>
  <c r="P19" i="42"/>
  <c r="P391" i="42"/>
  <c r="P91" i="42"/>
  <c r="P312" i="42"/>
  <c r="P352" i="40"/>
  <c r="P421" i="42"/>
  <c r="P428" i="42"/>
  <c r="P9" i="42"/>
  <c r="P93" i="42"/>
  <c r="P112" i="42"/>
  <c r="P362" i="42"/>
  <c r="P237" i="42"/>
  <c r="P252" i="42"/>
  <c r="P188" i="42"/>
  <c r="P216" i="40"/>
  <c r="P361" i="42"/>
  <c r="P465" i="40"/>
  <c r="P475" i="42"/>
  <c r="P283" i="42"/>
  <c r="P117" i="42"/>
  <c r="P190" i="42"/>
  <c r="P434" i="42"/>
  <c r="P14" i="42"/>
  <c r="P98" i="42"/>
  <c r="P548" i="42"/>
  <c r="P301" i="42"/>
  <c r="P577" i="42"/>
  <c r="P302" i="42"/>
  <c r="P379" i="40"/>
  <c r="P276" i="42"/>
  <c r="P419" i="40"/>
  <c r="P51" i="42"/>
  <c r="P462" i="42"/>
  <c r="P128" i="42"/>
  <c r="P344" i="42"/>
  <c r="P388" i="40"/>
  <c r="P433" i="42"/>
  <c r="P437" i="40"/>
  <c r="P456" i="42"/>
  <c r="P510" i="42"/>
  <c r="P354" i="42"/>
  <c r="P427" i="40"/>
  <c r="P500" i="40"/>
  <c r="P473" i="40"/>
  <c r="P109" i="40"/>
  <c r="P244" i="42"/>
  <c r="P96" i="42"/>
  <c r="P387" i="42"/>
  <c r="P307" i="42"/>
  <c r="P451" i="42"/>
  <c r="P491" i="42"/>
  <c r="P124" i="42"/>
  <c r="P321" i="42"/>
  <c r="P295" i="42"/>
  <c r="P520" i="42"/>
  <c r="P578" i="42"/>
  <c r="P100" i="42"/>
  <c r="P568" i="40"/>
  <c r="P328" i="42"/>
  <c r="P27" i="42"/>
  <c r="P102" i="42"/>
  <c r="P425" i="42"/>
  <c r="P442" i="42"/>
  <c r="P135" i="40"/>
  <c r="P268" i="42"/>
  <c r="P194" i="42"/>
  <c r="P241" i="40"/>
  <c r="P551" i="42"/>
  <c r="P44" i="42"/>
  <c r="P143" i="42"/>
  <c r="P504" i="42"/>
  <c r="P557" i="40"/>
  <c r="O315" i="40"/>
  <c r="P315" i="40" s="1"/>
  <c r="O255" i="40"/>
  <c r="P255" i="40" s="1"/>
  <c r="O227" i="42"/>
  <c r="P227" i="42" s="1"/>
  <c r="O190" i="40"/>
  <c r="P190" i="40" s="1"/>
  <c r="O172" i="40"/>
  <c r="P172" i="40" s="1"/>
  <c r="O151" i="40"/>
  <c r="P151" i="40" s="1"/>
  <c r="O133" i="40"/>
  <c r="P133" i="40" s="1"/>
  <c r="O106" i="40"/>
  <c r="P106" i="40" s="1"/>
  <c r="O84" i="40"/>
  <c r="P84" i="40" s="1"/>
  <c r="O54" i="40"/>
  <c r="P54" i="40" s="1"/>
  <c r="O24" i="40"/>
  <c r="P24" i="40" s="1"/>
  <c r="O7" i="40"/>
  <c r="P7" i="40" s="1"/>
  <c r="P304" i="42"/>
  <c r="P10" i="40"/>
  <c r="P405" i="42"/>
  <c r="P357" i="40"/>
  <c r="P500" i="42"/>
  <c r="P471" i="40"/>
  <c r="P200" i="40"/>
  <c r="P285" i="42"/>
  <c r="P13" i="42"/>
  <c r="P198" i="42"/>
  <c r="P454" i="42"/>
  <c r="P16" i="42"/>
  <c r="P284" i="42"/>
  <c r="P208" i="40"/>
  <c r="P457" i="40"/>
  <c r="P77" i="42"/>
  <c r="P231" i="40"/>
  <c r="P212" i="42"/>
  <c r="P261" i="42"/>
  <c r="P106" i="42"/>
  <c r="P145" i="42"/>
  <c r="P408" i="42"/>
  <c r="P90" i="42"/>
  <c r="P150" i="42"/>
  <c r="P300" i="40"/>
  <c r="P381" i="40"/>
  <c r="P152" i="42"/>
  <c r="P52" i="40"/>
  <c r="P278" i="42"/>
  <c r="P545" i="42"/>
  <c r="O141" i="40"/>
  <c r="P141" i="40" s="1"/>
  <c r="O33" i="40"/>
  <c r="P33" i="40" s="1"/>
  <c r="H4" i="42"/>
  <c r="I4" i="42" s="1"/>
  <c r="P340" i="42"/>
  <c r="P534" i="42"/>
  <c r="P358" i="42"/>
  <c r="F11" i="42"/>
  <c r="P49" i="42"/>
  <c r="P256" i="40"/>
  <c r="P317" i="42"/>
  <c r="P542" i="42"/>
  <c r="P406" i="42"/>
  <c r="P33" i="42"/>
  <c r="P349" i="42"/>
  <c r="P322" i="42"/>
  <c r="P107" i="42"/>
  <c r="P220" i="42"/>
  <c r="P142" i="42"/>
  <c r="P87" i="42"/>
  <c r="P569" i="42"/>
  <c r="P218" i="42"/>
  <c r="P116" i="42"/>
  <c r="P572" i="40"/>
  <c r="P195" i="42"/>
  <c r="P414" i="42"/>
  <c r="P118" i="42"/>
  <c r="P429" i="42"/>
  <c r="P411" i="42"/>
  <c r="P452" i="42"/>
  <c r="P103" i="42"/>
  <c r="P89" i="40"/>
  <c r="O113" i="40"/>
  <c r="P113" i="40" s="1"/>
  <c r="P6" i="40"/>
  <c r="P470" i="42"/>
  <c r="P530" i="42"/>
  <c r="P235" i="42"/>
  <c r="P473" i="42"/>
  <c r="P467" i="42"/>
  <c r="P314" i="42"/>
  <c r="P99" i="42"/>
  <c r="P316" i="40"/>
  <c r="P381" i="42"/>
  <c r="P158" i="42"/>
  <c r="P180" i="42"/>
  <c r="P74" i="42"/>
  <c r="P445" i="42"/>
  <c r="P202" i="42"/>
  <c r="P75" i="42"/>
  <c r="P417" i="42"/>
  <c r="P56" i="42"/>
  <c r="P526" i="42"/>
  <c r="P130" i="42"/>
  <c r="P145" i="40"/>
  <c r="P315" i="42"/>
  <c r="P450" i="40"/>
  <c r="P71" i="42"/>
  <c r="P32" i="42"/>
  <c r="P155" i="40"/>
  <c r="P422" i="42"/>
  <c r="P469" i="40"/>
  <c r="P515" i="42"/>
  <c r="P52" i="42"/>
  <c r="P164" i="40"/>
  <c r="O346" i="42"/>
  <c r="P346" i="42" s="1"/>
  <c r="O223" i="40"/>
  <c r="P223" i="40" s="1"/>
  <c r="O177" i="42"/>
  <c r="P177" i="42" s="1"/>
  <c r="O148" i="40"/>
  <c r="P148" i="40" s="1"/>
  <c r="O121" i="42"/>
  <c r="P121" i="42" s="1"/>
  <c r="O81" i="40"/>
  <c r="P81" i="40" s="1"/>
  <c r="O49" i="40"/>
  <c r="P49" i="40" s="1"/>
  <c r="O21" i="40"/>
  <c r="P21" i="40" s="1"/>
  <c r="P60" i="42"/>
  <c r="P509" i="42"/>
  <c r="P148" i="42"/>
  <c r="P318" i="42"/>
  <c r="P376" i="42"/>
  <c r="P413" i="42"/>
  <c r="P103" i="40"/>
  <c r="P561" i="42"/>
  <c r="P79" i="42"/>
  <c r="P182" i="42"/>
  <c r="P449" i="42"/>
  <c r="P410" i="42"/>
  <c r="P221" i="42"/>
  <c r="P183" i="42"/>
  <c r="P225" i="40"/>
  <c r="P95" i="40"/>
  <c r="P4" i="42"/>
  <c r="P573" i="42"/>
  <c r="P543" i="42"/>
  <c r="P132" i="42"/>
  <c r="P576" i="40"/>
  <c r="P454" i="40"/>
  <c r="P14" i="40"/>
  <c r="P199" i="42"/>
  <c r="P446" i="42"/>
  <c r="P402" i="42"/>
  <c r="P317" i="40"/>
  <c r="P191" i="42"/>
  <c r="P84" i="42"/>
  <c r="P485" i="42"/>
  <c r="P404" i="42"/>
  <c r="P272" i="42"/>
  <c r="P389" i="42"/>
  <c r="P266" i="42"/>
  <c r="P135" i="42"/>
  <c r="P429" i="40"/>
  <c r="P10" i="42"/>
  <c r="P563" i="42"/>
  <c r="P160" i="42"/>
  <c r="P304" i="40"/>
  <c r="O581" i="40"/>
  <c r="O571" i="40"/>
  <c r="P571" i="40" s="1"/>
  <c r="O562" i="40"/>
  <c r="P562" i="40" s="1"/>
  <c r="O554" i="40"/>
  <c r="P554" i="40" s="1"/>
  <c r="O544" i="40"/>
  <c r="P544" i="40" s="1"/>
  <c r="O534" i="40"/>
  <c r="P534" i="40" s="1"/>
  <c r="O525" i="40"/>
  <c r="P525" i="40" s="1"/>
  <c r="O518" i="40"/>
  <c r="P518" i="40" s="1"/>
  <c r="O507" i="40"/>
  <c r="P507" i="40" s="1"/>
  <c r="O499" i="40"/>
  <c r="P499" i="40" s="1"/>
  <c r="O489" i="40"/>
  <c r="P489" i="40" s="1"/>
  <c r="O479" i="40"/>
  <c r="P479" i="40" s="1"/>
  <c r="O468" i="40"/>
  <c r="P468" i="40" s="1"/>
  <c r="O456" i="40"/>
  <c r="P456" i="40" s="1"/>
  <c r="O443" i="40"/>
  <c r="P443" i="40" s="1"/>
  <c r="O436" i="40"/>
  <c r="P436" i="40" s="1"/>
  <c r="O423" i="42"/>
  <c r="P423" i="42" s="1"/>
  <c r="O412" i="40"/>
  <c r="P412" i="40" s="1"/>
  <c r="O401" i="40"/>
  <c r="P401" i="40" s="1"/>
  <c r="O389" i="40"/>
  <c r="P389" i="40" s="1"/>
  <c r="O377" i="40"/>
  <c r="P377" i="40" s="1"/>
  <c r="O368" i="42"/>
  <c r="P368" i="42" s="1"/>
  <c r="O359" i="40"/>
  <c r="P359" i="40" s="1"/>
  <c r="O351" i="42"/>
  <c r="P351" i="42" s="1"/>
  <c r="O343" i="40"/>
  <c r="P343" i="40" s="1"/>
  <c r="O335" i="40"/>
  <c r="P335" i="40" s="1"/>
  <c r="O328" i="40"/>
  <c r="P328" i="40" s="1"/>
  <c r="O319" i="40"/>
  <c r="P319" i="40" s="1"/>
  <c r="O307" i="40"/>
  <c r="P307" i="40" s="1"/>
  <c r="O295" i="40"/>
  <c r="P295" i="40" s="1"/>
  <c r="O284" i="40"/>
  <c r="P284" i="40" s="1"/>
  <c r="O276" i="40"/>
  <c r="P276" i="40" s="1"/>
  <c r="O268" i="40"/>
  <c r="P268" i="40" s="1"/>
  <c r="O261" i="40"/>
  <c r="P261" i="40" s="1"/>
  <c r="O249" i="40"/>
  <c r="P249" i="40" s="1"/>
  <c r="O240" i="40"/>
  <c r="P240" i="40" s="1"/>
  <c r="O229" i="40"/>
  <c r="P229" i="40" s="1"/>
  <c r="O218" i="40"/>
  <c r="P218" i="40" s="1"/>
  <c r="O207" i="40"/>
  <c r="P207" i="40" s="1"/>
  <c r="O192" i="40"/>
  <c r="P192" i="40" s="1"/>
  <c r="O184" i="40"/>
  <c r="P184" i="40" s="1"/>
  <c r="O174" i="40"/>
  <c r="P174" i="40" s="1"/>
  <c r="O167" i="42"/>
  <c r="P167" i="42" s="1"/>
  <c r="O154" i="40"/>
  <c r="P154" i="40" s="1"/>
  <c r="O144" i="40"/>
  <c r="P144" i="40" s="1"/>
  <c r="O136" i="40"/>
  <c r="P136" i="40" s="1"/>
  <c r="O125" i="40"/>
  <c r="P125" i="40" s="1"/>
  <c r="O118" i="40"/>
  <c r="P118" i="40" s="1"/>
  <c r="O108" i="40"/>
  <c r="P108" i="40" s="1"/>
  <c r="O99" i="40"/>
  <c r="P99" i="40" s="1"/>
  <c r="O86" i="40"/>
  <c r="P86" i="40" s="1"/>
  <c r="O78" i="40"/>
  <c r="P78" i="40" s="1"/>
  <c r="O67" i="40"/>
  <c r="P67" i="40" s="1"/>
  <c r="O56" i="40"/>
  <c r="P56" i="40" s="1"/>
  <c r="O46" i="40"/>
  <c r="P46" i="40" s="1"/>
  <c r="O37" i="40"/>
  <c r="P37" i="40" s="1"/>
  <c r="O26" i="40"/>
  <c r="P26" i="40" s="1"/>
  <c r="O18" i="40"/>
  <c r="P18" i="40" s="1"/>
  <c r="H10" i="42"/>
  <c r="I10" i="42" s="1"/>
  <c r="P4" i="40"/>
  <c r="AG132" i="39"/>
  <c r="P378" i="42"/>
  <c r="P163" i="42"/>
  <c r="P522" i="42"/>
  <c r="P394" i="42"/>
  <c r="P41" i="42"/>
  <c r="P68" i="42"/>
  <c r="P149" i="42"/>
  <c r="P151" i="42"/>
  <c r="P196" i="40"/>
  <c r="P341" i="42"/>
  <c r="P193" i="40"/>
  <c r="P221" i="40"/>
  <c r="P94" i="40"/>
  <c r="P567" i="42"/>
  <c r="P271" i="42"/>
  <c r="P87" i="40"/>
  <c r="P299" i="42"/>
  <c r="P310" i="42"/>
  <c r="P71" i="40"/>
  <c r="P528" i="42"/>
  <c r="P281" i="42"/>
  <c r="P557" i="42"/>
  <c r="P119" i="42"/>
  <c r="P117" i="40"/>
  <c r="P396" i="42"/>
  <c r="P270" i="42"/>
  <c r="P551" i="40"/>
  <c r="P7" i="42"/>
  <c r="P65" i="42"/>
  <c r="P157" i="42"/>
  <c r="P181" i="42"/>
  <c r="P287" i="42"/>
  <c r="P324" i="40"/>
  <c r="P461" i="40"/>
  <c r="P443" i="42"/>
  <c r="P57" i="42"/>
  <c r="P58" i="42"/>
  <c r="P131" i="42"/>
  <c r="P407" i="40"/>
  <c r="P367" i="42"/>
  <c r="P82" i="42"/>
  <c r="P536" i="42"/>
  <c r="P289" i="42"/>
  <c r="P129" i="40"/>
  <c r="P566" i="42"/>
  <c r="P424" i="42"/>
  <c r="P95" i="42"/>
  <c r="P478" i="42"/>
  <c r="P129" i="42"/>
  <c r="P258" i="42"/>
  <c r="P192" i="42"/>
  <c r="P402" i="40"/>
  <c r="P488" i="40"/>
  <c r="P453" i="42"/>
  <c r="P506" i="42"/>
  <c r="P65" i="40"/>
  <c r="P179" i="42"/>
  <c r="P279" i="42"/>
  <c r="P134" i="42"/>
  <c r="P184" i="42"/>
  <c r="P444" i="42"/>
  <c r="P236" i="42"/>
  <c r="P296" i="40"/>
  <c r="P393" i="42"/>
  <c r="P549" i="40"/>
  <c r="P364" i="42"/>
  <c r="P508" i="42"/>
  <c r="P298" i="42"/>
  <c r="P17" i="42"/>
  <c r="P28" i="42"/>
  <c r="P66" i="42"/>
  <c r="P140" i="42"/>
  <c r="P160" i="40"/>
  <c r="P333" i="42"/>
  <c r="P165" i="40"/>
  <c r="P64" i="42"/>
  <c r="P138" i="42"/>
  <c r="P161" i="42"/>
  <c r="P230" i="42"/>
  <c r="P469" i="42"/>
  <c r="P418" i="42"/>
  <c r="P564" i="42"/>
  <c r="P313" i="42"/>
  <c r="P205" i="40"/>
  <c r="P474" i="42"/>
  <c r="P2" i="40"/>
  <c r="P126" i="42"/>
  <c r="P383" i="42"/>
  <c r="P157" i="40"/>
  <c r="P12" i="42"/>
  <c r="P467" i="40"/>
  <c r="P50" i="42"/>
  <c r="P572" i="42"/>
  <c r="P207" i="42"/>
  <c r="P242" i="42"/>
  <c r="P479" i="42"/>
  <c r="P493" i="42"/>
  <c r="P94" i="42"/>
  <c r="P89" i="42"/>
  <c r="P416" i="42"/>
  <c r="P319" i="42"/>
  <c r="P37" i="42"/>
  <c r="P139" i="42"/>
  <c r="P259" i="42"/>
  <c r="P220" i="40"/>
  <c r="P365" i="42"/>
  <c r="P53" i="42"/>
  <c r="P246" i="42"/>
  <c r="P274" i="42"/>
  <c r="P31" i="42"/>
  <c r="P505" i="42"/>
  <c r="O325" i="40"/>
  <c r="P325" i="40" s="1"/>
  <c r="O247" i="40"/>
  <c r="P247" i="40" s="1"/>
  <c r="O238" i="40"/>
  <c r="P238" i="40" s="1"/>
  <c r="O203" i="40"/>
  <c r="P203" i="40" s="1"/>
  <c r="O180" i="40"/>
  <c r="P180" i="40" s="1"/>
  <c r="O163" i="40"/>
  <c r="P163" i="40" s="1"/>
  <c r="O142" i="40"/>
  <c r="P142" i="40" s="1"/>
  <c r="O123" i="40"/>
  <c r="P123" i="40" s="1"/>
  <c r="O96" i="40"/>
  <c r="P96" i="40" s="1"/>
  <c r="O62" i="40"/>
  <c r="P62" i="40" s="1"/>
  <c r="O35" i="40"/>
  <c r="P35" i="40" s="1"/>
  <c r="O16" i="40"/>
  <c r="P16" i="40" s="1"/>
  <c r="H26" i="39"/>
  <c r="P539" i="40"/>
  <c r="P127" i="42"/>
  <c r="P334" i="42"/>
  <c r="P256" i="42"/>
  <c r="P262" i="42"/>
  <c r="P405" i="40"/>
  <c r="P141" i="42"/>
  <c r="P316" i="42"/>
  <c r="P159" i="40"/>
  <c r="P156" i="42"/>
  <c r="P197" i="40"/>
  <c r="P413" i="40"/>
  <c r="P170" i="42"/>
  <c r="P343" i="42"/>
  <c r="P66" i="40"/>
  <c r="P253" i="42"/>
  <c r="P455" i="42"/>
  <c r="P30" i="40"/>
  <c r="P189" i="42"/>
  <c r="P178" i="42"/>
  <c r="P353" i="42"/>
  <c r="P233" i="42"/>
  <c r="P360" i="42"/>
  <c r="P338" i="42"/>
  <c r="P547" i="42"/>
  <c r="P533" i="42"/>
  <c r="P431" i="42"/>
  <c r="P496" i="42"/>
  <c r="P208" i="42"/>
  <c r="P492" i="40"/>
  <c r="P511" i="40"/>
  <c r="P286" i="42"/>
  <c r="P206" i="42"/>
  <c r="P248" i="42"/>
  <c r="P397" i="42"/>
  <c r="P379" i="42"/>
  <c r="P18" i="42"/>
  <c r="P370" i="42"/>
  <c r="P273" i="42"/>
  <c r="O150" i="40"/>
  <c r="P150" i="40" s="1"/>
  <c r="O15" i="40"/>
  <c r="P15" i="40" s="1"/>
  <c r="P398" i="42"/>
  <c r="P392" i="42"/>
  <c r="P432" i="42"/>
  <c r="P144" i="42"/>
  <c r="P437" i="42"/>
  <c r="P216" i="42"/>
  <c r="P476" i="42"/>
  <c r="P125" i="42"/>
  <c r="P210" i="42"/>
  <c r="P313" i="40"/>
  <c r="P464" i="42"/>
  <c r="P531" i="42"/>
  <c r="P492" i="42"/>
  <c r="P120" i="42"/>
  <c r="P136" i="42"/>
  <c r="P288" i="40"/>
  <c r="P450" i="42"/>
  <c r="P70" i="42"/>
  <c r="P463" i="42"/>
  <c r="P293" i="42"/>
  <c r="P535" i="42"/>
  <c r="P260" i="42"/>
  <c r="P486" i="42"/>
  <c r="P39" i="42"/>
  <c r="P326" i="42"/>
  <c r="P433" i="40"/>
  <c r="P133" i="42"/>
  <c r="P22" i="42"/>
  <c r="P305" i="42"/>
  <c r="O104" i="40"/>
  <c r="P104" i="40" s="1"/>
  <c r="D4" i="35"/>
  <c r="C4" i="35"/>
  <c r="P182" i="40"/>
  <c r="P477" i="40"/>
  <c r="P131" i="40"/>
  <c r="P80" i="42"/>
  <c r="P280" i="42"/>
  <c r="P409" i="42"/>
  <c r="P581" i="40"/>
  <c r="P495" i="42"/>
  <c r="P209" i="42"/>
  <c r="P259" i="40"/>
  <c r="P72" i="42"/>
  <c r="P375" i="42"/>
  <c r="P294" i="42"/>
  <c r="H9" i="42"/>
  <c r="I9" i="42" s="1"/>
  <c r="P463" i="40"/>
  <c r="P516" i="42"/>
  <c r="P326" i="40"/>
  <c r="P555" i="42"/>
  <c r="P438" i="42"/>
  <c r="P503" i="42"/>
  <c r="P219" i="42"/>
  <c r="P465" i="42"/>
  <c r="P104" i="42"/>
  <c r="P21" i="42"/>
  <c r="P146" i="42"/>
  <c r="P181" i="40"/>
  <c r="O331" i="42"/>
  <c r="P331" i="42" s="1"/>
  <c r="O243" i="40"/>
  <c r="P243" i="40" s="1"/>
  <c r="O198" i="40"/>
  <c r="P198" i="40" s="1"/>
  <c r="O169" i="40"/>
  <c r="P169" i="40" s="1"/>
  <c r="O139" i="40"/>
  <c r="P139" i="40" s="1"/>
  <c r="O102" i="40"/>
  <c r="P102" i="40" s="1"/>
  <c r="O72" i="40"/>
  <c r="P72" i="40" s="1"/>
  <c r="O40" i="40"/>
  <c r="P40" i="40" s="1"/>
  <c r="O12" i="40"/>
  <c r="P12" i="40" s="1"/>
  <c r="P159" i="42"/>
  <c r="P241" i="42"/>
  <c r="P187" i="42"/>
  <c r="P396" i="40"/>
  <c r="P565" i="42"/>
  <c r="P575" i="42"/>
  <c r="P186" i="42"/>
  <c r="P550" i="42"/>
  <c r="P418" i="40"/>
  <c r="P201" i="42"/>
  <c r="P480" i="40"/>
  <c r="P310" i="40"/>
  <c r="P357" i="42"/>
  <c r="P217" i="42"/>
  <c r="P174" i="42"/>
  <c r="P92" i="42"/>
  <c r="P267" i="42"/>
  <c r="P553" i="40"/>
  <c r="P171" i="42"/>
  <c r="P291" i="42"/>
  <c r="P369" i="42"/>
  <c r="P67" i="42"/>
  <c r="P46" i="42"/>
  <c r="P172" i="42"/>
  <c r="P222" i="42"/>
  <c r="P562" i="42"/>
  <c r="P459" i="40"/>
  <c r="P147" i="42"/>
  <c r="P226" i="42"/>
  <c r="P109" i="42"/>
  <c r="P62" i="42"/>
  <c r="P329" i="42"/>
  <c r="P347" i="42"/>
  <c r="P363" i="42"/>
  <c r="P269" i="42"/>
  <c r="P250" i="40"/>
  <c r="P238" i="42"/>
  <c r="P401" i="42"/>
  <c r="N581" i="42"/>
  <c r="O581" i="42" s="1"/>
  <c r="P581" i="42" s="1"/>
  <c r="O570" i="40"/>
  <c r="P570" i="40" s="1"/>
  <c r="O561" i="40"/>
  <c r="P561" i="40" s="1"/>
  <c r="O554" i="42"/>
  <c r="P554" i="42" s="1"/>
  <c r="O543" i="40"/>
  <c r="P543" i="40" s="1"/>
  <c r="O533" i="40"/>
  <c r="P533" i="40" s="1"/>
  <c r="O524" i="40"/>
  <c r="P524" i="40" s="1"/>
  <c r="O517" i="40"/>
  <c r="P517" i="40" s="1"/>
  <c r="O507" i="42"/>
  <c r="P507" i="42" s="1"/>
  <c r="O498" i="40"/>
  <c r="P498" i="40" s="1"/>
  <c r="O489" i="42"/>
  <c r="P489" i="42" s="1"/>
  <c r="O478" i="40"/>
  <c r="P478" i="40" s="1"/>
  <c r="O466" i="40"/>
  <c r="P466" i="40" s="1"/>
  <c r="O455" i="40"/>
  <c r="P455" i="40" s="1"/>
  <c r="O442" i="40"/>
  <c r="P442" i="40" s="1"/>
  <c r="O435" i="40"/>
  <c r="P435" i="40" s="1"/>
  <c r="O422" i="40"/>
  <c r="P422" i="40" s="1"/>
  <c r="O411" i="40"/>
  <c r="P411" i="40" s="1"/>
  <c r="O399" i="40"/>
  <c r="P399" i="40" s="1"/>
  <c r="O387" i="40"/>
  <c r="P387" i="40" s="1"/>
  <c r="O375" i="40"/>
  <c r="P375" i="40" s="1"/>
  <c r="O367" i="40"/>
  <c r="P367" i="40" s="1"/>
  <c r="O358" i="40"/>
  <c r="P358" i="40" s="1"/>
  <c r="O350" i="40"/>
  <c r="P350" i="40" s="1"/>
  <c r="O342" i="40"/>
  <c r="P342" i="40" s="1"/>
  <c r="O334" i="40"/>
  <c r="P334" i="40" s="1"/>
  <c r="O327" i="40"/>
  <c r="P327" i="40" s="1"/>
  <c r="O318" i="40"/>
  <c r="P318" i="40" s="1"/>
  <c r="O306" i="40"/>
  <c r="P306" i="40" s="1"/>
  <c r="O294" i="40"/>
  <c r="P294" i="40" s="1"/>
  <c r="O283" i="40"/>
  <c r="P283" i="40" s="1"/>
  <c r="O275" i="40"/>
  <c r="P275" i="40" s="1"/>
  <c r="O267" i="40"/>
  <c r="P267" i="40" s="1"/>
  <c r="O258" i="40"/>
  <c r="P258" i="40" s="1"/>
  <c r="O248" i="40"/>
  <c r="P248" i="40" s="1"/>
  <c r="O239" i="40"/>
  <c r="P239" i="40" s="1"/>
  <c r="O227" i="40"/>
  <c r="P227" i="40" s="1"/>
  <c r="O217" i="40"/>
  <c r="P217" i="40" s="1"/>
  <c r="O206" i="40"/>
  <c r="P206" i="40" s="1"/>
  <c r="O191" i="40"/>
  <c r="P191" i="40" s="1"/>
  <c r="O183" i="40"/>
  <c r="P183" i="40" s="1"/>
  <c r="O173" i="40"/>
  <c r="P173" i="40" s="1"/>
  <c r="O166" i="40"/>
  <c r="P166" i="40" s="1"/>
  <c r="O153" i="40"/>
  <c r="P153" i="40" s="1"/>
  <c r="O143" i="40"/>
  <c r="P143" i="40" s="1"/>
  <c r="O134" i="40"/>
  <c r="P134" i="40" s="1"/>
  <c r="O124" i="40"/>
  <c r="P124" i="40" s="1"/>
  <c r="O116" i="40"/>
  <c r="P116" i="40" s="1"/>
  <c r="O107" i="40"/>
  <c r="P107" i="40" s="1"/>
  <c r="O98" i="40"/>
  <c r="P98" i="40" s="1"/>
  <c r="O85" i="40"/>
  <c r="P85" i="40" s="1"/>
  <c r="O77" i="40"/>
  <c r="P77" i="40" s="1"/>
  <c r="O64" i="40"/>
  <c r="P64" i="40" s="1"/>
  <c r="O55" i="40"/>
  <c r="P55" i="40" s="1"/>
  <c r="O45" i="40"/>
  <c r="P45" i="40" s="1"/>
  <c r="O36" i="40"/>
  <c r="P36" i="40" s="1"/>
  <c r="O25" i="40"/>
  <c r="P25" i="40" s="1"/>
  <c r="O17" i="40"/>
  <c r="P17" i="40" s="1"/>
  <c r="O8" i="40"/>
  <c r="P8" i="40" s="1"/>
  <c r="H3" i="42"/>
  <c r="I3" i="42" s="1"/>
  <c r="P460" i="42"/>
  <c r="P105" i="42"/>
  <c r="P250" i="42"/>
  <c r="P203" i="42"/>
  <c r="P34" i="40"/>
  <c r="P78" i="42"/>
  <c r="P330" i="42"/>
  <c r="P204" i="42"/>
  <c r="P232" i="40"/>
  <c r="P373" i="42"/>
  <c r="P293" i="40"/>
  <c r="P349" i="40"/>
  <c r="P448" i="42"/>
  <c r="P34" i="42"/>
  <c r="P83" i="42"/>
  <c r="P388" i="42"/>
  <c r="P38" i="42"/>
  <c r="P114" i="42"/>
  <c r="P532" i="40"/>
  <c r="P240" i="42"/>
  <c r="P400" i="40"/>
  <c r="P234" i="40"/>
  <c r="P417" i="40"/>
  <c r="P11" i="42"/>
  <c r="P400" i="42"/>
  <c r="P360" i="40"/>
  <c r="P380" i="42"/>
  <c r="P580" i="42"/>
  <c r="O305" i="40"/>
  <c r="P305" i="40" s="1"/>
  <c r="O115" i="40"/>
  <c r="P115" i="40" s="1"/>
  <c r="O44" i="40"/>
  <c r="P44" i="40" s="1"/>
  <c r="H5" i="42"/>
  <c r="I5" i="42" s="1"/>
  <c r="P176" i="42"/>
  <c r="P308" i="40"/>
  <c r="P359" i="42"/>
  <c r="P345" i="42"/>
  <c r="P20" i="42"/>
  <c r="P327" i="42"/>
  <c r="P403" i="42"/>
  <c r="P202" i="40"/>
  <c r="P63" i="42"/>
  <c r="P574" i="42"/>
  <c r="P290" i="42"/>
  <c r="P461" i="42"/>
  <c r="P211" i="42"/>
  <c r="P458" i="42"/>
  <c r="P97" i="42"/>
  <c r="O132" i="40"/>
  <c r="P132" i="40" s="1"/>
  <c r="H8" i="42"/>
  <c r="I8" i="42" s="1"/>
  <c r="P59" i="42"/>
  <c r="P392" i="40"/>
  <c r="P445" i="40"/>
  <c r="P527" i="40"/>
  <c r="P374" i="40"/>
  <c r="P377" i="42"/>
  <c r="P453" i="40"/>
  <c r="P53" i="40"/>
  <c r="P166" i="42"/>
  <c r="P254" i="42"/>
  <c r="P412" i="42"/>
  <c r="P529" i="40"/>
  <c r="P137" i="42"/>
  <c r="P420" i="42"/>
  <c r="P540" i="42"/>
  <c r="P366" i="42"/>
  <c r="P8" i="42"/>
  <c r="P15" i="42"/>
  <c r="P497" i="42"/>
  <c r="P169" i="42"/>
  <c r="P430" i="42"/>
  <c r="P376" i="40"/>
  <c r="P482" i="42"/>
  <c r="P200" i="42"/>
  <c r="P552" i="42"/>
  <c r="O82" i="40"/>
  <c r="P82" i="40" s="1"/>
  <c r="O13" i="40"/>
  <c r="P13" i="40" s="1"/>
  <c r="P178" i="40"/>
  <c r="P154" i="42"/>
  <c r="P372" i="42"/>
  <c r="P434" i="40"/>
  <c r="P508" i="40"/>
  <c r="P224" i="42"/>
  <c r="P42" i="40"/>
  <c r="P409" i="40"/>
  <c r="P546" i="42"/>
  <c r="P352" i="42"/>
  <c r="P348" i="40"/>
  <c r="P332" i="42"/>
  <c r="P246" i="40"/>
  <c r="P54" i="42"/>
  <c r="P325" i="42"/>
  <c r="P300" i="42"/>
  <c r="P356" i="42"/>
  <c r="P537" i="42"/>
  <c r="P122" i="42"/>
  <c r="P308" i="42"/>
  <c r="P496" i="40"/>
  <c r="P371" i="42"/>
  <c r="P348" i="42"/>
  <c r="P101" i="42"/>
  <c r="P337" i="42"/>
  <c r="O337" i="40"/>
  <c r="P337" i="40" s="1"/>
  <c r="O233" i="40"/>
  <c r="P233" i="40" s="1"/>
  <c r="O187" i="40"/>
  <c r="P187" i="40" s="1"/>
  <c r="O161" i="40"/>
  <c r="P161" i="40" s="1"/>
  <c r="O128" i="40"/>
  <c r="P128" i="40" s="1"/>
  <c r="O91" i="40"/>
  <c r="P91" i="40" s="1"/>
  <c r="O59" i="40"/>
  <c r="P59" i="40" s="1"/>
  <c r="O29" i="40"/>
  <c r="P29" i="40" s="1"/>
  <c r="H20" i="39"/>
  <c r="P73" i="42"/>
  <c r="P292" i="42"/>
  <c r="P511" i="42"/>
  <c r="P569" i="40"/>
  <c r="P494" i="42"/>
  <c r="P288" i="42"/>
  <c r="P449" i="40"/>
  <c r="P153" i="42"/>
  <c r="P306" i="42"/>
  <c r="P471" i="42"/>
  <c r="P390" i="42"/>
  <c r="P48" i="42"/>
  <c r="P212" i="40"/>
  <c r="P468" i="42"/>
  <c r="P427" i="42"/>
  <c r="P297" i="42"/>
  <c r="P228" i="42"/>
  <c r="P23" i="42"/>
  <c r="P501" i="42"/>
  <c r="P61" i="42"/>
  <c r="P3" i="42"/>
  <c r="P257" i="40"/>
  <c r="P430" i="40"/>
  <c r="P115" i="42"/>
  <c r="P204" i="40"/>
  <c r="P502" i="42"/>
  <c r="P225" i="42"/>
  <c r="P560" i="40"/>
  <c r="P499" i="42"/>
  <c r="P123" i="42"/>
  <c r="P339" i="42"/>
  <c r="P523" i="42"/>
  <c r="P152" i="40"/>
  <c r="P234" i="42"/>
  <c r="P111" i="42"/>
  <c r="P483" i="42"/>
  <c r="P397" i="40"/>
  <c r="O579" i="40"/>
  <c r="P579" i="40" s="1"/>
  <c r="O570" i="42"/>
  <c r="P570" i="42" s="1"/>
  <c r="O560" i="42"/>
  <c r="P560" i="42" s="1"/>
  <c r="O553" i="42"/>
  <c r="P553" i="42" s="1"/>
  <c r="O542" i="40"/>
  <c r="P542" i="40" s="1"/>
  <c r="O531" i="40"/>
  <c r="P531" i="40" s="1"/>
  <c r="O523" i="40"/>
  <c r="P523" i="40" s="1"/>
  <c r="O516" i="40"/>
  <c r="P516" i="40" s="1"/>
  <c r="O506" i="40"/>
  <c r="P506" i="40" s="1"/>
  <c r="O498" i="42"/>
  <c r="P498" i="42" s="1"/>
  <c r="O487" i="42"/>
  <c r="P487" i="42" s="1"/>
  <c r="O476" i="40"/>
  <c r="P476" i="40" s="1"/>
  <c r="O464" i="40"/>
  <c r="P464" i="40" s="1"/>
  <c r="O452" i="40"/>
  <c r="P452" i="40" s="1"/>
  <c r="O441" i="40"/>
  <c r="P441" i="40" s="1"/>
  <c r="O435" i="42"/>
  <c r="P435" i="42" s="1"/>
  <c r="O421" i="40"/>
  <c r="P421" i="40" s="1"/>
  <c r="O410" i="40"/>
  <c r="P410" i="40" s="1"/>
  <c r="O398" i="40"/>
  <c r="P398" i="40" s="1"/>
  <c r="O386" i="40"/>
  <c r="P386" i="40" s="1"/>
  <c r="O373" i="40"/>
  <c r="P373" i="40" s="1"/>
  <c r="O366" i="40"/>
  <c r="P366" i="40" s="1"/>
  <c r="O356" i="40"/>
  <c r="P356" i="40" s="1"/>
  <c r="O350" i="42"/>
  <c r="P350" i="42" s="1"/>
  <c r="O340" i="40"/>
  <c r="P340" i="40" s="1"/>
  <c r="O333" i="40"/>
  <c r="P333" i="40" s="1"/>
  <c r="O291" i="40"/>
  <c r="P291" i="40" s="1"/>
  <c r="O282" i="40"/>
  <c r="P282" i="40" s="1"/>
  <c r="O274" i="40"/>
  <c r="P274" i="40" s="1"/>
  <c r="O266" i="40"/>
  <c r="P266" i="40" s="1"/>
  <c r="O215" i="40"/>
  <c r="P215" i="40" s="1"/>
  <c r="O76" i="40"/>
  <c r="P76" i="40" s="1"/>
  <c r="P197" i="42"/>
  <c r="P571" i="42"/>
  <c r="O60" i="40"/>
  <c r="P60" i="40" s="1"/>
  <c r="P45" i="42"/>
  <c r="P265" i="42"/>
  <c r="O287" i="40"/>
  <c r="P287" i="40" s="1"/>
  <c r="P35" i="42"/>
  <c r="P303" i="42"/>
  <c r="P512" i="42"/>
  <c r="P25" i="42"/>
  <c r="P228" i="40"/>
  <c r="P490" i="42"/>
  <c r="P524" i="42"/>
  <c r="O578" i="40"/>
  <c r="P578" i="40" s="1"/>
  <c r="O567" i="40"/>
  <c r="P567" i="40" s="1"/>
  <c r="O559" i="40"/>
  <c r="P559" i="40" s="1"/>
  <c r="O552" i="40"/>
  <c r="P552" i="40" s="1"/>
  <c r="O540" i="40"/>
  <c r="P540" i="40" s="1"/>
  <c r="O530" i="40"/>
  <c r="P530" i="40" s="1"/>
  <c r="O522" i="40"/>
  <c r="P522" i="40" s="1"/>
  <c r="O515" i="40"/>
  <c r="P515" i="40" s="1"/>
  <c r="O505" i="40"/>
  <c r="P505" i="40" s="1"/>
  <c r="O497" i="40"/>
  <c r="P497" i="40" s="1"/>
  <c r="O486" i="40"/>
  <c r="P486" i="40" s="1"/>
  <c r="O475" i="40"/>
  <c r="P475" i="40" s="1"/>
  <c r="O462" i="40"/>
  <c r="P462" i="40" s="1"/>
  <c r="O451" i="40"/>
  <c r="P451" i="40" s="1"/>
  <c r="O440" i="40"/>
  <c r="P440" i="40" s="1"/>
  <c r="O432" i="40"/>
  <c r="P432" i="40" s="1"/>
  <c r="O420" i="40"/>
  <c r="P420" i="40" s="1"/>
  <c r="O408" i="40"/>
  <c r="P408" i="40" s="1"/>
  <c r="O395" i="40"/>
  <c r="P395" i="40" s="1"/>
  <c r="O385" i="40"/>
  <c r="P385" i="40" s="1"/>
  <c r="O372" i="40"/>
  <c r="P372" i="40" s="1"/>
  <c r="O365" i="40"/>
  <c r="P365" i="40" s="1"/>
  <c r="O355" i="40"/>
  <c r="P355" i="40" s="1"/>
  <c r="O347" i="40"/>
  <c r="P347" i="40" s="1"/>
  <c r="O339" i="40"/>
  <c r="P339" i="40" s="1"/>
  <c r="O332" i="40"/>
  <c r="P332" i="40" s="1"/>
  <c r="O323" i="40"/>
  <c r="P323" i="40" s="1"/>
  <c r="O314" i="40"/>
  <c r="P314" i="40" s="1"/>
  <c r="O303" i="40"/>
  <c r="P303" i="40" s="1"/>
  <c r="O290" i="40"/>
  <c r="P290" i="40" s="1"/>
  <c r="O281" i="40"/>
  <c r="P281" i="40" s="1"/>
  <c r="O273" i="40"/>
  <c r="P273" i="40" s="1"/>
  <c r="O265" i="40"/>
  <c r="P265" i="40" s="1"/>
  <c r="O254" i="40"/>
  <c r="P254" i="40" s="1"/>
  <c r="O245" i="40"/>
  <c r="P245" i="40" s="1"/>
  <c r="O236" i="40"/>
  <c r="P236" i="40" s="1"/>
  <c r="O226" i="40"/>
  <c r="P226" i="40" s="1"/>
  <c r="O214" i="40"/>
  <c r="P214" i="40" s="1"/>
  <c r="O201" i="40"/>
  <c r="P201" i="40" s="1"/>
  <c r="O189" i="40"/>
  <c r="P189" i="40" s="1"/>
  <c r="O179" i="40"/>
  <c r="P179" i="40" s="1"/>
  <c r="O171" i="40"/>
  <c r="P171" i="40" s="1"/>
  <c r="O162" i="40"/>
  <c r="P162" i="40" s="1"/>
  <c r="O122" i="40"/>
  <c r="P122" i="40" s="1"/>
  <c r="O114" i="40"/>
  <c r="P114" i="40" s="1"/>
  <c r="O105" i="40"/>
  <c r="P105" i="40" s="1"/>
  <c r="O93" i="40"/>
  <c r="P93" i="40" s="1"/>
  <c r="O83" i="40"/>
  <c r="P83" i="40" s="1"/>
  <c r="O74" i="40"/>
  <c r="P74" i="40" s="1"/>
  <c r="O61" i="40"/>
  <c r="P61" i="40" s="1"/>
  <c r="O51" i="40"/>
  <c r="P51" i="40" s="1"/>
  <c r="O43" i="40"/>
  <c r="P43" i="40" s="1"/>
  <c r="O23" i="40"/>
  <c r="P23" i="40" s="1"/>
  <c r="N3" i="40"/>
  <c r="O3" i="40" s="1"/>
  <c r="P390" i="40"/>
  <c r="P81" i="42"/>
  <c r="P385" i="42"/>
  <c r="P374" i="42"/>
  <c r="O50" i="40"/>
  <c r="P50" i="40" s="1"/>
  <c r="P214" i="42"/>
  <c r="O301" i="40"/>
  <c r="P301" i="40" s="1"/>
  <c r="P264" i="42"/>
  <c r="P441" i="42"/>
  <c r="P113" i="42"/>
  <c r="P491" i="40"/>
  <c r="P481" i="42"/>
  <c r="P292" i="40"/>
  <c r="P541" i="42"/>
  <c r="O577" i="40"/>
  <c r="P577" i="40" s="1"/>
  <c r="O566" i="40"/>
  <c r="P566" i="40" s="1"/>
  <c r="O558" i="40"/>
  <c r="P558" i="40" s="1"/>
  <c r="O550" i="40"/>
  <c r="P550" i="40" s="1"/>
  <c r="O538" i="40"/>
  <c r="P538" i="40" s="1"/>
  <c r="O529" i="42"/>
  <c r="P529" i="42" s="1"/>
  <c r="O521" i="42"/>
  <c r="P521" i="42" s="1"/>
  <c r="O514" i="40"/>
  <c r="P514" i="40" s="1"/>
  <c r="O504" i="40"/>
  <c r="P504" i="40" s="1"/>
  <c r="O495" i="40"/>
  <c r="P495" i="40" s="1"/>
  <c r="O484" i="40"/>
  <c r="P484" i="40" s="1"/>
  <c r="O474" i="40"/>
  <c r="P474" i="40" s="1"/>
  <c r="O460" i="40"/>
  <c r="P460" i="40" s="1"/>
  <c r="O448" i="40"/>
  <c r="P448" i="40" s="1"/>
  <c r="O440" i="42"/>
  <c r="P440" i="42" s="1"/>
  <c r="O431" i="40"/>
  <c r="P431" i="40" s="1"/>
  <c r="O416" i="40"/>
  <c r="P416" i="40" s="1"/>
  <c r="O407" i="42"/>
  <c r="P407" i="42" s="1"/>
  <c r="O395" i="42"/>
  <c r="P395" i="42" s="1"/>
  <c r="O384" i="40"/>
  <c r="P384" i="40" s="1"/>
  <c r="O371" i="40"/>
  <c r="P371" i="40" s="1"/>
  <c r="O364" i="40"/>
  <c r="P364" i="40" s="1"/>
  <c r="O355" i="42"/>
  <c r="P355" i="42" s="1"/>
  <c r="O346" i="40"/>
  <c r="P346" i="40" s="1"/>
  <c r="O338" i="40"/>
  <c r="P338" i="40" s="1"/>
  <c r="O331" i="40"/>
  <c r="P331" i="40" s="1"/>
  <c r="O323" i="42"/>
  <c r="P323" i="42" s="1"/>
  <c r="O312" i="40"/>
  <c r="P312" i="40" s="1"/>
  <c r="O302" i="40"/>
  <c r="P302" i="40" s="1"/>
  <c r="O289" i="40"/>
  <c r="P289" i="40" s="1"/>
  <c r="O280" i="40"/>
  <c r="P280" i="40" s="1"/>
  <c r="O272" i="40"/>
  <c r="P272" i="40" s="1"/>
  <c r="O264" i="40"/>
  <c r="P264" i="40" s="1"/>
  <c r="O253" i="40"/>
  <c r="P253" i="40" s="1"/>
  <c r="O244" i="40"/>
  <c r="P244" i="40" s="1"/>
  <c r="O235" i="40"/>
  <c r="P235" i="40" s="1"/>
  <c r="O224" i="40"/>
  <c r="P224" i="40" s="1"/>
  <c r="O213" i="40"/>
  <c r="P213" i="40" s="1"/>
  <c r="O199" i="40"/>
  <c r="P199" i="40" s="1"/>
  <c r="O188" i="40"/>
  <c r="P188" i="40" s="1"/>
  <c r="O177" i="40"/>
  <c r="P177" i="40" s="1"/>
  <c r="O170" i="40"/>
  <c r="P170" i="40" s="1"/>
  <c r="O162" i="42"/>
  <c r="P162" i="42" s="1"/>
  <c r="O149" i="40"/>
  <c r="P149" i="40" s="1"/>
  <c r="O140" i="40"/>
  <c r="P140" i="40" s="1"/>
  <c r="O130" i="40"/>
  <c r="P130" i="40" s="1"/>
  <c r="O121" i="40"/>
  <c r="P121" i="40" s="1"/>
  <c r="O92" i="40"/>
  <c r="P92" i="40" s="1"/>
  <c r="O73" i="40"/>
  <c r="P73" i="40" s="1"/>
  <c r="O41" i="40"/>
  <c r="P41" i="40" s="1"/>
  <c r="O31" i="40"/>
  <c r="P31" i="40" s="1"/>
  <c r="O22" i="40"/>
  <c r="P22" i="40" s="1"/>
  <c r="P532" i="42"/>
  <c r="P223" i="42"/>
  <c r="O279" i="40"/>
  <c r="P279" i="40" s="1"/>
  <c r="P559" i="42"/>
  <c r="P155" i="42"/>
  <c r="P568" i="42"/>
  <c r="P86" i="42"/>
  <c r="P544" i="42"/>
  <c r="P205" i="42"/>
  <c r="P477" i="42"/>
  <c r="P426" i="42"/>
  <c r="P88" i="42"/>
  <c r="P255" i="42"/>
  <c r="O576" i="42"/>
  <c r="P576" i="42" s="1"/>
  <c r="O565" i="40"/>
  <c r="P565" i="40" s="1"/>
  <c r="O558" i="42"/>
  <c r="P558" i="42" s="1"/>
  <c r="O548" i="40"/>
  <c r="P548" i="40" s="1"/>
  <c r="O537" i="40"/>
  <c r="P537" i="40" s="1"/>
  <c r="O528" i="40"/>
  <c r="P528" i="40" s="1"/>
  <c r="O520" i="40"/>
  <c r="P520" i="40" s="1"/>
  <c r="O513" i="40"/>
  <c r="P513" i="40" s="1"/>
  <c r="O503" i="40"/>
  <c r="P503" i="40" s="1"/>
  <c r="O494" i="40"/>
  <c r="P494" i="40" s="1"/>
  <c r="O483" i="40"/>
  <c r="P483" i="40" s="1"/>
  <c r="O472" i="40"/>
  <c r="P472" i="40" s="1"/>
  <c r="O459" i="42"/>
  <c r="P459" i="42" s="1"/>
  <c r="O447" i="40"/>
  <c r="P447" i="40" s="1"/>
  <c r="O439" i="40"/>
  <c r="P439" i="40" s="1"/>
  <c r="O428" i="40"/>
  <c r="P428" i="40" s="1"/>
  <c r="O415" i="40"/>
  <c r="P415" i="40" s="1"/>
  <c r="O406" i="40"/>
  <c r="P406" i="40" s="1"/>
  <c r="O394" i="40"/>
  <c r="P394" i="40" s="1"/>
  <c r="O383" i="40"/>
  <c r="P383" i="40" s="1"/>
  <c r="O370" i="40"/>
  <c r="P370" i="40" s="1"/>
  <c r="O363" i="40"/>
  <c r="P363" i="40" s="1"/>
  <c r="O354" i="40"/>
  <c r="P354" i="40" s="1"/>
  <c r="O322" i="40"/>
  <c r="P322" i="40" s="1"/>
  <c r="O311" i="40"/>
  <c r="P311" i="40" s="1"/>
  <c r="O271" i="40"/>
  <c r="P271" i="40" s="1"/>
  <c r="O263" i="40"/>
  <c r="P263" i="40" s="1"/>
  <c r="O252" i="40"/>
  <c r="P252" i="40" s="1"/>
  <c r="O211" i="40"/>
  <c r="P211" i="40" s="1"/>
  <c r="O112" i="40"/>
  <c r="P112" i="40" s="1"/>
  <c r="H7" i="42"/>
  <c r="I7" i="42" s="1"/>
  <c r="P547" i="40"/>
  <c r="P76" i="42"/>
  <c r="P229" i="42"/>
  <c r="P24" i="42"/>
  <c r="P485" i="40"/>
  <c r="P541" i="40"/>
  <c r="P75" i="40"/>
  <c r="O575" i="40"/>
  <c r="P575" i="40" s="1"/>
  <c r="O564" i="40"/>
  <c r="P564" i="40" s="1"/>
  <c r="O556" i="40"/>
  <c r="P556" i="40" s="1"/>
  <c r="O546" i="40"/>
  <c r="P546" i="40" s="1"/>
  <c r="O536" i="40"/>
  <c r="P536" i="40" s="1"/>
  <c r="O527" i="42"/>
  <c r="P527" i="42" s="1"/>
  <c r="O519" i="40"/>
  <c r="P519" i="40" s="1"/>
  <c r="O510" i="40"/>
  <c r="P510" i="40" s="1"/>
  <c r="O502" i="40"/>
  <c r="P502" i="40" s="1"/>
  <c r="O493" i="40"/>
  <c r="P493" i="40" s="1"/>
  <c r="O482" i="40"/>
  <c r="P482" i="40" s="1"/>
  <c r="O472" i="42"/>
  <c r="P472" i="42" s="1"/>
  <c r="O458" i="40"/>
  <c r="P458" i="40" s="1"/>
  <c r="O446" i="40"/>
  <c r="P446" i="40" s="1"/>
  <c r="O439" i="42"/>
  <c r="P439" i="42" s="1"/>
  <c r="O426" i="40"/>
  <c r="P426" i="40" s="1"/>
  <c r="O415" i="42"/>
  <c r="P415" i="42" s="1"/>
  <c r="O404" i="40"/>
  <c r="P404" i="40" s="1"/>
  <c r="O393" i="40"/>
  <c r="P393" i="40" s="1"/>
  <c r="O380" i="40"/>
  <c r="P380" i="40" s="1"/>
  <c r="O369" i="40"/>
  <c r="P369" i="40" s="1"/>
  <c r="O362" i="40"/>
  <c r="P362" i="40" s="1"/>
  <c r="O353" i="40"/>
  <c r="P353" i="40" s="1"/>
  <c r="O345" i="40"/>
  <c r="P345" i="40" s="1"/>
  <c r="O336" i="40"/>
  <c r="P336" i="40" s="1"/>
  <c r="O330" i="40"/>
  <c r="P330" i="40" s="1"/>
  <c r="O321" i="40"/>
  <c r="P321" i="40" s="1"/>
  <c r="O311" i="42"/>
  <c r="P311" i="42" s="1"/>
  <c r="O299" i="40"/>
  <c r="P299" i="40" s="1"/>
  <c r="O286" i="40"/>
  <c r="P286" i="40" s="1"/>
  <c r="O278" i="40"/>
  <c r="P278" i="40" s="1"/>
  <c r="O270" i="40"/>
  <c r="P270" i="40" s="1"/>
  <c r="O263" i="42"/>
  <c r="P263" i="42" s="1"/>
  <c r="O251" i="40"/>
  <c r="P251" i="40" s="1"/>
  <c r="O243" i="42"/>
  <c r="P243" i="42" s="1"/>
  <c r="O231" i="42"/>
  <c r="P231" i="42" s="1"/>
  <c r="O222" i="40"/>
  <c r="P222" i="40" s="1"/>
  <c r="O210" i="40"/>
  <c r="P210" i="40" s="1"/>
  <c r="O195" i="40"/>
  <c r="P195" i="40" s="1"/>
  <c r="O186" i="40"/>
  <c r="P186" i="40" s="1"/>
  <c r="O176" i="40"/>
  <c r="P176" i="40" s="1"/>
  <c r="O168" i="40"/>
  <c r="P168" i="40" s="1"/>
  <c r="O158" i="40"/>
  <c r="P158" i="40" s="1"/>
  <c r="O147" i="40"/>
  <c r="P147" i="40" s="1"/>
  <c r="O138" i="40"/>
  <c r="P138" i="40" s="1"/>
  <c r="O127" i="40"/>
  <c r="P127" i="40" s="1"/>
  <c r="O120" i="40"/>
  <c r="P120" i="40" s="1"/>
  <c r="O111" i="40"/>
  <c r="P111" i="40" s="1"/>
  <c r="O101" i="40"/>
  <c r="P101" i="40" s="1"/>
  <c r="O90" i="40"/>
  <c r="P90" i="40" s="1"/>
  <c r="O80" i="40"/>
  <c r="P80" i="40" s="1"/>
  <c r="O70" i="40"/>
  <c r="P70" i="40" s="1"/>
  <c r="O58" i="40"/>
  <c r="P58" i="40" s="1"/>
  <c r="O48" i="40"/>
  <c r="P48" i="40" s="1"/>
  <c r="O39" i="40"/>
  <c r="P39" i="40" s="1"/>
  <c r="O28" i="40"/>
  <c r="P28" i="40" s="1"/>
  <c r="O20" i="40"/>
  <c r="P20" i="40" s="1"/>
  <c r="O11" i="40"/>
  <c r="P11" i="40" s="1"/>
  <c r="O5" i="40"/>
  <c r="P5" i="40" s="1"/>
  <c r="C3" i="35"/>
  <c r="D40" i="29"/>
  <c r="D3" i="35"/>
  <c r="C44" i="29" s="1"/>
  <c r="P386" i="42"/>
  <c r="P320" i="42"/>
  <c r="P26" i="42"/>
  <c r="P68" i="40"/>
  <c r="P382" i="40"/>
  <c r="P296" i="42"/>
  <c r="P63" i="40"/>
  <c r="P579" i="42"/>
  <c r="P277" i="42"/>
  <c r="P549" i="42"/>
  <c r="P47" i="42"/>
  <c r="P480" i="42"/>
  <c r="P399" i="42"/>
  <c r="P423" i="40"/>
  <c r="P247" i="42"/>
  <c r="P447" i="42"/>
  <c r="P512" i="40"/>
  <c r="P425" i="40"/>
  <c r="P436" i="42"/>
  <c r="P29" i="42"/>
  <c r="P342" i="42"/>
  <c r="P5" i="42"/>
  <c r="P168" i="42"/>
  <c r="P6" i="42"/>
  <c r="P32" i="40"/>
  <c r="P298" i="40"/>
  <c r="D41" i="29"/>
  <c r="J36" i="29"/>
  <c r="C43" i="29"/>
  <c r="D34" i="29"/>
  <c r="D36" i="29"/>
  <c r="P3" i="40"/>
  <c r="H11" i="42"/>
  <c r="I11" i="42" s="1"/>
  <c r="J27" i="35"/>
  <c r="H27" i="35" s="1"/>
  <c r="G43" i="35"/>
  <c r="G30" i="35"/>
  <c r="G27" i="35"/>
  <c r="J19" i="35"/>
  <c r="H19" i="35" s="1"/>
  <c r="J18" i="35"/>
  <c r="H18" i="35" s="1"/>
  <c r="G16" i="35"/>
  <c r="G38" i="35"/>
  <c r="J35" i="35"/>
  <c r="H35" i="35" s="1"/>
  <c r="G6" i="35"/>
  <c r="G13" i="35"/>
  <c r="J52" i="35"/>
  <c r="H52" i="35" s="1"/>
  <c r="J12" i="35"/>
  <c r="H12" i="35" s="1"/>
  <c r="J32" i="35"/>
  <c r="H32" i="35" s="1"/>
  <c r="J11" i="35"/>
  <c r="H11" i="35" s="1"/>
  <c r="J24" i="35"/>
  <c r="H24" i="35" s="1"/>
  <c r="G50" i="35"/>
  <c r="J45" i="35"/>
  <c r="H45" i="35" s="1"/>
  <c r="J50" i="35"/>
  <c r="H50" i="35" s="1"/>
  <c r="G4" i="35"/>
  <c r="G46" i="35"/>
  <c r="G47" i="35"/>
  <c r="G12" i="35"/>
  <c r="G34" i="35"/>
  <c r="J39" i="35"/>
  <c r="H39" i="35" s="1"/>
  <c r="G29" i="35"/>
  <c r="J13" i="35"/>
  <c r="H13" i="35" s="1"/>
  <c r="J14" i="35"/>
  <c r="H14" i="35" s="1"/>
  <c r="J25" i="35"/>
  <c r="H25" i="35" s="1"/>
  <c r="G35" i="35"/>
  <c r="J36" i="35"/>
  <c r="H36" i="35" s="1"/>
  <c r="J31" i="35"/>
  <c r="H31" i="35" s="1"/>
  <c r="G9" i="35"/>
  <c r="G40" i="35"/>
  <c r="J47" i="35"/>
  <c r="H47" i="35" s="1"/>
  <c r="J42" i="35"/>
  <c r="H42" i="35" s="1"/>
  <c r="J10" i="35"/>
  <c r="H10" i="35" s="1"/>
  <c r="G49" i="35"/>
  <c r="G41" i="35"/>
  <c r="G55" i="35"/>
  <c r="G56" i="35"/>
  <c r="G39" i="35"/>
  <c r="J16" i="35"/>
  <c r="H16" i="35" s="1"/>
  <c r="G28" i="35"/>
  <c r="G21" i="35"/>
  <c r="J41" i="35"/>
  <c r="H41" i="35" s="1"/>
  <c r="J5" i="35"/>
  <c r="H5" i="35" s="1"/>
  <c r="J3" i="35"/>
  <c r="J46" i="35"/>
  <c r="H46" i="35" s="1"/>
  <c r="J15" i="35"/>
  <c r="H15" i="35" s="1"/>
  <c r="G54" i="35"/>
  <c r="J29" i="35"/>
  <c r="H29" i="35" s="1"/>
  <c r="J8" i="35"/>
  <c r="H8" i="35" s="1"/>
  <c r="G17" i="35"/>
  <c r="G5" i="35"/>
  <c r="G8" i="35"/>
  <c r="G36" i="35"/>
  <c r="J21" i="35"/>
  <c r="H21" i="35" s="1"/>
  <c r="J23" i="35"/>
  <c r="H23" i="35" s="1"/>
  <c r="J51" i="35"/>
  <c r="H51" i="35" s="1"/>
  <c r="G22" i="35"/>
  <c r="J26" i="35"/>
  <c r="H26" i="35" s="1"/>
  <c r="G3" i="35"/>
  <c r="G45" i="35"/>
  <c r="G23" i="35"/>
  <c r="J4" i="35"/>
  <c r="H4" i="35" s="1"/>
  <c r="G20" i="35"/>
  <c r="G32" i="35"/>
  <c r="J38" i="35"/>
  <c r="H38" i="35" s="1"/>
  <c r="G48" i="35"/>
  <c r="G52" i="35"/>
  <c r="G25" i="35"/>
  <c r="G15" i="35"/>
  <c r="J34" i="35"/>
  <c r="H34" i="35" s="1"/>
  <c r="G33" i="35"/>
  <c r="J6" i="35"/>
  <c r="H6" i="35" s="1"/>
  <c r="G14" i="35"/>
  <c r="J28" i="35"/>
  <c r="H28" i="35" s="1"/>
  <c r="G10" i="35"/>
  <c r="G18" i="35"/>
  <c r="J30" i="35"/>
  <c r="H30" i="35" s="1"/>
  <c r="G44" i="35"/>
  <c r="J53" i="35"/>
  <c r="H53" i="35" s="1"/>
  <c r="G42" i="35"/>
  <c r="G24" i="35"/>
  <c r="J55" i="35"/>
  <c r="H55" i="35" s="1"/>
  <c r="J33" i="35"/>
  <c r="H33" i="35" s="1"/>
  <c r="G19" i="35"/>
  <c r="J40" i="35"/>
  <c r="H40" i="35" s="1"/>
  <c r="J43" i="35"/>
  <c r="H43" i="35" s="1"/>
  <c r="G26" i="35"/>
  <c r="G37" i="35"/>
  <c r="G11" i="35"/>
  <c r="J37" i="35"/>
  <c r="H37" i="35" s="1"/>
  <c r="J54" i="35"/>
  <c r="H54" i="35" s="1"/>
  <c r="J2" i="35"/>
  <c r="H2" i="35" s="1"/>
  <c r="G51" i="35"/>
  <c r="G2" i="35"/>
  <c r="J17" i="35"/>
  <c r="H17" i="35" s="1"/>
  <c r="J48" i="35"/>
  <c r="H48" i="35" s="1"/>
  <c r="G31" i="35"/>
  <c r="J49" i="35"/>
  <c r="H49" i="35" s="1"/>
  <c r="J56" i="35"/>
  <c r="H56" i="35" s="1"/>
  <c r="J44" i="35"/>
  <c r="H44" i="35" s="1"/>
  <c r="G53" i="35"/>
  <c r="J20" i="35"/>
  <c r="H20" i="35" s="1"/>
  <c r="J9" i="35"/>
  <c r="H9" i="35" s="1"/>
  <c r="J22" i="35"/>
  <c r="H22" i="35" s="1"/>
  <c r="I39" i="29"/>
  <c r="H3" i="35"/>
  <c r="R13" i="45" a="1"/>
  <c r="Q13" i="45" a="1"/>
  <c r="J35" i="29"/>
  <c r="N28" i="45"/>
  <c r="J34" i="29"/>
  <c r="I38" i="29"/>
  <c r="U24" i="45"/>
  <c r="G8" i="42"/>
  <c r="J8" i="42"/>
  <c r="G9" i="42"/>
  <c r="J7" i="42"/>
  <c r="G10" i="42"/>
  <c r="J6" i="42"/>
  <c r="J3" i="42"/>
  <c r="G11" i="42"/>
  <c r="J5" i="42"/>
  <c r="J9" i="42"/>
  <c r="G5" i="42"/>
  <c r="J4" i="42"/>
  <c r="J11" i="42"/>
  <c r="G3" i="42"/>
  <c r="G4" i="42"/>
  <c r="G6" i="42"/>
  <c r="G7" i="42"/>
  <c r="J10" i="42"/>
  <c r="O25" i="45"/>
  <c r="R25" i="45" s="1"/>
  <c r="O26" i="45"/>
  <c r="R26" i="45" s="1"/>
  <c r="V24" i="45"/>
  <c r="W24" i="45"/>
  <c r="X24" i="45" l="1"/>
  <c r="T25" i="45"/>
  <c r="Q13" i="45"/>
  <c r="Q16" i="45"/>
  <c r="Q21" i="45"/>
  <c r="Q17" i="45"/>
  <c r="Q18" i="45"/>
  <c r="Q14" i="45"/>
  <c r="Q20" i="45"/>
  <c r="Q19" i="45"/>
  <c r="Q15" i="45"/>
  <c r="R21" i="45"/>
  <c r="R17" i="45"/>
  <c r="R20" i="45"/>
  <c r="R14" i="45"/>
  <c r="R18" i="45"/>
  <c r="R19" i="45"/>
  <c r="R15" i="45"/>
  <c r="R13" i="45"/>
  <c r="R16" i="45"/>
  <c r="K7" i="42"/>
  <c r="K6" i="42"/>
  <c r="K4" i="42"/>
  <c r="K3" i="42"/>
  <c r="K5" i="42"/>
  <c r="K11" i="42"/>
  <c r="K10" i="42"/>
  <c r="K9" i="42"/>
  <c r="K8" i="42"/>
  <c r="R31" i="45"/>
  <c r="U25" i="45"/>
  <c r="V25" i="45"/>
  <c r="P31" i="45"/>
  <c r="W25" i="45"/>
  <c r="X25" i="45" l="1"/>
  <c r="T26" i="45"/>
  <c r="Q32" i="45"/>
  <c r="U26" i="45"/>
  <c r="P32" i="45"/>
  <c r="R32" i="45"/>
  <c r="V26" i="45"/>
  <c r="W26" i="45"/>
  <c r="X26" i="45" l="1"/>
  <c r="Q33" i="45"/>
  <c r="P33" i="45"/>
  <c r="R33" i="45"/>
  <c r="Q34" i="45" l="1"/>
  <c r="P34" i="45"/>
  <c r="R34" i="45"/>
  <c r="J20" i="29" l="1"/>
  <c r="J21" i="29"/>
  <c r="S34" i="45"/>
  <c r="S33" i="45"/>
  <c r="S32" i="45"/>
  <c r="S31" i="45"/>
  <c r="S12" i="45" a="1"/>
  <c r="R217" i="40"/>
  <c r="R302" i="42"/>
  <c r="R127" i="42"/>
  <c r="Q101" i="40"/>
  <c r="Q317" i="40"/>
  <c r="R264" i="42"/>
  <c r="Q167" i="42"/>
  <c r="R557" i="42"/>
  <c r="R215" i="42"/>
  <c r="R155" i="40"/>
  <c r="Q393" i="40"/>
  <c r="R124" i="40"/>
  <c r="R257" i="42"/>
  <c r="R522" i="42"/>
  <c r="I26" i="39"/>
  <c r="R231" i="42"/>
  <c r="R547" i="42"/>
  <c r="R3" i="42"/>
  <c r="R79" i="40"/>
  <c r="R43" i="42"/>
  <c r="R209" i="40"/>
  <c r="R113" i="42"/>
  <c r="I3" i="46"/>
  <c r="R115" i="42"/>
  <c r="R179" i="42"/>
  <c r="R130" i="40"/>
  <c r="R492" i="42"/>
  <c r="R40" i="42"/>
  <c r="Q333" i="40"/>
  <c r="R287" i="42"/>
  <c r="R119" i="42"/>
  <c r="R311" i="42"/>
  <c r="R151" i="40"/>
  <c r="R108" i="40"/>
  <c r="R295" i="40"/>
  <c r="Q2" i="40"/>
  <c r="Q79" i="42"/>
  <c r="Q200" i="40"/>
  <c r="Q122" i="40"/>
  <c r="R538" i="42"/>
  <c r="R527" i="40"/>
  <c r="Q304" i="40"/>
  <c r="R62" i="42"/>
  <c r="R261" i="40"/>
  <c r="Q9" i="42"/>
  <c r="R153" i="42"/>
  <c r="R518" i="40"/>
  <c r="R534" i="42"/>
  <c r="R265" i="42"/>
  <c r="R354" i="42"/>
  <c r="R85" i="40"/>
  <c r="R183" i="40"/>
  <c r="R61" i="40"/>
  <c r="R383" i="40"/>
  <c r="I20" i="39"/>
  <c r="R234" i="42"/>
  <c r="Q85" i="42"/>
  <c r="R454" i="40"/>
  <c r="R504" i="40"/>
  <c r="I7" i="46"/>
  <c r="K7" i="46" s="1"/>
  <c r="R31" i="40"/>
  <c r="R351" i="42"/>
  <c r="R73" i="42"/>
  <c r="R490" i="40"/>
  <c r="R247" i="42"/>
  <c r="I26" i="46"/>
  <c r="I6" i="39"/>
  <c r="K6" i="39" s="1"/>
  <c r="R290" i="40"/>
  <c r="I3" i="43"/>
  <c r="R441" i="40"/>
  <c r="R102" i="40"/>
  <c r="R562" i="40"/>
  <c r="R247" i="40"/>
  <c r="R574" i="40"/>
  <c r="G19" i="40"/>
  <c r="R245" i="40"/>
  <c r="R520" i="40"/>
  <c r="R365" i="42"/>
  <c r="K6" i="34"/>
  <c r="R426" i="40"/>
  <c r="R411" i="42"/>
  <c r="I21" i="39"/>
  <c r="R106" i="42"/>
  <c r="R117" i="40"/>
  <c r="Q116" i="40"/>
  <c r="Q244" i="42"/>
  <c r="R257" i="40"/>
  <c r="R435" i="42"/>
  <c r="Q179" i="40"/>
  <c r="Q59" i="40"/>
  <c r="Q113" i="42"/>
  <c r="R556" i="42"/>
  <c r="Q279" i="42"/>
  <c r="R16" i="40"/>
  <c r="R392" i="40"/>
  <c r="R20" i="40"/>
  <c r="R466" i="40"/>
  <c r="R564" i="42"/>
  <c r="R423" i="42"/>
  <c r="R132" i="42"/>
  <c r="R22" i="42"/>
  <c r="R18" i="40"/>
  <c r="Q46" i="42"/>
  <c r="Q237" i="40"/>
  <c r="R488" i="40"/>
  <c r="R142" i="40"/>
  <c r="R237" i="40"/>
  <c r="J10" i="40"/>
  <c r="R492" i="40"/>
  <c r="R207" i="42"/>
  <c r="R413" i="42"/>
  <c r="R403" i="40"/>
  <c r="R331" i="42"/>
  <c r="R193" i="42"/>
  <c r="R349" i="42"/>
  <c r="R119" i="40"/>
  <c r="R519" i="42"/>
  <c r="R474" i="40"/>
  <c r="R174" i="42"/>
  <c r="R86" i="40"/>
  <c r="R569" i="42"/>
  <c r="R154" i="40"/>
  <c r="R87" i="42"/>
  <c r="R144" i="42"/>
  <c r="Q152" i="42"/>
  <c r="Q325" i="40"/>
  <c r="R327" i="42"/>
  <c r="R565" i="40"/>
  <c r="Q219" i="42"/>
  <c r="Q93" i="42"/>
  <c r="Q150" i="40"/>
  <c r="R239" i="42"/>
  <c r="R17" i="42"/>
  <c r="R266" i="42"/>
  <c r="R382" i="40"/>
  <c r="I27" i="46"/>
  <c r="R417" i="42"/>
  <c r="R59" i="40"/>
  <c r="R511" i="42"/>
  <c r="R122" i="42"/>
  <c r="R244" i="42"/>
  <c r="I5" i="46"/>
  <c r="K5" i="46" s="1"/>
  <c r="R159" i="40"/>
  <c r="R457" i="42"/>
  <c r="Q4" i="40"/>
  <c r="Q409" i="40"/>
  <c r="J2" i="42"/>
  <c r="P6" i="45"/>
  <c r="R8" i="42"/>
  <c r="R398" i="40"/>
  <c r="R385" i="40"/>
  <c r="R462" i="42"/>
  <c r="R479" i="40"/>
  <c r="R310" i="42"/>
  <c r="R435" i="40"/>
  <c r="P7" i="45"/>
  <c r="R464" i="42"/>
  <c r="R68" i="42"/>
  <c r="R121" i="40"/>
  <c r="R256" i="42"/>
  <c r="R120" i="40"/>
  <c r="R73" i="40"/>
  <c r="R515" i="42"/>
  <c r="R376" i="42"/>
  <c r="Q8" i="40"/>
  <c r="R372" i="40"/>
  <c r="R278" i="42"/>
  <c r="R277" i="42"/>
  <c r="R422" i="42"/>
  <c r="I25" i="39"/>
  <c r="R539" i="42"/>
  <c r="R440" i="40"/>
  <c r="R518" i="42"/>
  <c r="R543" i="40"/>
  <c r="R345" i="42"/>
  <c r="R331" i="40"/>
  <c r="R458" i="42"/>
  <c r="R34" i="42"/>
  <c r="R455" i="40"/>
  <c r="R576" i="42"/>
  <c r="I5" i="39"/>
  <c r="K5" i="39" s="1"/>
  <c r="R489" i="40"/>
  <c r="R135" i="42"/>
  <c r="R7" i="40"/>
  <c r="R499" i="40"/>
  <c r="R364" i="42"/>
  <c r="R478" i="42"/>
  <c r="R446" i="40"/>
  <c r="R94" i="42"/>
  <c r="R197" i="42"/>
  <c r="R493" i="40"/>
  <c r="R159" i="42"/>
  <c r="R303" i="42"/>
  <c r="R38" i="42"/>
  <c r="R100" i="40"/>
  <c r="R59" i="42"/>
  <c r="R144" i="40"/>
  <c r="R93" i="40"/>
  <c r="I19" i="44"/>
  <c r="Q161" i="40"/>
  <c r="R136" i="42"/>
  <c r="Q59" i="42"/>
  <c r="Q223" i="42"/>
  <c r="R176" i="40"/>
  <c r="Q58" i="40"/>
  <c r="R557" i="40"/>
  <c r="R567" i="42"/>
  <c r="J17" i="40"/>
  <c r="Q170" i="40"/>
  <c r="Q188" i="40"/>
  <c r="Q445" i="40"/>
  <c r="R393" i="42"/>
  <c r="R548" i="42"/>
  <c r="R208" i="42"/>
  <c r="R365" i="40"/>
  <c r="R486" i="42"/>
  <c r="R302" i="40"/>
  <c r="R481" i="40"/>
  <c r="R35" i="42"/>
  <c r="R359" i="40"/>
  <c r="I33" i="46"/>
  <c r="R467" i="42"/>
  <c r="R450" i="42"/>
  <c r="R319" i="40"/>
  <c r="R126" i="42"/>
  <c r="R305" i="40"/>
  <c r="R224" i="40"/>
  <c r="R29" i="40"/>
  <c r="R347" i="42"/>
  <c r="R62" i="40"/>
  <c r="R573" i="42"/>
  <c r="R480" i="42"/>
  <c r="Q16" i="40"/>
  <c r="I21" i="43"/>
  <c r="R277" i="40"/>
  <c r="R243" i="40"/>
  <c r="R148" i="40"/>
  <c r="R36" i="42"/>
  <c r="R149" i="40"/>
  <c r="R339" i="40"/>
  <c r="R151" i="42"/>
  <c r="R99" i="42"/>
  <c r="J7" i="40"/>
  <c r="R194" i="40"/>
  <c r="R482" i="40"/>
  <c r="R83" i="40"/>
  <c r="R533" i="42"/>
  <c r="R238" i="40"/>
  <c r="R274" i="42"/>
  <c r="J6" i="46"/>
  <c r="L6" i="46" s="1"/>
  <c r="P8" i="45"/>
  <c r="R104" i="42"/>
  <c r="R432" i="40"/>
  <c r="R289" i="40"/>
  <c r="R284" i="40"/>
  <c r="R211" i="40"/>
  <c r="R64" i="42"/>
  <c r="R243" i="42"/>
  <c r="R363" i="40"/>
  <c r="B4" i="35"/>
  <c r="R40" i="40"/>
  <c r="I32" i="46"/>
  <c r="R275" i="40"/>
  <c r="R523" i="40"/>
  <c r="R443" i="40"/>
  <c r="R233" i="40"/>
  <c r="Q28" i="40"/>
  <c r="J5" i="46"/>
  <c r="L5" i="46" s="1"/>
  <c r="O5" i="45"/>
  <c r="R222" i="40"/>
  <c r="R358" i="40"/>
  <c r="R195" i="40"/>
  <c r="R531" i="40"/>
  <c r="R7" i="42"/>
  <c r="R555" i="40"/>
  <c r="R535" i="40"/>
  <c r="R116" i="40"/>
  <c r="R103" i="42"/>
  <c r="R579" i="40"/>
  <c r="R460" i="40"/>
  <c r="R431" i="42"/>
  <c r="R432" i="42"/>
  <c r="R161" i="42"/>
  <c r="J5" i="39"/>
  <c r="L5" i="39" s="1"/>
  <c r="R90" i="40"/>
  <c r="R164" i="42"/>
  <c r="R414" i="40"/>
  <c r="R12" i="42"/>
  <c r="R477" i="42"/>
  <c r="R544" i="40"/>
  <c r="R456" i="42"/>
  <c r="R253" i="40"/>
  <c r="R570" i="42"/>
  <c r="R429" i="42"/>
  <c r="R265" i="40"/>
  <c r="R580" i="40"/>
  <c r="R380" i="42"/>
  <c r="R303" i="40"/>
  <c r="R537" i="40"/>
  <c r="R444" i="42"/>
  <c r="R575" i="42"/>
  <c r="R575" i="40"/>
  <c r="R255" i="42"/>
  <c r="R453" i="42"/>
  <c r="R13" i="42"/>
  <c r="R185" i="40"/>
  <c r="R420" i="40"/>
  <c r="R190" i="40"/>
  <c r="R207" i="40"/>
  <c r="Q33" i="42"/>
  <c r="Q199" i="40"/>
  <c r="R470" i="42"/>
  <c r="Q94" i="40"/>
  <c r="R174" i="40"/>
  <c r="B5" i="35"/>
  <c r="Q92" i="42"/>
  <c r="Q2" i="42"/>
  <c r="R236" i="42"/>
  <c r="R118" i="40"/>
  <c r="Q54" i="42"/>
  <c r="Q138" i="40"/>
  <c r="R513" i="42"/>
  <c r="I20" i="46"/>
  <c r="R538" i="40"/>
  <c r="R222" i="42"/>
  <c r="R367" i="42"/>
  <c r="R50" i="40"/>
  <c r="R12" i="40"/>
  <c r="R390" i="40"/>
  <c r="R239" i="40"/>
  <c r="R444" i="40"/>
  <c r="R45" i="42"/>
  <c r="R39" i="42"/>
  <c r="R93" i="42"/>
  <c r="R372" i="42"/>
  <c r="R147" i="40"/>
  <c r="R554" i="40"/>
  <c r="I18" i="39"/>
  <c r="R51" i="40"/>
  <c r="R394" i="40"/>
  <c r="R340" i="40"/>
  <c r="R254" i="40"/>
  <c r="R528" i="40"/>
  <c r="R280" i="40"/>
  <c r="R383" i="42"/>
  <c r="Q162" i="40"/>
  <c r="J11" i="40"/>
  <c r="R141" i="42"/>
  <c r="I5" i="43"/>
  <c r="K5" i="43" s="1"/>
  <c r="R9" i="40"/>
  <c r="R545" i="40"/>
  <c r="R27" i="40"/>
  <c r="R112" i="40"/>
  <c r="R140" i="40"/>
  <c r="R428" i="40"/>
  <c r="R280" i="42"/>
  <c r="I6" i="46"/>
  <c r="K6" i="46" s="1"/>
  <c r="R343" i="40"/>
  <c r="R498" i="40"/>
  <c r="R361" i="40"/>
  <c r="R330" i="40"/>
  <c r="R393" i="40"/>
  <c r="R525" i="42"/>
  <c r="R16" i="42"/>
  <c r="I24" i="46"/>
  <c r="G12" i="40"/>
  <c r="R351" i="40"/>
  <c r="J6" i="40"/>
  <c r="I24" i="43"/>
  <c r="R452" i="40"/>
  <c r="R381" i="42"/>
  <c r="R560" i="42"/>
  <c r="R494" i="40"/>
  <c r="J5" i="43"/>
  <c r="L5" i="43" s="1"/>
  <c r="R392" i="42"/>
  <c r="R332" i="40"/>
  <c r="J7" i="46"/>
  <c r="L7" i="46" s="1"/>
  <c r="O4" i="45"/>
  <c r="J18" i="40"/>
  <c r="R111" i="40"/>
  <c r="R470" i="40"/>
  <c r="R13" i="40"/>
  <c r="R368" i="40"/>
  <c r="R561" i="40"/>
  <c r="R42" i="42"/>
  <c r="R110" i="42"/>
  <c r="I23" i="46"/>
  <c r="I22" i="46"/>
  <c r="I28" i="46"/>
  <c r="O9" i="45"/>
  <c r="R307" i="40"/>
  <c r="R447" i="40"/>
  <c r="R553" i="42"/>
  <c r="R399" i="42"/>
  <c r="R48" i="42"/>
  <c r="R543" i="42"/>
  <c r="R128" i="42"/>
  <c r="R138" i="40"/>
  <c r="R539" i="40"/>
  <c r="R168" i="42"/>
  <c r="R552" i="40"/>
  <c r="R32" i="42"/>
  <c r="R412" i="42"/>
  <c r="R218" i="42"/>
  <c r="G5" i="40"/>
  <c r="R46" i="40"/>
  <c r="R341" i="42"/>
  <c r="R507" i="42"/>
  <c r="R387" i="42"/>
  <c r="R542" i="42"/>
  <c r="R313" i="42"/>
  <c r="R385" i="42"/>
  <c r="R338" i="40"/>
  <c r="R378" i="42"/>
  <c r="R549" i="42"/>
  <c r="R347" i="40"/>
  <c r="R4" i="42"/>
  <c r="R116" i="42"/>
  <c r="R384" i="40"/>
  <c r="B3" i="35"/>
  <c r="R315" i="42"/>
  <c r="R121" i="42"/>
  <c r="R514" i="42"/>
  <c r="R502" i="42"/>
  <c r="R272" i="42"/>
  <c r="R15" i="42"/>
  <c r="R276" i="40"/>
  <c r="R437" i="42"/>
  <c r="R318" i="40"/>
  <c r="R337" i="40"/>
  <c r="Q65" i="42"/>
  <c r="Q243" i="42"/>
  <c r="R65" i="40"/>
  <c r="Q131" i="40"/>
  <c r="R388" i="42"/>
  <c r="R11" i="42"/>
  <c r="R381" i="40"/>
  <c r="Q259" i="42"/>
  <c r="R134" i="40"/>
  <c r="R320" i="42"/>
  <c r="R66" i="40"/>
  <c r="R285" i="42"/>
  <c r="R284" i="42"/>
  <c r="Q133" i="42"/>
  <c r="Q22" i="42"/>
  <c r="R137" i="42"/>
  <c r="R460" i="42"/>
  <c r="R344" i="40"/>
  <c r="R483" i="40"/>
  <c r="J6" i="43"/>
  <c r="L6" i="43" s="1"/>
  <c r="R317" i="42"/>
  <c r="Q78" i="40"/>
  <c r="Q101" i="42"/>
  <c r="R37" i="42"/>
  <c r="R157" i="42"/>
  <c r="R283" i="42"/>
  <c r="R375" i="40"/>
  <c r="R371" i="42"/>
  <c r="R241" i="40"/>
  <c r="Q272" i="40"/>
  <c r="R228" i="42"/>
  <c r="R373" i="42"/>
  <c r="R282" i="42"/>
  <c r="R158" i="40"/>
  <c r="R190" i="42"/>
  <c r="Q124" i="40"/>
  <c r="Q74" i="40"/>
  <c r="Q102" i="40"/>
  <c r="R358" i="42"/>
  <c r="G18" i="40"/>
  <c r="R113" i="40"/>
  <c r="R488" i="42"/>
  <c r="R153" i="40"/>
  <c r="R544" i="42"/>
  <c r="R466" i="42"/>
  <c r="R82" i="40"/>
  <c r="R92" i="42"/>
  <c r="Q208" i="42"/>
  <c r="Q225" i="42"/>
  <c r="Q15" i="42"/>
  <c r="Q233" i="40"/>
  <c r="Q296" i="40"/>
  <c r="R312" i="42"/>
  <c r="Q65" i="40"/>
  <c r="Q351" i="40"/>
  <c r="Q443" i="42"/>
  <c r="Q500" i="40"/>
  <c r="Q528" i="42"/>
  <c r="Q473" i="42"/>
  <c r="Q402" i="40"/>
  <c r="Q214" i="42"/>
  <c r="Q344" i="42"/>
  <c r="Q410" i="40"/>
  <c r="Q555" i="40"/>
  <c r="Q453" i="42"/>
  <c r="Q26" i="42"/>
  <c r="Q289" i="40"/>
  <c r="R231" i="40"/>
  <c r="R433" i="42"/>
  <c r="Q178" i="40"/>
  <c r="Q479" i="42"/>
  <c r="Q404" i="42"/>
  <c r="Q214" i="40"/>
  <c r="Q410" i="42"/>
  <c r="Q250" i="40"/>
  <c r="Q254" i="40"/>
  <c r="R485" i="40"/>
  <c r="Q423" i="40"/>
  <c r="R300" i="42"/>
  <c r="R170" i="40"/>
  <c r="R430" i="42"/>
  <c r="Q160" i="42"/>
  <c r="Q184" i="40"/>
  <c r="Q139" i="40"/>
  <c r="R135" i="40"/>
  <c r="R291" i="40"/>
  <c r="I23" i="43"/>
  <c r="R44" i="42"/>
  <c r="R133" i="42"/>
  <c r="R155" i="42"/>
  <c r="R80" i="42"/>
  <c r="R436" i="40"/>
  <c r="R183" i="42"/>
  <c r="R511" i="40"/>
  <c r="R521" i="40"/>
  <c r="Q55" i="42"/>
  <c r="Q397" i="40"/>
  <c r="R36" i="40"/>
  <c r="R209" i="42"/>
  <c r="Q100" i="42"/>
  <c r="Q447" i="40"/>
  <c r="Q475" i="42"/>
  <c r="Q532" i="40"/>
  <c r="Q513" i="40"/>
  <c r="Q505" i="42"/>
  <c r="Q434" i="40"/>
  <c r="Q310" i="42"/>
  <c r="Q504" i="42"/>
  <c r="Q506" i="40"/>
  <c r="Q352" i="40"/>
  <c r="Q549" i="42"/>
  <c r="Q107" i="40"/>
  <c r="R298" i="40"/>
  <c r="Q32" i="42"/>
  <c r="R455" i="42"/>
  <c r="Q437" i="40"/>
  <c r="Q511" i="42"/>
  <c r="Q436" i="42"/>
  <c r="Q246" i="40"/>
  <c r="Q442" i="42"/>
  <c r="Q314" i="40"/>
  <c r="Q354" i="42"/>
  <c r="G4" i="34"/>
  <c r="Q419" i="42"/>
  <c r="Q159" i="40"/>
  <c r="Q8" i="42"/>
  <c r="R401" i="42"/>
  <c r="R541" i="42"/>
  <c r="R469" i="42"/>
  <c r="R309" i="42"/>
  <c r="R58" i="40"/>
  <c r="R386" i="42"/>
  <c r="R87" i="40"/>
  <c r="Q271" i="42"/>
  <c r="Q129" i="40"/>
  <c r="Q18" i="42"/>
  <c r="R322" i="42"/>
  <c r="Q130" i="40"/>
  <c r="Q31" i="42"/>
  <c r="Q56" i="40"/>
  <c r="R453" i="40"/>
  <c r="Q187" i="40"/>
  <c r="R313" i="40"/>
  <c r="R335" i="40"/>
  <c r="G4" i="40"/>
  <c r="R484" i="42"/>
  <c r="R251" i="42"/>
  <c r="R451" i="42"/>
  <c r="Q41" i="42"/>
  <c r="R129" i="40"/>
  <c r="Q209" i="40"/>
  <c r="Q88" i="42"/>
  <c r="R200" i="40"/>
  <c r="R269" i="40"/>
  <c r="R147" i="42"/>
  <c r="R292" i="42"/>
  <c r="R126" i="40"/>
  <c r="R27" i="42"/>
  <c r="Q229" i="42"/>
  <c r="Q175" i="40"/>
  <c r="R441" i="42"/>
  <c r="R5" i="40"/>
  <c r="I22" i="39"/>
  <c r="R65" i="42"/>
  <c r="Q17" i="42"/>
  <c r="R473" i="42"/>
  <c r="R94" i="40"/>
  <c r="R333" i="42"/>
  <c r="R169" i="42"/>
  <c r="R173" i="42"/>
  <c r="R282" i="40"/>
  <c r="R261" i="42"/>
  <c r="Q197" i="42"/>
  <c r="Q225" i="40"/>
  <c r="R479" i="42"/>
  <c r="R240" i="40"/>
  <c r="R395" i="42"/>
  <c r="R156" i="40"/>
  <c r="R216" i="42"/>
  <c r="R407" i="42"/>
  <c r="R237" i="42"/>
  <c r="R194" i="42"/>
  <c r="R546" i="40"/>
  <c r="R400" i="40"/>
  <c r="Q203" i="42"/>
  <c r="Q7" i="40"/>
  <c r="Q108" i="40"/>
  <c r="R359" i="42"/>
  <c r="R115" i="40"/>
  <c r="R242" i="42"/>
  <c r="Q137" i="40"/>
  <c r="Q479" i="40"/>
  <c r="Q507" i="42"/>
  <c r="Q564" i="40"/>
  <c r="Q545" i="40"/>
  <c r="Q537" i="42"/>
  <c r="Q466" i="40"/>
  <c r="Q342" i="42"/>
  <c r="Q489" i="40"/>
  <c r="Q570" i="40"/>
  <c r="Q448" i="40"/>
  <c r="Q222" i="40"/>
  <c r="Q175" i="42"/>
  <c r="Q158" i="40"/>
  <c r="Q173" i="40"/>
  <c r="R510" i="42"/>
  <c r="Q259" i="40"/>
  <c r="Q543" i="42"/>
  <c r="Q564" i="42"/>
  <c r="Q438" i="40"/>
  <c r="Q412" i="40"/>
  <c r="Q126" i="42"/>
  <c r="Q255" i="42"/>
  <c r="R55" i="40"/>
  <c r="Q451" i="42"/>
  <c r="Q196" i="40"/>
  <c r="Q40" i="42"/>
  <c r="R248" i="40"/>
  <c r="G10" i="40"/>
  <c r="Q24" i="40"/>
  <c r="R391" i="42"/>
  <c r="R107" i="40"/>
  <c r="R140" i="42"/>
  <c r="Q5" i="42"/>
  <c r="Q441" i="40"/>
  <c r="Q165" i="42"/>
  <c r="Q50" i="42"/>
  <c r="R406" i="42"/>
  <c r="Q167" i="40"/>
  <c r="Q63" i="42"/>
  <c r="Q90" i="40"/>
  <c r="R6" i="40"/>
  <c r="Q228" i="42"/>
  <c r="R503" i="40"/>
  <c r="R456" i="40"/>
  <c r="R230" i="40"/>
  <c r="I27" i="39"/>
  <c r="R355" i="42"/>
  <c r="R428" i="42"/>
  <c r="Q73" i="42"/>
  <c r="R232" i="40"/>
  <c r="Q256" i="40"/>
  <c r="Q125" i="40"/>
  <c r="J5" i="44"/>
  <c r="L5" i="44" s="1"/>
  <c r="R514" i="40"/>
  <c r="R476" i="42"/>
  <c r="R204" i="42"/>
  <c r="R264" i="40"/>
  <c r="R52" i="40"/>
  <c r="Q287" i="42"/>
  <c r="R439" i="42"/>
  <c r="R240" i="42"/>
  <c r="R251" i="40"/>
  <c r="R104" i="40"/>
  <c r="R72" i="42"/>
  <c r="Q49" i="42"/>
  <c r="Q6" i="40"/>
  <c r="Q30" i="42"/>
  <c r="R377" i="42"/>
  <c r="R214" i="42"/>
  <c r="J6" i="39"/>
  <c r="L6" i="39" s="1"/>
  <c r="R387" i="40"/>
  <c r="R210" i="42"/>
  <c r="R568" i="40"/>
  <c r="Q280" i="40"/>
  <c r="Q12" i="40"/>
  <c r="R534" i="40"/>
  <c r="R517" i="40"/>
  <c r="R15" i="40"/>
  <c r="R357" i="42"/>
  <c r="R559" i="42"/>
  <c r="R192" i="42"/>
  <c r="R67" i="40"/>
  <c r="R448" i="42"/>
  <c r="R418" i="40"/>
  <c r="Q231" i="40"/>
  <c r="Q51" i="40"/>
  <c r="Q153" i="42"/>
  <c r="Q28" i="42"/>
  <c r="R189" i="40"/>
  <c r="R101" i="42"/>
  <c r="Q261" i="40"/>
  <c r="Q511" i="40"/>
  <c r="Q539" i="42"/>
  <c r="Q368" i="42"/>
  <c r="Q577" i="40"/>
  <c r="Q569" i="42"/>
  <c r="Q562" i="40"/>
  <c r="Q374" i="42"/>
  <c r="Q553" i="40"/>
  <c r="Q318" i="42"/>
  <c r="Q512" i="40"/>
  <c r="Q574" i="40"/>
  <c r="Q249" i="42"/>
  <c r="Q216" i="42"/>
  <c r="Q233" i="42"/>
  <c r="R226" i="42"/>
  <c r="Q387" i="40"/>
  <c r="Q575" i="42"/>
  <c r="Q549" i="40"/>
  <c r="Q470" i="40"/>
  <c r="Q444" i="40"/>
  <c r="Q350" i="42"/>
  <c r="R70" i="42"/>
  <c r="R186" i="42"/>
  <c r="Q536" i="42"/>
  <c r="Q189" i="40"/>
  <c r="R187" i="40"/>
  <c r="R362" i="42"/>
  <c r="Q99" i="40"/>
  <c r="Q127" i="40"/>
  <c r="R429" i="40"/>
  <c r="Q284" i="42"/>
  <c r="R398" i="42"/>
  <c r="R384" i="42"/>
  <c r="R178" i="42"/>
  <c r="Q110" i="40"/>
  <c r="J7" i="44"/>
  <c r="L7" i="44" s="1"/>
  <c r="Q381" i="40"/>
  <c r="Q161" i="42"/>
  <c r="Q31" i="40"/>
  <c r="R182" i="42"/>
  <c r="R43" i="40"/>
  <c r="R2" i="40"/>
  <c r="R366" i="40"/>
  <c r="R220" i="40"/>
  <c r="R437" i="40"/>
  <c r="R535" i="42"/>
  <c r="R354" i="40"/>
  <c r="R373" i="40"/>
  <c r="J3" i="40"/>
  <c r="R163" i="42"/>
  <c r="Q83" i="40"/>
  <c r="Q38" i="40"/>
  <c r="Q62" i="42"/>
  <c r="R334" i="42"/>
  <c r="R132" i="40"/>
  <c r="R33" i="40"/>
  <c r="R526" i="40"/>
  <c r="R164" i="40"/>
  <c r="R202" i="40"/>
  <c r="R427" i="40"/>
  <c r="R431" i="40"/>
  <c r="R316" i="42"/>
  <c r="R520" i="42"/>
  <c r="R177" i="42"/>
  <c r="R85" i="42"/>
  <c r="R301" i="42"/>
  <c r="R450" i="40"/>
  <c r="R122" i="40"/>
  <c r="R120" i="42"/>
  <c r="R212" i="40"/>
  <c r="R348" i="40"/>
  <c r="Q112" i="40"/>
  <c r="Q200" i="42"/>
  <c r="Q68" i="42"/>
  <c r="R271" i="40"/>
  <c r="R152" i="42"/>
  <c r="Q405" i="40"/>
  <c r="Q543" i="40"/>
  <c r="Q571" i="42"/>
  <c r="Q400" i="42"/>
  <c r="Q281" i="42"/>
  <c r="Q210" i="40"/>
  <c r="Q86" i="42"/>
  <c r="Q406" i="42"/>
  <c r="Q321" i="42"/>
  <c r="Q382" i="42"/>
  <c r="Q316" i="42"/>
  <c r="Q130" i="42"/>
  <c r="Q449" i="40"/>
  <c r="Q283" i="42"/>
  <c r="G9" i="40"/>
  <c r="R517" i="42"/>
  <c r="Q483" i="40"/>
  <c r="Q344" i="40"/>
  <c r="Q285" i="42"/>
  <c r="Q90" i="42"/>
  <c r="Q540" i="40"/>
  <c r="Q542" i="42"/>
  <c r="R512" i="40"/>
  <c r="R330" i="42"/>
  <c r="Q282" i="40"/>
  <c r="R25" i="42"/>
  <c r="J20" i="40"/>
  <c r="R508" i="42"/>
  <c r="R9" i="42"/>
  <c r="R425" i="42"/>
  <c r="R323" i="40"/>
  <c r="R438" i="40"/>
  <c r="R530" i="42"/>
  <c r="R42" i="40"/>
  <c r="R88" i="42"/>
  <c r="R559" i="40"/>
  <c r="R223" i="42"/>
  <c r="Q22" i="40"/>
  <c r="Q72" i="42"/>
  <c r="R52" i="42"/>
  <c r="Q204" i="40"/>
  <c r="R317" i="40"/>
  <c r="R336" i="40"/>
  <c r="O8" i="45"/>
  <c r="G6" i="34"/>
  <c r="R5" i="42"/>
  <c r="R344" i="42"/>
  <c r="R175" i="42"/>
  <c r="I20" i="43"/>
  <c r="I7" i="39"/>
  <c r="K7" i="39" s="1"/>
  <c r="R494" i="42"/>
  <c r="R128" i="40"/>
  <c r="R565" i="42"/>
  <c r="R49" i="40"/>
  <c r="R406" i="40"/>
  <c r="R475" i="42"/>
  <c r="G20" i="40"/>
  <c r="Q54" i="40"/>
  <c r="R547" i="40"/>
  <c r="Q231" i="42"/>
  <c r="R178" i="40"/>
  <c r="Q309" i="40"/>
  <c r="Q109" i="40"/>
  <c r="R60" i="42"/>
  <c r="R327" i="40"/>
  <c r="R188" i="40"/>
  <c r="R405" i="42"/>
  <c r="R346" i="42"/>
  <c r="R246" i="42"/>
  <c r="Q69" i="42"/>
  <c r="R407" i="40"/>
  <c r="Q249" i="40"/>
  <c r="Q120" i="42"/>
  <c r="R379" i="40"/>
  <c r="Q251" i="42"/>
  <c r="Q135" i="42"/>
  <c r="Q163" i="42"/>
  <c r="Q12" i="42"/>
  <c r="R267" i="40"/>
  <c r="R443" i="42"/>
  <c r="R55" i="42"/>
  <c r="R472" i="40"/>
  <c r="R57" i="40"/>
  <c r="R400" i="42"/>
  <c r="R445" i="42"/>
  <c r="Q147" i="40"/>
  <c r="Q30" i="40"/>
  <c r="R480" i="40"/>
  <c r="Q199" i="42"/>
  <c r="Q63" i="40"/>
  <c r="L5" i="34"/>
  <c r="L6" i="34"/>
  <c r="G17" i="40"/>
  <c r="R343" i="42"/>
  <c r="R572" i="40"/>
  <c r="R508" i="40"/>
  <c r="R111" i="42"/>
  <c r="R516" i="40"/>
  <c r="R495" i="40"/>
  <c r="R26" i="40"/>
  <c r="R114" i="42"/>
  <c r="Q119" i="42"/>
  <c r="Q143" i="40"/>
  <c r="R529" i="42"/>
  <c r="G8" i="40"/>
  <c r="R263" i="40"/>
  <c r="G6" i="40"/>
  <c r="R232" i="42"/>
  <c r="Q21" i="42"/>
  <c r="R553" i="40"/>
  <c r="R491" i="40"/>
  <c r="R371" i="40"/>
  <c r="R82" i="42"/>
  <c r="R185" i="42"/>
  <c r="R294" i="40"/>
  <c r="R268" i="42"/>
  <c r="R294" i="42"/>
  <c r="R306" i="40"/>
  <c r="R203" i="40"/>
  <c r="R318" i="42"/>
  <c r="Q96" i="42"/>
  <c r="Q10" i="42"/>
  <c r="Q157" i="42"/>
  <c r="Q81" i="40"/>
  <c r="Q123" i="40"/>
  <c r="R345" i="40"/>
  <c r="R109" i="40"/>
  <c r="Q255" i="40"/>
  <c r="Q575" i="40"/>
  <c r="Q404" i="40"/>
  <c r="Q432" i="42"/>
  <c r="Q313" i="42"/>
  <c r="Q306" i="40"/>
  <c r="Q118" i="42"/>
  <c r="Q438" i="42"/>
  <c r="Q545" i="42"/>
  <c r="Q446" i="42"/>
  <c r="Q380" i="42"/>
  <c r="R145" i="42"/>
  <c r="Q116" i="42"/>
  <c r="Q44" i="40"/>
  <c r="R201" i="40"/>
  <c r="R324" i="40"/>
  <c r="Q515" i="40"/>
  <c r="Q536" i="40"/>
  <c r="Q317" i="42"/>
  <c r="Q122" i="42"/>
  <c r="Q312" i="42"/>
  <c r="Q480" i="40"/>
  <c r="R97" i="42"/>
  <c r="Q41" i="40"/>
  <c r="R396" i="40"/>
  <c r="R564" i="40"/>
  <c r="R2" i="42"/>
  <c r="R259" i="40"/>
  <c r="R210" i="40"/>
  <c r="R21" i="40"/>
  <c r="R224" i="42"/>
  <c r="R172" i="40"/>
  <c r="R339" i="42"/>
  <c r="R329" i="42"/>
  <c r="R319" i="42"/>
  <c r="R563" i="40"/>
  <c r="R108" i="42"/>
  <c r="R491" i="42"/>
  <c r="R23" i="42"/>
  <c r="R497" i="42"/>
  <c r="R39" i="40"/>
  <c r="R561" i="42"/>
  <c r="R47" i="42"/>
  <c r="R556" i="40"/>
  <c r="R558" i="40"/>
  <c r="Q137" i="42"/>
  <c r="R300" i="40"/>
  <c r="R34" i="40"/>
  <c r="Q240" i="40"/>
  <c r="R80" i="40"/>
  <c r="R219" i="40"/>
  <c r="Q37" i="42"/>
  <c r="Q84" i="40"/>
  <c r="R472" i="42"/>
  <c r="I30" i="46"/>
  <c r="O3" i="45"/>
  <c r="R33" i="42"/>
  <c r="R285" i="40"/>
  <c r="R452" i="42"/>
  <c r="R326" i="42"/>
  <c r="J12" i="40"/>
  <c r="J8" i="40"/>
  <c r="R461" i="42"/>
  <c r="R369" i="42"/>
  <c r="R533" i="40"/>
  <c r="R436" i="42"/>
  <c r="R125" i="40"/>
  <c r="R335" i="42"/>
  <c r="R297" i="40"/>
  <c r="R571" i="40"/>
  <c r="R505" i="42"/>
  <c r="R447" i="42"/>
  <c r="R519" i="40"/>
  <c r="R404" i="40"/>
  <c r="R293" i="42"/>
  <c r="R139" i="40"/>
  <c r="R101" i="40"/>
  <c r="R102" i="42"/>
  <c r="R509" i="40"/>
  <c r="R281" i="42"/>
  <c r="G5" i="34"/>
  <c r="R189" i="42"/>
  <c r="K3" i="34"/>
  <c r="R338" i="42"/>
  <c r="R167" i="40"/>
  <c r="R403" i="42"/>
  <c r="R188" i="42"/>
  <c r="Q174" i="40"/>
  <c r="Q252" i="40"/>
  <c r="I21" i="46"/>
  <c r="I25" i="46"/>
  <c r="P5" i="45"/>
  <c r="O6" i="45"/>
  <c r="P3" i="45"/>
  <c r="G15" i="40"/>
  <c r="R487" i="42"/>
  <c r="R99" i="40"/>
  <c r="R482" i="42"/>
  <c r="R368" i="42"/>
  <c r="R175" i="40"/>
  <c r="R297" i="42"/>
  <c r="R275" i="42"/>
  <c r="R278" i="40"/>
  <c r="R78" i="42"/>
  <c r="R272" i="40"/>
  <c r="R230" i="42"/>
  <c r="J19" i="40"/>
  <c r="R211" i="42"/>
  <c r="R28" i="40"/>
  <c r="R401" i="40"/>
  <c r="R500" i="40"/>
  <c r="R366" i="42"/>
  <c r="R380" i="40"/>
  <c r="R123" i="42"/>
  <c r="R83" i="42"/>
  <c r="R360" i="42"/>
  <c r="R44" i="40"/>
  <c r="R361" i="42"/>
  <c r="R169" i="40"/>
  <c r="R390" i="42"/>
  <c r="I23" i="39"/>
  <c r="R259" i="42"/>
  <c r="R374" i="42"/>
  <c r="R138" i="42"/>
  <c r="R221" i="42"/>
  <c r="R377" i="40"/>
  <c r="R578" i="42"/>
  <c r="R356" i="42"/>
  <c r="R286" i="40"/>
  <c r="R324" i="42"/>
  <c r="R526" i="42"/>
  <c r="R315" i="40"/>
  <c r="R273" i="42"/>
  <c r="R19" i="40"/>
  <c r="R370" i="42"/>
  <c r="R223" i="40"/>
  <c r="R545" i="42"/>
  <c r="R501" i="40"/>
  <c r="R54" i="40"/>
  <c r="R127" i="40"/>
  <c r="R235" i="42"/>
  <c r="R235" i="40"/>
  <c r="R112" i="42"/>
  <c r="R510" i="40"/>
  <c r="R227" i="40"/>
  <c r="R328" i="42"/>
  <c r="G3" i="40"/>
  <c r="R274" i="40"/>
  <c r="R397" i="42"/>
  <c r="R154" i="42"/>
  <c r="R166" i="40"/>
  <c r="R131" i="42"/>
  <c r="R502" i="40"/>
  <c r="R314" i="40"/>
  <c r="G2" i="34"/>
  <c r="R459" i="42"/>
  <c r="R74" i="40"/>
  <c r="R537" i="42"/>
  <c r="R192" i="40"/>
  <c r="R71" i="42"/>
  <c r="R350" i="40"/>
  <c r="R379" i="42"/>
  <c r="R449" i="42"/>
  <c r="R521" i="42"/>
  <c r="G16" i="40"/>
  <c r="R541" i="40"/>
  <c r="R195" i="42"/>
  <c r="R47" i="40"/>
  <c r="R187" i="42"/>
  <c r="R160" i="42"/>
  <c r="Q213" i="42"/>
  <c r="Q88" i="40"/>
  <c r="R352" i="42"/>
  <c r="Q288" i="42"/>
  <c r="Q89" i="40"/>
  <c r="I3" i="44"/>
  <c r="Q361" i="40"/>
  <c r="R581" i="42"/>
  <c r="Q145" i="42"/>
  <c r="R221" i="40"/>
  <c r="R442" i="40"/>
  <c r="R218" i="40"/>
  <c r="R405" i="40"/>
  <c r="R458" i="40"/>
  <c r="R21" i="42"/>
  <c r="Q105" i="42"/>
  <c r="R14" i="40"/>
  <c r="Q349" i="40"/>
  <c r="Q157" i="40"/>
  <c r="R176" i="42"/>
  <c r="Q357" i="40"/>
  <c r="Q172" i="40"/>
  <c r="Q201" i="40"/>
  <c r="Q44" i="42"/>
  <c r="R170" i="42"/>
  <c r="R220" i="42"/>
  <c r="R536" i="42"/>
  <c r="R577" i="42"/>
  <c r="L3" i="34"/>
  <c r="R305" i="42"/>
  <c r="R304" i="40"/>
  <c r="Q183" i="42"/>
  <c r="Q62" i="40"/>
  <c r="R89" i="40"/>
  <c r="Q244" i="40"/>
  <c r="Q98" i="40"/>
  <c r="R143" i="40"/>
  <c r="R242" i="40"/>
  <c r="R249" i="40"/>
  <c r="R304" i="42"/>
  <c r="Q13" i="42"/>
  <c r="R63" i="40"/>
  <c r="R325" i="40"/>
  <c r="R296" i="42"/>
  <c r="R410" i="42"/>
  <c r="R161" i="40"/>
  <c r="R307" i="42"/>
  <c r="Q156" i="40"/>
  <c r="Q179" i="42"/>
  <c r="R250" i="40"/>
  <c r="R199" i="40"/>
  <c r="R386" i="40"/>
  <c r="R136" i="40"/>
  <c r="R172" i="42"/>
  <c r="Q53" i="42"/>
  <c r="Q10" i="40"/>
  <c r="R24" i="42"/>
  <c r="R463" i="42"/>
  <c r="R149" i="42"/>
  <c r="R117" i="42"/>
  <c r="R424" i="40"/>
  <c r="R58" i="42"/>
  <c r="R3" i="40"/>
  <c r="R410" i="40"/>
  <c r="R24" i="40"/>
  <c r="R49" i="42"/>
  <c r="Q133" i="40"/>
  <c r="Q97" i="42"/>
  <c r="Q216" i="40"/>
  <c r="Q136" i="40"/>
  <c r="Q168" i="42"/>
  <c r="R422" i="40"/>
  <c r="I18" i="44"/>
  <c r="Q287" i="40"/>
  <c r="Q315" i="42"/>
  <c r="Q436" i="40"/>
  <c r="Q464" i="42"/>
  <c r="Q345" i="42"/>
  <c r="Q338" i="40"/>
  <c r="Q150" i="42"/>
  <c r="Q470" i="42"/>
  <c r="Q218" i="40"/>
  <c r="Q510" i="42"/>
  <c r="Q261" i="42"/>
  <c r="Q248" i="42"/>
  <c r="Q171" i="42"/>
  <c r="Q95" i="40"/>
  <c r="R279" i="40"/>
  <c r="Q105" i="40"/>
  <c r="Q547" i="40"/>
  <c r="Q568" i="40"/>
  <c r="Q509" i="42"/>
  <c r="Q250" i="42"/>
  <c r="Q257" i="42"/>
  <c r="Q576" i="40"/>
  <c r="Q23" i="42"/>
  <c r="Q146" i="40"/>
  <c r="Q135" i="40"/>
  <c r="Q20" i="40"/>
  <c r="R4" i="40"/>
  <c r="R411" i="40"/>
  <c r="R225" i="42"/>
  <c r="R489" i="42"/>
  <c r="J7" i="39"/>
  <c r="L7" i="39" s="1"/>
  <c r="R191" i="42"/>
  <c r="R477" i="40"/>
  <c r="R158" i="42"/>
  <c r="R292" i="40"/>
  <c r="R434" i="40"/>
  <c r="B7" i="35"/>
  <c r="R415" i="40"/>
  <c r="R323" i="42"/>
  <c r="R283" i="40"/>
  <c r="R321" i="42"/>
  <c r="R173" i="40"/>
  <c r="R448" i="40"/>
  <c r="R180" i="42"/>
  <c r="G14" i="40"/>
  <c r="R481" i="42"/>
  <c r="Q23" i="40"/>
  <c r="Q205" i="42"/>
  <c r="R551" i="42"/>
  <c r="Q32" i="40"/>
  <c r="Q205" i="40"/>
  <c r="R215" i="40"/>
  <c r="I18" i="46"/>
  <c r="P9" i="45"/>
  <c r="R389" i="40"/>
  <c r="R50" i="42"/>
  <c r="R396" i="42"/>
  <c r="R22" i="40"/>
  <c r="R137" i="40"/>
  <c r="R578" i="40"/>
  <c r="R320" i="40"/>
  <c r="R299" i="40"/>
  <c r="R416" i="42"/>
  <c r="R78" i="40"/>
  <c r="R57" i="42"/>
  <c r="R507" i="40"/>
  <c r="R181" i="42"/>
  <c r="R250" i="42"/>
  <c r="R198" i="40"/>
  <c r="R229" i="40"/>
  <c r="I6" i="43"/>
  <c r="K6" i="43" s="1"/>
  <c r="R566" i="42"/>
  <c r="R374" i="40"/>
  <c r="R527" i="42"/>
  <c r="R415" i="42"/>
  <c r="R95" i="42"/>
  <c r="R105" i="42"/>
  <c r="R77" i="40"/>
  <c r="R165" i="40"/>
  <c r="R367" i="40"/>
  <c r="R61" i="42"/>
  <c r="R266" i="40"/>
  <c r="R542" i="40"/>
  <c r="R100" i="42"/>
  <c r="G3" i="34"/>
  <c r="R79" i="42"/>
  <c r="Q55" i="40"/>
  <c r="I19" i="46"/>
  <c r="I29" i="46"/>
  <c r="P4" i="45"/>
  <c r="O7" i="45"/>
  <c r="R98" i="40"/>
  <c r="R570" i="40"/>
  <c r="R184" i="40"/>
  <c r="R18" i="42"/>
  <c r="R464" i="40"/>
  <c r="R268" i="40"/>
  <c r="R19" i="42"/>
  <c r="R512" i="42"/>
  <c r="R177" i="40"/>
  <c r="R485" i="42"/>
  <c r="R355" i="40"/>
  <c r="R353" i="42"/>
  <c r="R48" i="40"/>
  <c r="R528" i="42"/>
  <c r="I7" i="43"/>
  <c r="K7" i="43" s="1"/>
  <c r="R498" i="42"/>
  <c r="R110" i="40"/>
  <c r="R63" i="42"/>
  <c r="R478" i="40"/>
  <c r="R186" i="40"/>
  <c r="R143" i="42"/>
  <c r="R51" i="42"/>
  <c r="J5" i="40"/>
  <c r="R203" i="42"/>
  <c r="R281" i="40"/>
  <c r="R474" i="42"/>
  <c r="K4" i="34"/>
  <c r="R245" i="42"/>
  <c r="R184" i="42"/>
  <c r="J14" i="40"/>
  <c r="R46" i="42"/>
  <c r="R476" i="40"/>
  <c r="R41" i="40"/>
  <c r="R124" i="42"/>
  <c r="R370" i="40"/>
  <c r="R227" i="42"/>
  <c r="R299" i="42"/>
  <c r="R395" i="40"/>
  <c r="R270" i="42"/>
  <c r="K5" i="34"/>
  <c r="R125" i="42"/>
  <c r="R309" i="40"/>
  <c r="R150" i="42"/>
  <c r="R581" i="40"/>
  <c r="R213" i="40"/>
  <c r="R162" i="40"/>
  <c r="R546" i="42"/>
  <c r="R322" i="40"/>
  <c r="R276" i="42"/>
  <c r="R54" i="42"/>
  <c r="R312" i="40"/>
  <c r="R30" i="42"/>
  <c r="J13" i="40"/>
  <c r="R356" i="40"/>
  <c r="R66" i="42"/>
  <c r="R118" i="42"/>
  <c r="R255" i="40"/>
  <c r="R238" i="42"/>
  <c r="R552" i="42"/>
  <c r="R394" i="42"/>
  <c r="R60" i="40"/>
  <c r="R548" i="40"/>
  <c r="R163" i="40"/>
  <c r="R219" i="42"/>
  <c r="G11" i="40"/>
  <c r="R148" i="42"/>
  <c r="R439" i="40"/>
  <c r="R75" i="40"/>
  <c r="R568" i="42"/>
  <c r="R308" i="42"/>
  <c r="R23" i="40"/>
  <c r="R56" i="40"/>
  <c r="R229" i="42"/>
  <c r="J9" i="40"/>
  <c r="R165" i="42"/>
  <c r="R256" i="40"/>
  <c r="Q263" i="42"/>
  <c r="Q124" i="42"/>
  <c r="Q14" i="42"/>
  <c r="R77" i="42"/>
  <c r="Q125" i="42"/>
  <c r="Q27" i="42"/>
  <c r="Q52" i="40"/>
  <c r="R97" i="40"/>
  <c r="Q182" i="40"/>
  <c r="R468" i="40"/>
  <c r="R434" i="42"/>
  <c r="R328" i="40"/>
  <c r="I18" i="43"/>
  <c r="R567" i="40"/>
  <c r="R41" i="42"/>
  <c r="Q142" i="40"/>
  <c r="Q26" i="40"/>
  <c r="R131" i="40"/>
  <c r="Q193" i="42"/>
  <c r="Q27" i="40"/>
  <c r="R461" i="40"/>
  <c r="Q211" i="42"/>
  <c r="Q245" i="42"/>
  <c r="Q77" i="40"/>
  <c r="R258" i="40"/>
  <c r="L2" i="34"/>
  <c r="R523" i="42"/>
  <c r="R252" i="42"/>
  <c r="R81" i="40"/>
  <c r="R340" i="42"/>
  <c r="R409" i="40"/>
  <c r="Q224" i="42"/>
  <c r="Q97" i="40"/>
  <c r="R81" i="42"/>
  <c r="Q321" i="40"/>
  <c r="R333" i="40"/>
  <c r="R168" i="40"/>
  <c r="R346" i="40"/>
  <c r="R92" i="40"/>
  <c r="R156" i="42"/>
  <c r="Q45" i="42"/>
  <c r="Q66" i="40"/>
  <c r="R554" i="42"/>
  <c r="R200" i="42"/>
  <c r="R26" i="42"/>
  <c r="R273" i="40"/>
  <c r="R166" i="42"/>
  <c r="Q300" i="40"/>
  <c r="Q220" i="40"/>
  <c r="R416" i="40"/>
  <c r="R524" i="40"/>
  <c r="R506" i="40"/>
  <c r="I3" i="39"/>
  <c r="R248" i="42"/>
  <c r="Q87" i="42"/>
  <c r="Q42" i="40"/>
  <c r="Q66" i="42"/>
  <c r="R75" i="42"/>
  <c r="R496" i="40"/>
  <c r="R11" i="40"/>
  <c r="R536" i="40"/>
  <c r="R202" i="42"/>
  <c r="R421" i="40"/>
  <c r="R525" i="40"/>
  <c r="R206" i="40"/>
  <c r="R375" i="42"/>
  <c r="Q169" i="42"/>
  <c r="Q171" i="40"/>
  <c r="R465" i="42"/>
  <c r="Q181" i="42"/>
  <c r="Q217" i="42"/>
  <c r="R262" i="42"/>
  <c r="Q33" i="40"/>
  <c r="Q319" i="40"/>
  <c r="Q411" i="42"/>
  <c r="Q468" i="40"/>
  <c r="Q496" i="42"/>
  <c r="Q441" i="42"/>
  <c r="Q370" i="40"/>
  <c r="Q182" i="42"/>
  <c r="Q566" i="42"/>
  <c r="Q346" i="40"/>
  <c r="Q574" i="42"/>
  <c r="Q357" i="42"/>
  <c r="R376" i="40"/>
  <c r="Q221" i="40"/>
  <c r="R459" i="40"/>
  <c r="R353" i="40"/>
  <c r="Q141" i="42"/>
  <c r="Q579" i="40"/>
  <c r="Q308" i="42"/>
  <c r="Q541" i="42"/>
  <c r="Q346" i="42"/>
  <c r="Q353" i="42"/>
  <c r="Q581" i="42"/>
  <c r="Q191" i="40"/>
  <c r="Q391" i="40"/>
  <c r="Q60" i="40"/>
  <c r="Q288" i="40"/>
  <c r="Q75" i="42"/>
  <c r="Q176" i="42"/>
  <c r="Q48" i="42"/>
  <c r="R141" i="40"/>
  <c r="R574" i="42"/>
  <c r="Q229" i="40"/>
  <c r="Q491" i="40"/>
  <c r="Q293" i="42"/>
  <c r="R457" i="40"/>
  <c r="Q139" i="42"/>
  <c r="Q154" i="40"/>
  <c r="Q253" i="40"/>
  <c r="R493" i="42"/>
  <c r="Q235" i="42"/>
  <c r="Q527" i="40"/>
  <c r="Q420" i="40"/>
  <c r="Q480" i="42"/>
  <c r="Q489" i="42"/>
  <c r="Q70" i="42"/>
  <c r="Q257" i="40"/>
  <c r="Q284" i="40"/>
  <c r="G7" i="40"/>
  <c r="Q21" i="40"/>
  <c r="Q335" i="42"/>
  <c r="Q452" i="42"/>
  <c r="R199" i="42"/>
  <c r="Q245" i="40"/>
  <c r="R486" i="40"/>
  <c r="R6" i="42"/>
  <c r="Q91" i="40"/>
  <c r="R226" i="40"/>
  <c r="R426" i="42"/>
  <c r="Q285" i="40"/>
  <c r="Q523" i="40"/>
  <c r="Q286" i="40"/>
  <c r="Q58" i="42"/>
  <c r="Q185" i="40"/>
  <c r="Q212" i="40"/>
  <c r="R76" i="40"/>
  <c r="R109" i="42"/>
  <c r="Q297" i="40"/>
  <c r="Q559" i="40"/>
  <c r="Q452" i="40"/>
  <c r="Q497" i="40"/>
  <c r="Q521" i="42"/>
  <c r="Q143" i="42"/>
  <c r="Q453" i="40"/>
  <c r="R69" i="42"/>
  <c r="R244" i="40"/>
  <c r="Q53" i="40"/>
  <c r="Q463" i="42"/>
  <c r="Q548" i="42"/>
  <c r="Q75" i="40"/>
  <c r="Q172" i="42"/>
  <c r="R563" i="42"/>
  <c r="R463" i="40"/>
  <c r="Q581" i="40"/>
  <c r="Q573" i="42"/>
  <c r="Q502" i="40"/>
  <c r="Q378" i="42"/>
  <c r="Q508" i="40"/>
  <c r="Q417" i="42"/>
  <c r="Q414" i="42"/>
  <c r="Q348" i="42"/>
  <c r="Q350" i="40"/>
  <c r="R197" i="40"/>
  <c r="R573" i="40"/>
  <c r="Q71" i="42"/>
  <c r="R217" i="42"/>
  <c r="R133" i="40"/>
  <c r="R254" i="42"/>
  <c r="Q183" i="40"/>
  <c r="Q455" i="40"/>
  <c r="Q483" i="42"/>
  <c r="Q442" i="40"/>
  <c r="Q42" i="42"/>
  <c r="Q180" i="42"/>
  <c r="Q104" i="40"/>
  <c r="Q136" i="42"/>
  <c r="R301" i="40"/>
  <c r="E2" i="35" a="1"/>
  <c r="Q235" i="40"/>
  <c r="Q327" i="42"/>
  <c r="Q478" i="40"/>
  <c r="Q134" i="40"/>
  <c r="R157" i="40"/>
  <c r="Q276" i="40"/>
  <c r="R150" i="40"/>
  <c r="R212" i="42"/>
  <c r="Q239" i="40"/>
  <c r="Q395" i="42"/>
  <c r="Q484" i="40"/>
  <c r="Q529" i="40"/>
  <c r="Q553" i="42"/>
  <c r="Q209" i="42"/>
  <c r="Q85" i="40"/>
  <c r="R425" i="40"/>
  <c r="R321" i="40"/>
  <c r="Q160" i="40"/>
  <c r="Q495" i="42"/>
  <c r="Q565" i="40"/>
  <c r="Q353" i="40"/>
  <c r="Q223" i="40"/>
  <c r="R171" i="42"/>
  <c r="Q36" i="40"/>
  <c r="Q478" i="42"/>
  <c r="Q412" i="42"/>
  <c r="Q542" i="40"/>
  <c r="Q120" i="40"/>
  <c r="Q15" i="40"/>
  <c r="Q221" i="42"/>
  <c r="Q36" i="42"/>
  <c r="R214" i="40"/>
  <c r="R540" i="42"/>
  <c r="Q224" i="40"/>
  <c r="Q487" i="40"/>
  <c r="Q348" i="40"/>
  <c r="Q94" i="42"/>
  <c r="Q129" i="42"/>
  <c r="R490" i="42"/>
  <c r="Q149" i="42"/>
  <c r="Q191" i="42"/>
  <c r="R530" i="40"/>
  <c r="R413" i="40"/>
  <c r="Q267" i="40"/>
  <c r="Q487" i="42"/>
  <c r="Q162" i="42"/>
  <c r="Q204" i="42"/>
  <c r="Q39" i="42"/>
  <c r="R67" i="42"/>
  <c r="R236" i="40"/>
  <c r="R419" i="40"/>
  <c r="Q271" i="40"/>
  <c r="Q427" i="42"/>
  <c r="Q516" i="40"/>
  <c r="Q561" i="40"/>
  <c r="Q290" i="40"/>
  <c r="Q280" i="42"/>
  <c r="Q140" i="40"/>
  <c r="R145" i="40"/>
  <c r="R391" i="40"/>
  <c r="Q243" i="40"/>
  <c r="Q328" i="40"/>
  <c r="Q269" i="42"/>
  <c r="Q43" i="40"/>
  <c r="R204" i="40"/>
  <c r="Q25" i="40"/>
  <c r="R260" i="40"/>
  <c r="Q508" i="42"/>
  <c r="Q98" i="42"/>
  <c r="Q264" i="40"/>
  <c r="Q71" i="40"/>
  <c r="Q292" i="40"/>
  <c r="Q86" i="40"/>
  <c r="R287" i="40"/>
  <c r="R71" i="40"/>
  <c r="Q277" i="40"/>
  <c r="Q519" i="40"/>
  <c r="Q380" i="40"/>
  <c r="Q254" i="42"/>
  <c r="Q184" i="42"/>
  <c r="R103" i="40"/>
  <c r="Q207" i="40"/>
  <c r="Q247" i="42"/>
  <c r="R532" i="42"/>
  <c r="Q13" i="40"/>
  <c r="Q299" i="40"/>
  <c r="Q384" i="40"/>
  <c r="Q258" i="42"/>
  <c r="Q272" i="42"/>
  <c r="Q80" i="42"/>
  <c r="Q52" i="42"/>
  <c r="R311" i="40"/>
  <c r="R246" i="40"/>
  <c r="Q303" i="40"/>
  <c r="Q459" i="42"/>
  <c r="Q352" i="42"/>
  <c r="Q265" i="42"/>
  <c r="Q322" i="40"/>
  <c r="R260" i="42"/>
  <c r="Q185" i="42"/>
  <c r="Q155" i="40"/>
  <c r="R550" i="40"/>
  <c r="Q275" i="40"/>
  <c r="Q456" i="40"/>
  <c r="Q365" i="42"/>
  <c r="Q103" i="40"/>
  <c r="Q104" i="42"/>
  <c r="Q128" i="40"/>
  <c r="J15" i="40"/>
  <c r="Q476" i="42"/>
  <c r="Q318" i="40"/>
  <c r="Q115" i="42"/>
  <c r="R196" i="40"/>
  <c r="R308" i="40"/>
  <c r="Q252" i="42"/>
  <c r="Q312" i="40"/>
  <c r="R515" i="40"/>
  <c r="Q4" i="42"/>
  <c r="Q291" i="40"/>
  <c r="Q319" i="42"/>
  <c r="Q440" i="40"/>
  <c r="Q468" i="42"/>
  <c r="Q349" i="42"/>
  <c r="Q342" i="40"/>
  <c r="Q154" i="42"/>
  <c r="Q474" i="42"/>
  <c r="Q472" i="42"/>
  <c r="Q378" i="40"/>
  <c r="Q295" i="42"/>
  <c r="Q325" i="42"/>
  <c r="Q194" i="42"/>
  <c r="R182" i="40"/>
  <c r="Q227" i="40"/>
  <c r="Q48" i="40"/>
  <c r="Q132" i="40"/>
  <c r="R522" i="40"/>
  <c r="R234" i="40"/>
  <c r="Q469" i="40"/>
  <c r="Q323" i="42"/>
  <c r="Q476" i="40"/>
  <c r="Q322" i="42"/>
  <c r="R288" i="40"/>
  <c r="Q35" i="42"/>
  <c r="Q268" i="40"/>
  <c r="J7" i="43"/>
  <c r="L7" i="43" s="1"/>
  <c r="R446" i="42"/>
  <c r="Q45" i="40"/>
  <c r="Q395" i="40"/>
  <c r="Q544" i="40"/>
  <c r="Q57" i="42"/>
  <c r="R473" i="40"/>
  <c r="Q126" i="40"/>
  <c r="Q95" i="42"/>
  <c r="R378" i="40"/>
  <c r="Q17" i="40"/>
  <c r="Q431" i="40"/>
  <c r="Q491" i="42"/>
  <c r="Q384" i="42"/>
  <c r="Q297" i="42"/>
  <c r="Q92" i="40"/>
  <c r="Q84" i="42"/>
  <c r="Q239" i="42"/>
  <c r="Q201" i="42"/>
  <c r="R524" i="42"/>
  <c r="Q371" i="40"/>
  <c r="Q488" i="40"/>
  <c r="Q493" i="42"/>
  <c r="Q265" i="40"/>
  <c r="Q159" i="42"/>
  <c r="Q247" i="40"/>
  <c r="R566" i="40"/>
  <c r="R350" i="42"/>
  <c r="R89" i="42"/>
  <c r="R427" i="42"/>
  <c r="R290" i="42"/>
  <c r="R91" i="40"/>
  <c r="R484" i="40"/>
  <c r="R86" i="42"/>
  <c r="Q115" i="40"/>
  <c r="I21" i="44"/>
  <c r="R342" i="40"/>
  <c r="J16" i="40"/>
  <c r="R130" i="42"/>
  <c r="R198" i="42"/>
  <c r="R146" i="40"/>
  <c r="R134" i="42"/>
  <c r="R388" i="40"/>
  <c r="Q192" i="42"/>
  <c r="Q70" i="40"/>
  <c r="R216" i="40"/>
  <c r="R295" i="42"/>
  <c r="R249" i="42"/>
  <c r="R35" i="40"/>
  <c r="R348" i="42"/>
  <c r="L4" i="34"/>
  <c r="R107" i="42"/>
  <c r="R408" i="42"/>
  <c r="Q241" i="42"/>
  <c r="Q111" i="40"/>
  <c r="I20" i="44"/>
  <c r="R98" i="42"/>
  <c r="R262" i="40"/>
  <c r="R69" i="40"/>
  <c r="R31" i="42"/>
  <c r="R72" i="40"/>
  <c r="R550" i="42"/>
  <c r="R513" i="40"/>
  <c r="G13" i="40"/>
  <c r="R114" i="40"/>
  <c r="R14" i="42"/>
  <c r="R191" i="40"/>
  <c r="R445" i="40"/>
  <c r="Q29" i="42"/>
  <c r="R397" i="40"/>
  <c r="Q417" i="40"/>
  <c r="Q281" i="40"/>
  <c r="Q275" i="42"/>
  <c r="R433" i="40"/>
  <c r="R389" i="42"/>
  <c r="R505" i="40"/>
  <c r="R465" i="40"/>
  <c r="Q173" i="42"/>
  <c r="Q383" i="40"/>
  <c r="Q347" i="42"/>
  <c r="Q340" i="40"/>
  <c r="Q304" i="42"/>
  <c r="Q560" i="42"/>
  <c r="Q377" i="42"/>
  <c r="Q242" i="40"/>
  <c r="Q498" i="40"/>
  <c r="Q246" i="42"/>
  <c r="Q502" i="42"/>
  <c r="Q385" i="42"/>
  <c r="Q158" i="42"/>
  <c r="Q455" i="42"/>
  <c r="Q540" i="42"/>
  <c r="Q414" i="40"/>
  <c r="Q236" i="42"/>
  <c r="R360" i="40"/>
  <c r="Q67" i="42"/>
  <c r="Q429" i="40"/>
  <c r="R291" i="42"/>
  <c r="R471" i="42"/>
  <c r="Q37" i="40"/>
  <c r="Q323" i="40"/>
  <c r="Q351" i="42"/>
  <c r="Q472" i="40"/>
  <c r="Q500" i="42"/>
  <c r="Q381" i="42"/>
  <c r="Q374" i="40"/>
  <c r="Q186" i="42"/>
  <c r="Q506" i="42"/>
  <c r="Q568" i="42"/>
  <c r="Q474" i="40"/>
  <c r="Q423" i="42"/>
  <c r="Q421" i="42"/>
  <c r="Q226" i="42"/>
  <c r="Q38" i="42"/>
  <c r="Q305" i="40"/>
  <c r="Q99" i="42"/>
  <c r="Q177" i="42"/>
  <c r="R483" i="42"/>
  <c r="R310" i="40"/>
  <c r="Q263" i="40"/>
  <c r="Q355" i="42"/>
  <c r="Q572" i="40"/>
  <c r="Q25" i="42"/>
  <c r="R430" i="40"/>
  <c r="Q76" i="40"/>
  <c r="R404" i="42"/>
  <c r="K2" i="34"/>
  <c r="R286" i="42"/>
  <c r="Q77" i="42"/>
  <c r="Q427" i="40"/>
  <c r="Q444" i="42"/>
  <c r="Q377" i="40"/>
  <c r="Q35" i="40"/>
  <c r="Q181" i="40"/>
  <c r="Q141" i="40"/>
  <c r="R571" i="42"/>
  <c r="Q49" i="40"/>
  <c r="Q463" i="40"/>
  <c r="Q523" i="42"/>
  <c r="Q416" i="42"/>
  <c r="Q425" i="42"/>
  <c r="R349" i="40"/>
  <c r="Q144" i="40"/>
  <c r="Q425" i="40"/>
  <c r="Q260" i="42"/>
  <c r="R289" i="42"/>
  <c r="Q499" i="40"/>
  <c r="Q292" i="42"/>
  <c r="Q525" i="42"/>
  <c r="Q47" i="42"/>
  <c r="Q465" i="40"/>
  <c r="Q503" i="40"/>
  <c r="R142" i="42"/>
  <c r="R569" i="40"/>
  <c r="R20" i="42"/>
  <c r="R196" i="42"/>
  <c r="R454" i="42"/>
  <c r="R76" i="42"/>
  <c r="I24" i="39"/>
  <c r="R258" i="42"/>
  <c r="R468" i="42"/>
  <c r="Q151" i="42"/>
  <c r="Q34" i="40"/>
  <c r="R363" i="42"/>
  <c r="R167" i="42"/>
  <c r="R88" i="40"/>
  <c r="R414" i="42"/>
  <c r="I22" i="43"/>
  <c r="R53" i="42"/>
  <c r="R576" i="40"/>
  <c r="Q236" i="40"/>
  <c r="Q106" i="40"/>
  <c r="J6" i="44"/>
  <c r="L6" i="44" s="1"/>
  <c r="R334" i="40"/>
  <c r="R364" i="40"/>
  <c r="R37" i="40"/>
  <c r="R424" i="42"/>
  <c r="R38" i="40"/>
  <c r="R146" i="42"/>
  <c r="R228" i="40"/>
  <c r="Q316" i="40"/>
  <c r="Q147" i="42"/>
  <c r="Q34" i="42"/>
  <c r="R420" i="42"/>
  <c r="R408" i="40"/>
  <c r="R70" i="40"/>
  <c r="R96" i="42"/>
  <c r="R180" i="40"/>
  <c r="R32" i="40"/>
  <c r="R28" i="42"/>
  <c r="R270" i="40"/>
  <c r="R105" i="40"/>
  <c r="R471" i="40"/>
  <c r="R306" i="42"/>
  <c r="R555" i="42"/>
  <c r="Q61" i="42"/>
  <c r="Q83" i="42"/>
  <c r="R402" i="40"/>
  <c r="R298" i="42"/>
  <c r="Q40" i="40"/>
  <c r="R53" i="40"/>
  <c r="J4" i="40"/>
  <c r="R577" i="40"/>
  <c r="R549" i="40"/>
  <c r="Q213" i="40"/>
  <c r="Q415" i="40"/>
  <c r="Q379" i="42"/>
  <c r="Q372" i="40"/>
  <c r="Q336" i="42"/>
  <c r="Q481" i="40"/>
  <c r="Q409" i="42"/>
  <c r="Q274" i="40"/>
  <c r="Q530" i="40"/>
  <c r="Q278" i="42"/>
  <c r="Q534" i="42"/>
  <c r="Q449" i="42"/>
  <c r="Q222" i="42"/>
  <c r="Q551" i="42"/>
  <c r="Q525" i="40"/>
  <c r="Q510" i="40"/>
  <c r="R341" i="40"/>
  <c r="Q67" i="40"/>
  <c r="Q112" i="42"/>
  <c r="R206" i="42"/>
  <c r="B6" i="35"/>
  <c r="R205" i="42"/>
  <c r="Q69" i="40"/>
  <c r="Q355" i="40"/>
  <c r="Q447" i="42"/>
  <c r="Q504" i="40"/>
  <c r="Q532" i="42"/>
  <c r="Q477" i="42"/>
  <c r="Q406" i="40"/>
  <c r="Q218" i="42"/>
  <c r="Q579" i="42"/>
  <c r="Q521" i="40"/>
  <c r="Q538" i="40"/>
  <c r="Q416" i="40"/>
  <c r="Q485" i="42"/>
  <c r="Q290" i="42"/>
  <c r="Q256" i="42"/>
  <c r="R90" i="42"/>
  <c r="Q145" i="40"/>
  <c r="R288" i="42"/>
  <c r="R509" i="42"/>
  <c r="Q9" i="40"/>
  <c r="Q359" i="40"/>
  <c r="Q387" i="42"/>
  <c r="Q408" i="42"/>
  <c r="Q152" i="40"/>
  <c r="Q19" i="40"/>
  <c r="Q121" i="42"/>
  <c r="I22" i="44"/>
  <c r="R64" i="40"/>
  <c r="R421" i="42"/>
  <c r="Q187" i="42"/>
  <c r="Q459" i="40"/>
  <c r="Q572" i="42"/>
  <c r="Q301" i="40"/>
  <c r="Q80" i="40"/>
  <c r="Q108" i="42"/>
  <c r="Q196" i="42"/>
  <c r="R500" i="42"/>
  <c r="Q82" i="40"/>
  <c r="Q495" i="40"/>
  <c r="Q388" i="40"/>
  <c r="Q448" i="42"/>
  <c r="Q457" i="42"/>
  <c r="Q46" i="40"/>
  <c r="Q189" i="42"/>
  <c r="Q217" i="40"/>
  <c r="Q433" i="40"/>
  <c r="R129" i="42"/>
  <c r="Q531" i="40"/>
  <c r="Q420" i="42"/>
  <c r="R152" i="40"/>
  <c r="Q89" i="42"/>
  <c r="R252" i="40"/>
  <c r="Q79" i="40"/>
  <c r="Q208" i="40"/>
  <c r="R171" i="40"/>
  <c r="R438" i="42"/>
  <c r="R56" i="42"/>
  <c r="Q341" i="40"/>
  <c r="Q471" i="40"/>
  <c r="R560" i="40"/>
  <c r="Q385" i="40"/>
  <c r="Q273" i="40"/>
  <c r="Q267" i="42"/>
  <c r="R579" i="42"/>
  <c r="R419" i="42"/>
  <c r="R497" i="40"/>
  <c r="R10" i="42"/>
  <c r="Q169" i="40"/>
  <c r="Q379" i="40"/>
  <c r="Q343" i="42"/>
  <c r="Q336" i="40"/>
  <c r="Q300" i="42"/>
  <c r="Q309" i="42"/>
  <c r="Q102" i="42"/>
  <c r="Q562" i="42"/>
  <c r="Q394" i="40"/>
  <c r="Q520" i="42"/>
  <c r="Q486" i="40"/>
  <c r="Q466" i="42"/>
  <c r="Q114" i="42"/>
  <c r="Q458" i="42"/>
  <c r="Q202" i="40"/>
  <c r="Q370" i="42"/>
  <c r="Q552" i="42"/>
  <c r="Q430" i="42"/>
  <c r="Q373" i="42"/>
  <c r="Q134" i="42"/>
  <c r="Q556" i="40"/>
  <c r="Q390" i="40"/>
  <c r="Q394" i="42"/>
  <c r="Q296" i="42"/>
  <c r="Q328" i="42"/>
  <c r="Q398" i="40"/>
  <c r="K2" i="35"/>
  <c r="Q411" i="40"/>
  <c r="Q375" i="42"/>
  <c r="Q368" i="40"/>
  <c r="Q332" i="42"/>
  <c r="Q437" i="42"/>
  <c r="Q166" i="42"/>
  <c r="Q302" i="42"/>
  <c r="Q206" i="42"/>
  <c r="Q537" i="40"/>
  <c r="Q550" i="40"/>
  <c r="Q522" i="42"/>
  <c r="Q178" i="42"/>
  <c r="Q467" i="42"/>
  <c r="Q294" i="40"/>
  <c r="Q390" i="42"/>
  <c r="Q569" i="40"/>
  <c r="Q238" i="40"/>
  <c r="Q501" i="42"/>
  <c r="Q198" i="42"/>
  <c r="Q456" i="42"/>
  <c r="Q454" i="40"/>
  <c r="Q450" i="42"/>
  <c r="Q460" i="42"/>
  <c r="Q488" i="42"/>
  <c r="Q462" i="40"/>
  <c r="K3" i="35"/>
  <c r="R74" i="42"/>
  <c r="Q87" i="40"/>
  <c r="Q307" i="40"/>
  <c r="Q563" i="40"/>
  <c r="Q527" i="42"/>
  <c r="Q520" i="40"/>
  <c r="Q484" i="42"/>
  <c r="Q301" i="42"/>
  <c r="Q557" i="42"/>
  <c r="Q148" i="40"/>
  <c r="Q148" i="42"/>
  <c r="Q144" i="42"/>
  <c r="Q293" i="40"/>
  <c r="Q207" i="42"/>
  <c r="R329" i="40"/>
  <c r="R382" i="42"/>
  <c r="Q57" i="40"/>
  <c r="Q279" i="40"/>
  <c r="Q535" i="40"/>
  <c r="Q215" i="40"/>
  <c r="R160" i="40"/>
  <c r="R417" i="40"/>
  <c r="Q76" i="42"/>
  <c r="Q24" i="42"/>
  <c r="R25" i="40"/>
  <c r="R504" i="42"/>
  <c r="R193" i="40"/>
  <c r="Q253" i="42"/>
  <c r="Q443" i="40"/>
  <c r="Q407" i="42"/>
  <c r="Q400" i="40"/>
  <c r="Q364" i="42"/>
  <c r="Q565" i="42"/>
  <c r="Q230" i="42"/>
  <c r="Q482" i="42"/>
  <c r="Q498" i="42"/>
  <c r="Q337" i="42"/>
  <c r="Q106" i="42"/>
  <c r="Q578" i="42"/>
  <c r="Q306" i="42"/>
  <c r="Q460" i="40"/>
  <c r="Q362" i="40"/>
  <c r="Q522" i="40"/>
  <c r="Q369" i="42"/>
  <c r="Q338" i="42"/>
  <c r="Q230" i="40"/>
  <c r="Q262" i="42"/>
  <c r="Q473" i="40"/>
  <c r="Q518" i="40"/>
  <c r="Q494" i="42"/>
  <c r="Q477" i="40"/>
  <c r="Q505" i="40"/>
  <c r="Q526" i="40"/>
  <c r="K5" i="35"/>
  <c r="R475" i="40"/>
  <c r="R332" i="42"/>
  <c r="Q123" i="42"/>
  <c r="Q339" i="40"/>
  <c r="Q303" i="42"/>
  <c r="Q559" i="42"/>
  <c r="Q552" i="40"/>
  <c r="Q516" i="42"/>
  <c r="Q333" i="42"/>
  <c r="Q128" i="42"/>
  <c r="Q215" i="42"/>
  <c r="Q195" i="40"/>
  <c r="Q190" i="40"/>
  <c r="R442" i="42"/>
  <c r="Q268" i="42"/>
  <c r="R399" i="40"/>
  <c r="R342" i="42"/>
  <c r="Q91" i="42"/>
  <c r="Q311" i="40"/>
  <c r="Q567" i="40"/>
  <c r="R532" i="40"/>
  <c r="Q3" i="42"/>
  <c r="Q11" i="42"/>
  <c r="Q131" i="42"/>
  <c r="Q64" i="42"/>
  <c r="R106" i="40"/>
  <c r="R495" i="42"/>
  <c r="R267" i="42"/>
  <c r="Q373" i="40"/>
  <c r="Q475" i="40"/>
  <c r="Q439" i="42"/>
  <c r="Q432" i="40"/>
  <c r="Q403" i="42"/>
  <c r="Q266" i="40"/>
  <c r="Q294" i="42"/>
  <c r="Q558" i="40"/>
  <c r="Q274" i="42"/>
  <c r="Q465" i="42"/>
  <c r="Q170" i="42"/>
  <c r="Q554" i="40"/>
  <c r="Q530" i="42"/>
  <c r="Q396" i="42"/>
  <c r="Q426" i="40"/>
  <c r="Q334" i="42"/>
  <c r="Q497" i="42"/>
  <c r="Q531" i="42"/>
  <c r="Q302" i="40"/>
  <c r="Q326" i="42"/>
  <c r="Q273" i="42"/>
  <c r="Q74" i="42"/>
  <c r="Q550" i="42"/>
  <c r="Q277" i="42"/>
  <c r="Q305" i="42"/>
  <c r="Q82" i="42"/>
  <c r="Q343" i="40"/>
  <c r="Q307" i="42"/>
  <c r="Q6" i="42"/>
  <c r="Q47" i="40"/>
  <c r="Q51" i="42"/>
  <c r="Q177" i="40"/>
  <c r="Q118" i="40"/>
  <c r="R179" i="40"/>
  <c r="R531" i="42"/>
  <c r="Q29" i="40"/>
  <c r="Q251" i="40"/>
  <c r="Q507" i="40"/>
  <c r="Q471" i="42"/>
  <c r="Q464" i="40"/>
  <c r="Q396" i="40"/>
  <c r="Q354" i="40"/>
  <c r="Q358" i="42"/>
  <c r="Q242" i="42"/>
  <c r="Q558" i="42"/>
  <c r="Q198" i="40"/>
  <c r="Q234" i="42"/>
  <c r="Q174" i="42"/>
  <c r="Q490" i="42"/>
  <c r="Q524" i="42"/>
  <c r="Q490" i="40"/>
  <c r="Q210" i="42"/>
  <c r="Q206" i="40"/>
  <c r="Q524" i="40"/>
  <c r="Q386" i="40"/>
  <c r="Q458" i="40"/>
  <c r="Q401" i="42"/>
  <c r="Q138" i="42"/>
  <c r="Q78" i="42"/>
  <c r="Q405" i="42"/>
  <c r="Q433" i="42"/>
  <c r="Q146" i="42"/>
  <c r="Q237" i="42"/>
  <c r="Q232" i="42"/>
  <c r="R551" i="40"/>
  <c r="Q401" i="40"/>
  <c r="R462" i="40"/>
  <c r="R325" i="42"/>
  <c r="Q119" i="40"/>
  <c r="Q335" i="40"/>
  <c r="Q299" i="42"/>
  <c r="Q555" i="42"/>
  <c r="Q548" i="40"/>
  <c r="Q512" i="42"/>
  <c r="Q329" i="42"/>
  <c r="Q194" i="40"/>
  <c r="Q188" i="42"/>
  <c r="R469" i="40"/>
  <c r="R30" i="40"/>
  <c r="Q68" i="40"/>
  <c r="Q16" i="42"/>
  <c r="R8" i="40"/>
  <c r="R506" i="42"/>
  <c r="R529" i="40"/>
  <c r="Q197" i="40"/>
  <c r="Q403" i="40"/>
  <c r="Q367" i="42"/>
  <c r="Q360" i="40"/>
  <c r="Q324" i="42"/>
  <c r="Q580" i="42"/>
  <c r="Q397" i="42"/>
  <c r="Q50" i="40"/>
  <c r="R84" i="42"/>
  <c r="R68" i="40"/>
  <c r="Q457" i="40"/>
  <c r="R516" i="42"/>
  <c r="J2" i="40"/>
  <c r="R558" i="42"/>
  <c r="R271" i="42"/>
  <c r="Q164" i="42"/>
  <c r="Q375" i="40"/>
  <c r="Q339" i="42"/>
  <c r="Q93" i="40"/>
  <c r="Q107" i="42"/>
  <c r="Q103" i="42"/>
  <c r="Q228" i="40"/>
  <c r="Q164" i="40"/>
  <c r="R263" i="42"/>
  <c r="R402" i="42"/>
  <c r="Q61" i="40"/>
  <c r="Q283" i="40"/>
  <c r="Q539" i="40"/>
  <c r="Q503" i="42"/>
  <c r="Q496" i="40"/>
  <c r="Q360" i="42"/>
  <c r="Q418" i="40"/>
  <c r="Q418" i="42"/>
  <c r="Q486" i="42"/>
  <c r="Q435" i="42"/>
  <c r="Q270" i="40"/>
  <c r="Q298" i="42"/>
  <c r="Q238" i="42"/>
  <c r="Q330" i="40"/>
  <c r="Q541" i="40"/>
  <c r="Q110" i="42"/>
  <c r="Q499" i="42"/>
  <c r="Q298" i="40"/>
  <c r="Q428" i="42"/>
  <c r="Q450" i="40"/>
  <c r="Q398" i="42"/>
  <c r="Q529" i="42"/>
  <c r="Q202" i="42"/>
  <c r="Q554" i="42"/>
  <c r="Q533" i="42"/>
  <c r="Q561" i="42"/>
  <c r="I31" i="46"/>
  <c r="Q11" i="40"/>
  <c r="Q19" i="42"/>
  <c r="Q140" i="42"/>
  <c r="Q81" i="42"/>
  <c r="R45" i="40"/>
  <c r="R501" i="42"/>
  <c r="R423" i="40"/>
  <c r="Q219" i="40"/>
  <c r="Q419" i="40"/>
  <c r="Q383" i="42"/>
  <c r="Q376" i="40"/>
  <c r="Q340" i="42"/>
  <c r="Q485" i="40"/>
  <c r="Q413" i="42"/>
  <c r="Q278" i="40"/>
  <c r="Q534" i="40"/>
  <c r="Q282" i="42"/>
  <c r="Q538" i="42"/>
  <c r="Q376" i="42"/>
  <c r="Q513" i="42"/>
  <c r="Q190" i="42"/>
  <c r="Q519" i="42"/>
  <c r="Q493" i="40"/>
  <c r="Q382" i="40"/>
  <c r="Q386" i="42"/>
  <c r="Q111" i="42"/>
  <c r="Q121" i="40"/>
  <c r="Q117" i="40"/>
  <c r="Q260" i="40"/>
  <c r="Q240" i="42"/>
  <c r="R362" i="40"/>
  <c r="R29" i="42"/>
  <c r="Q73" i="40"/>
  <c r="Q295" i="40"/>
  <c r="Q551" i="40"/>
  <c r="Q515" i="42"/>
  <c r="Q289" i="42"/>
  <c r="Q345" i="40"/>
  <c r="Q264" i="42"/>
  <c r="Q232" i="40"/>
  <c r="Q227" i="42"/>
  <c r="R225" i="40"/>
  <c r="Q369" i="40"/>
  <c r="R369" i="40"/>
  <c r="R496" i="42"/>
  <c r="Q114" i="40"/>
  <c r="Q331" i="40"/>
  <c r="Q359" i="42"/>
  <c r="Q389" i="42"/>
  <c r="Q18" i="40"/>
  <c r="R253" i="42"/>
  <c r="Q421" i="40"/>
  <c r="Q329" i="40"/>
  <c r="R296" i="40"/>
  <c r="I19" i="39"/>
  <c r="R540" i="40"/>
  <c r="R314" i="42"/>
  <c r="Q155" i="42"/>
  <c r="Q367" i="40"/>
  <c r="Q331" i="42"/>
  <c r="Q324" i="40"/>
  <c r="Q580" i="40"/>
  <c r="Q544" i="42"/>
  <c r="Q361" i="42"/>
  <c r="Q226" i="40"/>
  <c r="Q413" i="40"/>
  <c r="R326" i="40"/>
  <c r="Q3" i="40"/>
  <c r="Q113" i="40"/>
  <c r="Q56" i="42"/>
  <c r="R84" i="40"/>
  <c r="R418" i="42"/>
  <c r="R181" i="40"/>
  <c r="Q241" i="40"/>
  <c r="Q435" i="40"/>
  <c r="Q399" i="42"/>
  <c r="Q392" i="40"/>
  <c r="Q356" i="42"/>
  <c r="Q501" i="40"/>
  <c r="Q429" i="42"/>
  <c r="Q193" i="40"/>
  <c r="R316" i="40"/>
  <c r="R357" i="40"/>
  <c r="Q72" i="40"/>
  <c r="Q20" i="42"/>
  <c r="R17" i="40"/>
  <c r="R201" i="42"/>
  <c r="R409" i="42"/>
  <c r="Q203" i="40"/>
  <c r="Q407" i="40"/>
  <c r="Q371" i="42"/>
  <c r="Q166" i="40"/>
  <c r="Q153" i="40"/>
  <c r="Q149" i="40"/>
  <c r="Q365" i="40"/>
  <c r="Q212" i="42"/>
  <c r="R336" i="42"/>
  <c r="R572" i="42"/>
  <c r="Q96" i="40"/>
  <c r="Q315" i="40"/>
  <c r="Q571" i="40"/>
  <c r="Q535" i="42"/>
  <c r="Q528" i="40"/>
  <c r="Q492" i="42"/>
  <c r="Q482" i="40"/>
  <c r="Q462" i="42"/>
  <c r="Q434" i="42"/>
  <c r="Q428" i="40"/>
  <c r="Q358" i="40"/>
  <c r="Q362" i="42"/>
  <c r="Q426" i="42"/>
  <c r="Q270" i="42"/>
  <c r="Q341" i="42"/>
  <c r="Q366" i="42"/>
  <c r="Q492" i="40"/>
  <c r="Q366" i="40"/>
  <c r="Q556" i="42"/>
  <c r="Q514" i="40"/>
  <c r="Q402" i="42"/>
  <c r="Q234" i="40"/>
  <c r="Q266" i="42"/>
  <c r="Q514" i="42"/>
  <c r="Q142" i="42"/>
  <c r="Q262" i="40"/>
  <c r="K6" i="35"/>
  <c r="Q186" i="40"/>
  <c r="Q127" i="42"/>
  <c r="R123" i="40"/>
  <c r="R580" i="42"/>
  <c r="R503" i="42"/>
  <c r="Q269" i="40"/>
  <c r="Q451" i="40"/>
  <c r="Q415" i="42"/>
  <c r="Q408" i="40"/>
  <c r="Q372" i="42"/>
  <c r="Q517" i="40"/>
  <c r="Q445" i="42"/>
  <c r="Q310" i="40"/>
  <c r="Q566" i="40"/>
  <c r="Q314" i="42"/>
  <c r="Q570" i="42"/>
  <c r="Q440" i="42"/>
  <c r="Q577" i="42"/>
  <c r="Q286" i="42"/>
  <c r="Q320" i="40"/>
  <c r="Q557" i="40"/>
  <c r="Q446" i="40"/>
  <c r="R293" i="40"/>
  <c r="Q180" i="40"/>
  <c r="Q176" i="40"/>
  <c r="Q163" i="40"/>
  <c r="Q461" i="40"/>
  <c r="Q337" i="40"/>
  <c r="R440" i="42"/>
  <c r="R213" i="42"/>
  <c r="Q109" i="42"/>
  <c r="Q327" i="40"/>
  <c r="Q291" i="42"/>
  <c r="Q547" i="42"/>
  <c r="Q481" i="42"/>
  <c r="Q14" i="40"/>
  <c r="R279" i="42"/>
  <c r="Q389" i="40"/>
  <c r="Q308" i="40"/>
  <c r="R467" i="40"/>
  <c r="R352" i="40"/>
  <c r="R451" i="40"/>
  <c r="R499" i="42"/>
  <c r="Q151" i="40"/>
  <c r="Q363" i="40"/>
  <c r="Q391" i="42"/>
  <c r="Q517" i="42"/>
  <c r="Q156" i="42"/>
  <c r="R95" i="40"/>
  <c r="R337" i="42"/>
  <c r="Q64" i="40"/>
  <c r="Q5" i="40"/>
  <c r="I19" i="43"/>
  <c r="R562" i="42"/>
  <c r="R205" i="40"/>
  <c r="Q192" i="40"/>
  <c r="Q399" i="40"/>
  <c r="Q363" i="42"/>
  <c r="Q356" i="40"/>
  <c r="Q320" i="42"/>
  <c r="Q576" i="42"/>
  <c r="Q393" i="42"/>
  <c r="Q258" i="40"/>
  <c r="R487" i="40"/>
  <c r="Q39" i="40"/>
  <c r="Q43" i="42"/>
  <c r="Q168" i="40"/>
  <c r="Q100" i="40"/>
  <c r="R162" i="42"/>
  <c r="R91" i="42"/>
  <c r="R10" i="40"/>
  <c r="Q313" i="40"/>
  <c r="Q467" i="40"/>
  <c r="Q431" i="42"/>
  <c r="Q424" i="40"/>
  <c r="Q388" i="42"/>
  <c r="Q533" i="40"/>
  <c r="Q461" i="42"/>
  <c r="R208" i="40"/>
  <c r="R139" i="42"/>
  <c r="Q7" i="42"/>
  <c r="Q117" i="42"/>
  <c r="Q60" i="42"/>
  <c r="R96" i="40"/>
  <c r="R233" i="42"/>
  <c r="R449" i="40"/>
  <c r="Q248" i="40"/>
  <c r="Q439" i="40"/>
  <c r="Q165" i="40"/>
  <c r="Q220" i="42"/>
  <c r="Q211" i="40"/>
  <c r="Q195" i="42"/>
  <c r="R241" i="42"/>
  <c r="Q276" i="42"/>
  <c r="R412" i="40"/>
  <c r="R269" i="42"/>
  <c r="Q132" i="42"/>
  <c r="Q347" i="40"/>
  <c r="Q311" i="42"/>
  <c r="Q567" i="42"/>
  <c r="Q560" i="40"/>
  <c r="Q509" i="40"/>
  <c r="Q546" i="40"/>
  <c r="Q518" i="42"/>
  <c r="Q546" i="42"/>
  <c r="Q392" i="42"/>
  <c r="Q422" i="40"/>
  <c r="Q422" i="42"/>
  <c r="Q526" i="42"/>
  <c r="Q454" i="42"/>
  <c r="Q469" i="42"/>
  <c r="Q494" i="40"/>
  <c r="Q424" i="42"/>
  <c r="Q430" i="40"/>
  <c r="Q573" i="40"/>
  <c r="Q578" i="40"/>
  <c r="Q563" i="42"/>
  <c r="Q326" i="40"/>
  <c r="Q330" i="42"/>
  <c r="Q332" i="40"/>
  <c r="Q364" i="40"/>
  <c r="Q334" i="40"/>
  <c r="K4" i="35"/>
  <c r="G2" i="42"/>
  <c r="E3" i="39"/>
  <c r="E3" i="43"/>
  <c r="E3" i="44"/>
  <c r="G2" i="40"/>
  <c r="E3" i="46"/>
  <c r="J39" i="29"/>
  <c r="J38" i="29"/>
  <c r="F3" i="39"/>
  <c r="J10" i="39"/>
  <c r="F3" i="43"/>
  <c r="J10" i="43"/>
  <c r="J10" i="44"/>
  <c r="F3" i="44"/>
  <c r="F3" i="46"/>
  <c r="J10" i="46"/>
  <c r="G3" i="39"/>
  <c r="H3" i="39" s="1"/>
  <c r="J3" i="39" s="1"/>
  <c r="L3" i="39" s="1"/>
  <c r="K3" i="39"/>
  <c r="K10" i="39"/>
  <c r="G3" i="43"/>
  <c r="H3" i="43" s="1"/>
  <c r="J3" i="43" s="1"/>
  <c r="L3" i="43" s="1"/>
  <c r="K3" i="43"/>
  <c r="K10" i="43"/>
  <c r="G3" i="44"/>
  <c r="H3" i="44" s="1"/>
  <c r="J3" i="44" s="1"/>
  <c r="L3" i="44" s="1"/>
  <c r="K3" i="44"/>
  <c r="K10" i="44"/>
  <c r="G3" i="46"/>
  <c r="H3" i="46" s="1"/>
  <c r="J3" i="46" s="1"/>
  <c r="L3" i="46" s="1"/>
  <c r="K3" i="46"/>
  <c r="K10" i="46"/>
  <c r="M10" i="46" l="1"/>
  <c r="N10" i="46"/>
  <c r="L10" i="46"/>
  <c r="M3" i="46"/>
  <c r="N3" i="46" s="1"/>
  <c r="N10" i="44"/>
  <c r="M10" i="44"/>
  <c r="L10" i="44"/>
  <c r="M3" i="44"/>
  <c r="N3" i="44" s="1"/>
  <c r="L10" i="43"/>
  <c r="M10" i="43"/>
  <c r="N10" i="43"/>
  <c r="M3" i="43"/>
  <c r="N3" i="43" s="1"/>
  <c r="N10" i="39"/>
  <c r="M10" i="39"/>
  <c r="L10" i="39"/>
  <c r="M3" i="39"/>
  <c r="N3" i="39" s="1"/>
  <c r="K2" i="40"/>
  <c r="K2" i="42"/>
  <c r="S334" i="40"/>
  <c r="S364" i="40"/>
  <c r="S332" i="40"/>
  <c r="S330" i="42"/>
  <c r="S326" i="40"/>
  <c r="S563" i="42"/>
  <c r="S578" i="40"/>
  <c r="S573" i="40"/>
  <c r="S430" i="40"/>
  <c r="S424" i="42"/>
  <c r="S494" i="40"/>
  <c r="S469" i="42"/>
  <c r="S454" i="42"/>
  <c r="S526" i="42"/>
  <c r="S422" i="42"/>
  <c r="S422" i="40"/>
  <c r="S392" i="42"/>
  <c r="S546" i="42"/>
  <c r="S518" i="42"/>
  <c r="S546" i="40"/>
  <c r="S509" i="40"/>
  <c r="S560" i="40"/>
  <c r="S567" i="42"/>
  <c r="S311" i="42"/>
  <c r="S347" i="40"/>
  <c r="S132" i="42"/>
  <c r="S276" i="42"/>
  <c r="S195" i="42"/>
  <c r="S211" i="40"/>
  <c r="S220" i="42"/>
  <c r="S165" i="40"/>
  <c r="S439" i="40"/>
  <c r="S248" i="40"/>
  <c r="S60" i="42"/>
  <c r="S117" i="42"/>
  <c r="S7" i="42"/>
  <c r="S461" i="42"/>
  <c r="S533" i="40"/>
  <c r="S388" i="42"/>
  <c r="S424" i="40"/>
  <c r="S431" i="42"/>
  <c r="S467" i="40"/>
  <c r="S313" i="40"/>
  <c r="S100" i="40"/>
  <c r="S168" i="40"/>
  <c r="S43" i="42"/>
  <c r="S39" i="40"/>
  <c r="S258" i="40"/>
  <c r="S393" i="42"/>
  <c r="S576" i="42"/>
  <c r="S320" i="42"/>
  <c r="S356" i="40"/>
  <c r="S363" i="42"/>
  <c r="S399" i="40"/>
  <c r="S192" i="40"/>
  <c r="S5" i="40"/>
  <c r="S64" i="40"/>
  <c r="S156" i="42"/>
  <c r="S517" i="42"/>
  <c r="S391" i="42"/>
  <c r="S363" i="40"/>
  <c r="S151" i="40"/>
  <c r="S308" i="40"/>
  <c r="S389" i="40"/>
  <c r="S14" i="40"/>
  <c r="S481" i="42"/>
  <c r="S547" i="42"/>
  <c r="S291" i="42"/>
  <c r="S327" i="40"/>
  <c r="S109" i="42"/>
  <c r="S337" i="40"/>
  <c r="S461" i="40"/>
  <c r="S163" i="40"/>
  <c r="S176" i="40"/>
  <c r="S180" i="40"/>
  <c r="S446" i="40"/>
  <c r="S557" i="40"/>
  <c r="S320" i="40"/>
  <c r="S286" i="42"/>
  <c r="S577" i="42"/>
  <c r="S440" i="42"/>
  <c r="S570" i="42"/>
  <c r="S314" i="42"/>
  <c r="S566" i="40"/>
  <c r="S310" i="40"/>
  <c r="S445" i="42"/>
  <c r="S517" i="40"/>
  <c r="S372" i="42"/>
  <c r="S408" i="40"/>
  <c r="S415" i="42"/>
  <c r="S451" i="40"/>
  <c r="S269" i="40"/>
  <c r="S127" i="42"/>
  <c r="S186" i="40"/>
  <c r="S262" i="40"/>
  <c r="S142" i="42"/>
  <c r="S514" i="42"/>
  <c r="S266" i="42"/>
  <c r="S234" i="40"/>
  <c r="S402" i="42"/>
  <c r="S514" i="40"/>
  <c r="S556" i="42"/>
  <c r="S366" i="40"/>
  <c r="S492" i="40"/>
  <c r="S366" i="42"/>
  <c r="S341" i="42"/>
  <c r="S270" i="42"/>
  <c r="S426" i="42"/>
  <c r="S362" i="42"/>
  <c r="S358" i="40"/>
  <c r="S428" i="40"/>
  <c r="S434" i="42"/>
  <c r="S462" i="42"/>
  <c r="S482" i="40"/>
  <c r="S492" i="42"/>
  <c r="S528" i="40"/>
  <c r="S535" i="42"/>
  <c r="S571" i="40"/>
  <c r="S315" i="40"/>
  <c r="S96" i="40"/>
  <c r="S212" i="42"/>
  <c r="S365" i="40"/>
  <c r="S149" i="40"/>
  <c r="S153" i="40"/>
  <c r="S166" i="40"/>
  <c r="S371" i="42"/>
  <c r="S407" i="40"/>
  <c r="S203" i="40"/>
  <c r="S20" i="42"/>
  <c r="S72" i="40"/>
  <c r="S193" i="40"/>
  <c r="S429" i="42"/>
  <c r="S501" i="40"/>
  <c r="S356" i="42"/>
  <c r="S392" i="40"/>
  <c r="S399" i="42"/>
  <c r="S435" i="40"/>
  <c r="S241" i="40"/>
  <c r="S56" i="42"/>
  <c r="S113" i="40"/>
  <c r="S3" i="40"/>
  <c r="S413" i="40"/>
  <c r="S226" i="40"/>
  <c r="S361" i="42"/>
  <c r="S544" i="42"/>
  <c r="S580" i="40"/>
  <c r="S324" i="40"/>
  <c r="S331" i="42"/>
  <c r="S367" i="40"/>
  <c r="S155" i="42"/>
  <c r="S329" i="40"/>
  <c r="S421" i="40"/>
  <c r="S18" i="40"/>
  <c r="S389" i="42"/>
  <c r="S359" i="42"/>
  <c r="S331" i="40"/>
  <c r="S114" i="40"/>
  <c r="S369" i="40"/>
  <c r="S227" i="42"/>
  <c r="S232" i="40"/>
  <c r="S264" i="42"/>
  <c r="S345" i="40"/>
  <c r="S289" i="42"/>
  <c r="S515" i="42"/>
  <c r="S551" i="40"/>
  <c r="S295" i="40"/>
  <c r="S73" i="40"/>
  <c r="S240" i="42"/>
  <c r="S260" i="40"/>
  <c r="S117" i="40"/>
  <c r="S121" i="40"/>
  <c r="S111" i="42"/>
  <c r="S386" i="42"/>
  <c r="S382" i="40"/>
  <c r="S493" i="40"/>
  <c r="S519" i="42"/>
  <c r="S190" i="42"/>
  <c r="S513" i="42"/>
  <c r="S376" i="42"/>
  <c r="S538" i="42"/>
  <c r="S282" i="42"/>
  <c r="S534" i="40"/>
  <c r="S278" i="40"/>
  <c r="S413" i="42"/>
  <c r="S485" i="40"/>
  <c r="S340" i="42"/>
  <c r="S376" i="40"/>
  <c r="S383" i="42"/>
  <c r="S419" i="40"/>
  <c r="S219" i="40"/>
  <c r="S81" i="42"/>
  <c r="S140" i="42"/>
  <c r="S19" i="42"/>
  <c r="S11" i="40"/>
  <c r="S561" i="42"/>
  <c r="S533" i="42"/>
  <c r="S554" i="42"/>
  <c r="S202" i="42"/>
  <c r="S529" i="42"/>
  <c r="S398" i="42"/>
  <c r="S450" i="40"/>
  <c r="S428" i="42"/>
  <c r="S298" i="40"/>
  <c r="S499" i="42"/>
  <c r="S110" i="42"/>
  <c r="S541" i="40"/>
  <c r="S330" i="40"/>
  <c r="S238" i="42"/>
  <c r="S298" i="42"/>
  <c r="S270" i="40"/>
  <c r="S435" i="42"/>
  <c r="S486" i="42"/>
  <c r="S418" i="42"/>
  <c r="S418" i="40"/>
  <c r="S360" i="42"/>
  <c r="S496" i="40"/>
  <c r="S503" i="42"/>
  <c r="S539" i="40"/>
  <c r="S283" i="40"/>
  <c r="S61" i="40"/>
  <c r="S164" i="40"/>
  <c r="S228" i="40"/>
  <c r="S103" i="42"/>
  <c r="S107" i="42"/>
  <c r="S93" i="40"/>
  <c r="S339" i="42"/>
  <c r="S375" i="40"/>
  <c r="S164" i="42"/>
  <c r="S457" i="40"/>
  <c r="S50" i="40"/>
  <c r="S397" i="42"/>
  <c r="S580" i="42"/>
  <c r="S324" i="42"/>
  <c r="S360" i="40"/>
  <c r="S367" i="42"/>
  <c r="S403" i="40"/>
  <c r="S197" i="40"/>
  <c r="S16" i="42"/>
  <c r="S68" i="40"/>
  <c r="S188" i="42"/>
  <c r="S194" i="40"/>
  <c r="S329" i="42"/>
  <c r="S512" i="42"/>
  <c r="S548" i="40"/>
  <c r="S555" i="42"/>
  <c r="S299" i="42"/>
  <c r="S335" i="40"/>
  <c r="S119" i="40"/>
  <c r="S401" i="40"/>
  <c r="S232" i="42"/>
  <c r="S237" i="42"/>
  <c r="S146" i="42"/>
  <c r="S433" i="42"/>
  <c r="S405" i="42"/>
  <c r="S78" i="42"/>
  <c r="S138" i="42"/>
  <c r="S401" i="42"/>
  <c r="S458" i="40"/>
  <c r="S386" i="40"/>
  <c r="S524" i="40"/>
  <c r="S206" i="40"/>
  <c r="S210" i="42"/>
  <c r="S490" i="40"/>
  <c r="S524" i="42"/>
  <c r="S490" i="42"/>
  <c r="S174" i="42"/>
  <c r="S234" i="42"/>
  <c r="S198" i="40"/>
  <c r="S558" i="42"/>
  <c r="S242" i="42"/>
  <c r="S358" i="42"/>
  <c r="S354" i="40"/>
  <c r="S396" i="40"/>
  <c r="S464" i="40"/>
  <c r="S471" i="42"/>
  <c r="S507" i="40"/>
  <c r="S251" i="40"/>
  <c r="S29" i="40"/>
  <c r="S118" i="40"/>
  <c r="S177" i="40"/>
  <c r="S51" i="42"/>
  <c r="S47" i="40"/>
  <c r="S6" i="42"/>
  <c r="S307" i="42"/>
  <c r="S343" i="40"/>
  <c r="S82" i="42"/>
  <c r="S305" i="42"/>
  <c r="S277" i="42"/>
  <c r="S550" i="42"/>
  <c r="S74" i="42"/>
  <c r="S273" i="42"/>
  <c r="S326" i="42"/>
  <c r="S302" i="40"/>
  <c r="S531" i="42"/>
  <c r="S497" i="42"/>
  <c r="S334" i="42"/>
  <c r="S426" i="40"/>
  <c r="S396" i="42"/>
  <c r="S530" i="42"/>
  <c r="S554" i="40"/>
  <c r="S170" i="42"/>
  <c r="S465" i="42"/>
  <c r="S274" i="42"/>
  <c r="S558" i="40"/>
  <c r="S294" i="42"/>
  <c r="S266" i="40"/>
  <c r="S403" i="42"/>
  <c r="S432" i="40"/>
  <c r="S439" i="42"/>
  <c r="S475" i="40"/>
  <c r="S373" i="40"/>
  <c r="S64" i="42"/>
  <c r="S131" i="42"/>
  <c r="S11" i="42"/>
  <c r="S3" i="42"/>
  <c r="S567" i="40"/>
  <c r="S311" i="40"/>
  <c r="S91" i="42"/>
  <c r="S268" i="42"/>
  <c r="S190" i="40"/>
  <c r="S195" i="40"/>
  <c r="S215" i="42"/>
  <c r="S128" i="42"/>
  <c r="S333" i="42"/>
  <c r="S516" i="42"/>
  <c r="S552" i="40"/>
  <c r="S559" i="42"/>
  <c r="S303" i="42"/>
  <c r="S339" i="40"/>
  <c r="S123" i="42"/>
  <c r="S526" i="40"/>
  <c r="S505" i="40"/>
  <c r="S477" i="40"/>
  <c r="S494" i="42"/>
  <c r="S518" i="40"/>
  <c r="S473" i="40"/>
  <c r="S262" i="42"/>
  <c r="S230" i="40"/>
  <c r="S338" i="42"/>
  <c r="S369" i="42"/>
  <c r="S522" i="40"/>
  <c r="S362" i="40"/>
  <c r="S460" i="40"/>
  <c r="S306" i="42"/>
  <c r="S578" i="42"/>
  <c r="S106" i="42"/>
  <c r="S337" i="42"/>
  <c r="S498" i="42"/>
  <c r="S482" i="42"/>
  <c r="S230" i="42"/>
  <c r="S565" i="42"/>
  <c r="S364" i="42"/>
  <c r="S400" i="40"/>
  <c r="S407" i="42"/>
  <c r="S443" i="40"/>
  <c r="S253" i="42"/>
  <c r="S24" i="42"/>
  <c r="S76" i="42"/>
  <c r="S215" i="40"/>
  <c r="S535" i="40"/>
  <c r="S279" i="40"/>
  <c r="S57" i="40"/>
  <c r="S207" i="42"/>
  <c r="S293" i="40"/>
  <c r="S144" i="42"/>
  <c r="S148" i="42"/>
  <c r="S148" i="40"/>
  <c r="S557" i="42"/>
  <c r="S301" i="42"/>
  <c r="S484" i="42"/>
  <c r="S520" i="40"/>
  <c r="S527" i="42"/>
  <c r="S563" i="40"/>
  <c r="S307" i="40"/>
  <c r="S87" i="40"/>
  <c r="S462" i="40"/>
  <c r="S488" i="42"/>
  <c r="S460" i="42"/>
  <c r="S450" i="42"/>
  <c r="S454" i="40"/>
  <c r="S456" i="42"/>
  <c r="S198" i="42"/>
  <c r="S501" i="42"/>
  <c r="S238" i="40"/>
  <c r="S569" i="40"/>
  <c r="S390" i="42"/>
  <c r="S294" i="40"/>
  <c r="S467" i="42"/>
  <c r="S178" i="42"/>
  <c r="S522" i="42"/>
  <c r="S550" i="40"/>
  <c r="S537" i="40"/>
  <c r="S206" i="42"/>
  <c r="S302" i="42"/>
  <c r="S166" i="42"/>
  <c r="S437" i="42"/>
  <c r="S332" i="42"/>
  <c r="S368" i="40"/>
  <c r="S375" i="42"/>
  <c r="S411" i="40"/>
  <c r="S398" i="40"/>
  <c r="S328" i="42"/>
  <c r="S296" i="42"/>
  <c r="S394" i="42"/>
  <c r="S390" i="40"/>
  <c r="S556" i="40"/>
  <c r="S134" i="42"/>
  <c r="S373" i="42"/>
  <c r="S430" i="42"/>
  <c r="S552" i="42"/>
  <c r="S370" i="42"/>
  <c r="S202" i="40"/>
  <c r="S458" i="42"/>
  <c r="S114" i="42"/>
  <c r="S466" i="42"/>
  <c r="S486" i="40"/>
  <c r="S520" i="42"/>
  <c r="S394" i="40"/>
  <c r="S562" i="42"/>
  <c r="S102" i="42"/>
  <c r="S309" i="42"/>
  <c r="S300" i="42"/>
  <c r="S336" i="40"/>
  <c r="S343" i="42"/>
  <c r="S379" i="40"/>
  <c r="S169" i="40"/>
  <c r="S267" i="42"/>
  <c r="S273" i="40"/>
  <c r="S385" i="40"/>
  <c r="S471" i="40"/>
  <c r="S341" i="40"/>
  <c r="S208" i="40"/>
  <c r="S79" i="40"/>
  <c r="S89" i="42"/>
  <c r="S420" i="42"/>
  <c r="S531" i="40"/>
  <c r="S433" i="40"/>
  <c r="S217" i="40"/>
  <c r="S189" i="42"/>
  <c r="S46" i="40"/>
  <c r="S457" i="42"/>
  <c r="S448" i="42"/>
  <c r="S388" i="40"/>
  <c r="S495" i="40"/>
  <c r="S82" i="40"/>
  <c r="S196" i="42"/>
  <c r="S108" i="42"/>
  <c r="S80" i="40"/>
  <c r="S301" i="40"/>
  <c r="S572" i="42"/>
  <c r="S459" i="40"/>
  <c r="S187" i="42"/>
  <c r="S121" i="42"/>
  <c r="S19" i="40"/>
  <c r="S152" i="40"/>
  <c r="S408" i="42"/>
  <c r="S387" i="42"/>
  <c r="S359" i="40"/>
  <c r="S9" i="40"/>
  <c r="S145" i="40"/>
  <c r="S256" i="42"/>
  <c r="S290" i="42"/>
  <c r="S485" i="42"/>
  <c r="S416" i="40"/>
  <c r="S538" i="40"/>
  <c r="S521" i="40"/>
  <c r="S579" i="42"/>
  <c r="S218" i="42"/>
  <c r="S406" i="40"/>
  <c r="S477" i="42"/>
  <c r="S532" i="42"/>
  <c r="S504" i="40"/>
  <c r="S447" i="42"/>
  <c r="S355" i="40"/>
  <c r="S69" i="40"/>
  <c r="S112" i="42"/>
  <c r="S67" i="40"/>
  <c r="S510" i="40"/>
  <c r="S525" i="40"/>
  <c r="S551" i="42"/>
  <c r="S222" i="42"/>
  <c r="S449" i="42"/>
  <c r="S534" i="42"/>
  <c r="S278" i="42"/>
  <c r="S530" i="40"/>
  <c r="S274" i="40"/>
  <c r="S409" i="42"/>
  <c r="S481" i="40"/>
  <c r="S336" i="42"/>
  <c r="S372" i="40"/>
  <c r="S379" i="42"/>
  <c r="S415" i="40"/>
  <c r="S213" i="40"/>
  <c r="S40" i="40"/>
  <c r="S83" i="42"/>
  <c r="S61" i="42"/>
  <c r="S34" i="42"/>
  <c r="S147" i="42"/>
  <c r="S316" i="40"/>
  <c r="S106" i="40"/>
  <c r="S236" i="40"/>
  <c r="S34" i="40"/>
  <c r="S151" i="42"/>
  <c r="S503" i="40"/>
  <c r="S465" i="40"/>
  <c r="S47" i="42"/>
  <c r="S525" i="42"/>
  <c r="S292" i="42"/>
  <c r="S499" i="40"/>
  <c r="S260" i="42"/>
  <c r="S425" i="40"/>
  <c r="S144" i="40"/>
  <c r="S425" i="42"/>
  <c r="S416" i="42"/>
  <c r="S523" i="42"/>
  <c r="S463" i="40"/>
  <c r="S49" i="40"/>
  <c r="S141" i="40"/>
  <c r="S181" i="40"/>
  <c r="S35" i="40"/>
  <c r="S377" i="40"/>
  <c r="S444" i="42"/>
  <c r="S427" i="40"/>
  <c r="S77" i="42"/>
  <c r="S76" i="40"/>
  <c r="S25" i="42"/>
  <c r="S572" i="40"/>
  <c r="S355" i="42"/>
  <c r="S263" i="40"/>
  <c r="S177" i="42"/>
  <c r="S99" i="42"/>
  <c r="S305" i="40"/>
  <c r="S38" i="42"/>
  <c r="S226" i="42"/>
  <c r="S421" i="42"/>
  <c r="S423" i="42"/>
  <c r="S474" i="40"/>
  <c r="S568" i="42"/>
  <c r="S506" i="42"/>
  <c r="S186" i="42"/>
  <c r="S374" i="40"/>
  <c r="S381" i="42"/>
  <c r="S500" i="42"/>
  <c r="S472" i="40"/>
  <c r="S351" i="42"/>
  <c r="S323" i="40"/>
  <c r="S37" i="40"/>
  <c r="S429" i="40"/>
  <c r="S67" i="42"/>
  <c r="S236" i="42"/>
  <c r="S414" i="40"/>
  <c r="S540" i="42"/>
  <c r="S455" i="42"/>
  <c r="S158" i="42"/>
  <c r="S385" i="42"/>
  <c r="S502" i="42"/>
  <c r="S246" i="42"/>
  <c r="S498" i="40"/>
  <c r="S242" i="40"/>
  <c r="S377" i="42"/>
  <c r="S560" i="42"/>
  <c r="S304" i="42"/>
  <c r="S340" i="40"/>
  <c r="S347" i="42"/>
  <c r="S383" i="40"/>
  <c r="S173" i="42"/>
  <c r="S275" i="42"/>
  <c r="S281" i="40"/>
  <c r="S417" i="40"/>
  <c r="S29" i="42"/>
  <c r="K13" i="40"/>
  <c r="S111" i="40"/>
  <c r="S241" i="42"/>
  <c r="S70" i="40"/>
  <c r="S192" i="42"/>
  <c r="S115" i="40"/>
  <c r="S247" i="40"/>
  <c r="S159" i="42"/>
  <c r="S265" i="40"/>
  <c r="S493" i="42"/>
  <c r="S488" i="40"/>
  <c r="S371" i="40"/>
  <c r="S201" i="42"/>
  <c r="S239" i="42"/>
  <c r="S84" i="42"/>
  <c r="S92" i="40"/>
  <c r="S297" i="42"/>
  <c r="S384" i="42"/>
  <c r="S491" i="42"/>
  <c r="S431" i="40"/>
  <c r="S17" i="40"/>
  <c r="S95" i="42"/>
  <c r="S126" i="40"/>
  <c r="S57" i="42"/>
  <c r="S544" i="40"/>
  <c r="S395" i="40"/>
  <c r="S45" i="40"/>
  <c r="S268" i="40"/>
  <c r="S35" i="42"/>
  <c r="S322" i="42"/>
  <c r="S476" i="40"/>
  <c r="S323" i="42"/>
  <c r="S469" i="40"/>
  <c r="S132" i="40"/>
  <c r="S48" i="40"/>
  <c r="S227" i="40"/>
  <c r="S194" i="42"/>
  <c r="S325" i="42"/>
  <c r="S295" i="42"/>
  <c r="S378" i="40"/>
  <c r="S472" i="42"/>
  <c r="S474" i="42"/>
  <c r="S154" i="42"/>
  <c r="S342" i="40"/>
  <c r="S349" i="42"/>
  <c r="S468" i="42"/>
  <c r="S440" i="40"/>
  <c r="S319" i="42"/>
  <c r="S291" i="40"/>
  <c r="S4" i="42"/>
  <c r="S312" i="40"/>
  <c r="S252" i="42"/>
  <c r="S115" i="42"/>
  <c r="S318" i="40"/>
  <c r="S476" i="42"/>
  <c r="S128" i="40"/>
  <c r="S104" i="42"/>
  <c r="S103" i="40"/>
  <c r="S365" i="42"/>
  <c r="S456" i="40"/>
  <c r="S275" i="40"/>
  <c r="S155" i="40"/>
  <c r="S185" i="42"/>
  <c r="S322" i="40"/>
  <c r="S265" i="42"/>
  <c r="S352" i="42"/>
  <c r="S459" i="42"/>
  <c r="S303" i="40"/>
  <c r="S52" i="42"/>
  <c r="S80" i="42"/>
  <c r="S272" i="42"/>
  <c r="S258" i="42"/>
  <c r="S384" i="40"/>
  <c r="S299" i="40"/>
  <c r="S13" i="40"/>
  <c r="S247" i="42"/>
  <c r="S207" i="40"/>
  <c r="S184" i="42"/>
  <c r="S254" i="42"/>
  <c r="S380" i="40"/>
  <c r="S519" i="40"/>
  <c r="S277" i="40"/>
  <c r="S86" i="40"/>
  <c r="S292" i="40"/>
  <c r="S71" i="40"/>
  <c r="S264" i="40"/>
  <c r="S98" i="42"/>
  <c r="S508" i="42"/>
  <c r="S25" i="40"/>
  <c r="S43" i="40"/>
  <c r="S269" i="42"/>
  <c r="S328" i="40"/>
  <c r="S243" i="40"/>
  <c r="S140" i="40"/>
  <c r="S280" i="42"/>
  <c r="S290" i="40"/>
  <c r="S561" i="40"/>
  <c r="S516" i="40"/>
  <c r="S427" i="42"/>
  <c r="S271" i="40"/>
  <c r="S39" i="42"/>
  <c r="S204" i="42"/>
  <c r="S162" i="42"/>
  <c r="S487" i="42"/>
  <c r="S267" i="40"/>
  <c r="S191" i="42"/>
  <c r="S149" i="42"/>
  <c r="S129" i="42"/>
  <c r="S94" i="42"/>
  <c r="S348" i="40"/>
  <c r="S487" i="40"/>
  <c r="S224" i="40"/>
  <c r="S36" i="42"/>
  <c r="S221" i="42"/>
  <c r="S15" i="40"/>
  <c r="S120" i="40"/>
  <c r="S542" i="40"/>
  <c r="S412" i="42"/>
  <c r="S478" i="42"/>
  <c r="S36" i="40"/>
  <c r="S223" i="40"/>
  <c r="S353" i="40"/>
  <c r="S565" i="40"/>
  <c r="S495" i="42"/>
  <c r="S160" i="40"/>
  <c r="S85" i="40"/>
  <c r="S209" i="42"/>
  <c r="S553" i="42"/>
  <c r="S529" i="40"/>
  <c r="S484" i="40"/>
  <c r="S395" i="42"/>
  <c r="S239" i="40"/>
  <c r="S276" i="40"/>
  <c r="S134" i="40"/>
  <c r="S478" i="40"/>
  <c r="S327" i="42"/>
  <c r="S235" i="40"/>
  <c r="E76" i="35"/>
  <c r="E99" i="35"/>
  <c r="E77" i="35"/>
  <c r="E79" i="35"/>
  <c r="E30" i="35"/>
  <c r="E59" i="35"/>
  <c r="E123" i="35"/>
  <c r="E55" i="35"/>
  <c r="E95" i="35"/>
  <c r="E48" i="35"/>
  <c r="E83" i="35"/>
  <c r="E127" i="35"/>
  <c r="E113" i="35"/>
  <c r="E46" i="35"/>
  <c r="E5" i="35"/>
  <c r="E100" i="35"/>
  <c r="E97" i="35"/>
  <c r="E25" i="35"/>
  <c r="E109" i="35"/>
  <c r="E53" i="35"/>
  <c r="E41" i="35"/>
  <c r="E117" i="35"/>
  <c r="E94" i="35"/>
  <c r="E65" i="35"/>
  <c r="E92" i="35"/>
  <c r="E9" i="35"/>
  <c r="E111" i="35"/>
  <c r="E11" i="35"/>
  <c r="E39" i="35"/>
  <c r="E26" i="35"/>
  <c r="E32" i="35"/>
  <c r="E115" i="35"/>
  <c r="E40" i="35"/>
  <c r="E45" i="35"/>
  <c r="E81" i="35"/>
  <c r="E121" i="35"/>
  <c r="E62" i="35"/>
  <c r="E82" i="35"/>
  <c r="E88" i="35"/>
  <c r="E58" i="35"/>
  <c r="E38" i="35"/>
  <c r="E29" i="35"/>
  <c r="E15" i="35"/>
  <c r="E37" i="35"/>
  <c r="E126" i="35"/>
  <c r="E12" i="35"/>
  <c r="E102" i="35"/>
  <c r="E108" i="35"/>
  <c r="E13" i="35"/>
  <c r="E71" i="35"/>
  <c r="E63" i="35"/>
  <c r="E90" i="35"/>
  <c r="E106" i="35"/>
  <c r="E20" i="35"/>
  <c r="E60" i="35"/>
  <c r="E104" i="35"/>
  <c r="E68" i="35"/>
  <c r="E116" i="35"/>
  <c r="E119" i="35"/>
  <c r="E10" i="35"/>
  <c r="E89" i="35"/>
  <c r="E47" i="35"/>
  <c r="E28" i="35"/>
  <c r="E14" i="35"/>
  <c r="E98" i="35"/>
  <c r="E64" i="35"/>
  <c r="E42" i="35"/>
  <c r="E23" i="35"/>
  <c r="E56" i="35"/>
  <c r="E61" i="35"/>
  <c r="E52" i="35"/>
  <c r="E120" i="35"/>
  <c r="E112" i="35"/>
  <c r="E36" i="35"/>
  <c r="E74" i="35"/>
  <c r="E22" i="35"/>
  <c r="E16" i="35"/>
  <c r="E19" i="35"/>
  <c r="E75" i="35"/>
  <c r="E110" i="35"/>
  <c r="E49" i="35"/>
  <c r="E35" i="35"/>
  <c r="E50" i="35"/>
  <c r="E51" i="35"/>
  <c r="E4" i="35"/>
  <c r="E33" i="35"/>
  <c r="E78" i="35"/>
  <c r="E101" i="35"/>
  <c r="E31" i="35"/>
  <c r="E93" i="35"/>
  <c r="E124" i="35"/>
  <c r="E67" i="35"/>
  <c r="E73" i="35"/>
  <c r="E125" i="35"/>
  <c r="E66" i="35"/>
  <c r="E2" i="35"/>
  <c r="E107" i="35"/>
  <c r="E3" i="35"/>
  <c r="E70" i="35"/>
  <c r="E103" i="35"/>
  <c r="E17" i="35"/>
  <c r="E118" i="35"/>
  <c r="E43" i="35"/>
  <c r="E34" i="35"/>
  <c r="E85" i="35"/>
  <c r="E105" i="35"/>
  <c r="E54" i="35"/>
  <c r="E86" i="35"/>
  <c r="E91" i="35"/>
  <c r="E24" i="35"/>
  <c r="E18" i="35"/>
  <c r="E122" i="35"/>
  <c r="E80" i="35"/>
  <c r="E27" i="35"/>
  <c r="E7" i="35"/>
  <c r="E96" i="35"/>
  <c r="E44" i="35"/>
  <c r="E84" i="35"/>
  <c r="E114" i="35"/>
  <c r="E69" i="35"/>
  <c r="E6" i="35"/>
  <c r="E21" i="35"/>
  <c r="E87" i="35"/>
  <c r="E57" i="35"/>
  <c r="E8" i="35"/>
  <c r="E72" i="35"/>
  <c r="S136" i="42"/>
  <c r="S104" i="40"/>
  <c r="S180" i="42"/>
  <c r="S42" i="42"/>
  <c r="S442" i="40"/>
  <c r="S483" i="42"/>
  <c r="S455" i="40"/>
  <c r="S183" i="40"/>
  <c r="S71" i="42"/>
  <c r="S350" i="40"/>
  <c r="S348" i="42"/>
  <c r="S414" i="42"/>
  <c r="S417" i="42"/>
  <c r="S508" i="40"/>
  <c r="S378" i="42"/>
  <c r="S502" i="40"/>
  <c r="S573" i="42"/>
  <c r="S581" i="40"/>
  <c r="S172" i="42"/>
  <c r="S75" i="40"/>
  <c r="S548" i="42"/>
  <c r="S463" i="42"/>
  <c r="S53" i="40"/>
  <c r="S453" i="40"/>
  <c r="S143" i="42"/>
  <c r="S521" i="42"/>
  <c r="S497" i="40"/>
  <c r="S452" i="40"/>
  <c r="S559" i="40"/>
  <c r="S297" i="40"/>
  <c r="S212" i="40"/>
  <c r="S185" i="40"/>
  <c r="S58" i="42"/>
  <c r="S286" i="40"/>
  <c r="S523" i="40"/>
  <c r="S285" i="40"/>
  <c r="S91" i="40"/>
  <c r="S245" i="40"/>
  <c r="S452" i="42"/>
  <c r="S335" i="42"/>
  <c r="S21" i="40"/>
  <c r="K7" i="40"/>
  <c r="S284" i="40"/>
  <c r="S257" i="40"/>
  <c r="S70" i="42"/>
  <c r="S489" i="42"/>
  <c r="S480" i="42"/>
  <c r="S420" i="40"/>
  <c r="S527" i="40"/>
  <c r="S235" i="42"/>
  <c r="S253" i="40"/>
  <c r="S154" i="40"/>
  <c r="S139" i="42"/>
  <c r="S293" i="42"/>
  <c r="S491" i="40"/>
  <c r="S229" i="40"/>
  <c r="S48" i="42"/>
  <c r="S176" i="42"/>
  <c r="S75" i="42"/>
  <c r="S288" i="40"/>
  <c r="S60" i="40"/>
  <c r="S391" i="40"/>
  <c r="S191" i="40"/>
  <c r="S581" i="42"/>
  <c r="S353" i="42"/>
  <c r="S346" i="42"/>
  <c r="S541" i="42"/>
  <c r="S308" i="42"/>
  <c r="S579" i="40"/>
  <c r="S141" i="42"/>
  <c r="S221" i="40"/>
  <c r="S357" i="42"/>
  <c r="S574" i="42"/>
  <c r="S346" i="40"/>
  <c r="S566" i="42"/>
  <c r="S182" i="42"/>
  <c r="S370" i="40"/>
  <c r="S441" i="42"/>
  <c r="S496" i="42"/>
  <c r="S468" i="40"/>
  <c r="S411" i="42"/>
  <c r="S319" i="40"/>
  <c r="S33" i="40"/>
  <c r="S217" i="42"/>
  <c r="S181" i="42"/>
  <c r="S171" i="40"/>
  <c r="S169" i="42"/>
  <c r="S66" i="42"/>
  <c r="S42" i="40"/>
  <c r="S87" i="42"/>
  <c r="S220" i="40"/>
  <c r="S300" i="40"/>
  <c r="S66" i="40"/>
  <c r="S45" i="42"/>
  <c r="S321" i="40"/>
  <c r="S97" i="40"/>
  <c r="S224" i="42"/>
  <c r="S77" i="40"/>
  <c r="S245" i="42"/>
  <c r="S211" i="42"/>
  <c r="S27" i="40"/>
  <c r="S193" i="42"/>
  <c r="S26" i="40"/>
  <c r="S142" i="40"/>
  <c r="S182" i="40"/>
  <c r="S52" i="40"/>
  <c r="S27" i="42"/>
  <c r="S125" i="42"/>
  <c r="S14" i="42"/>
  <c r="S124" i="42"/>
  <c r="S263" i="42"/>
  <c r="K11" i="40"/>
  <c r="M7" i="43"/>
  <c r="N7" i="43" s="1"/>
  <c r="S55" i="40"/>
  <c r="M6" i="43"/>
  <c r="N6" i="43" s="1"/>
  <c r="S205" i="40"/>
  <c r="S32" i="40"/>
  <c r="S205" i="42"/>
  <c r="S23" i="40"/>
  <c r="K14" i="40"/>
  <c r="S20" i="40"/>
  <c r="S135" i="40"/>
  <c r="S146" i="40"/>
  <c r="S23" i="42"/>
  <c r="S576" i="40"/>
  <c r="S257" i="42"/>
  <c r="S250" i="42"/>
  <c r="S509" i="42"/>
  <c r="S568" i="40"/>
  <c r="S547" i="40"/>
  <c r="S105" i="40"/>
  <c r="S95" i="40"/>
  <c r="S171" i="42"/>
  <c r="S248" i="42"/>
  <c r="S261" i="42"/>
  <c r="S510" i="42"/>
  <c r="S218" i="40"/>
  <c r="S470" i="42"/>
  <c r="S150" i="42"/>
  <c r="S338" i="40"/>
  <c r="S345" i="42"/>
  <c r="S464" i="42"/>
  <c r="S436" i="40"/>
  <c r="S315" i="42"/>
  <c r="S287" i="40"/>
  <c r="S168" i="42"/>
  <c r="S136" i="40"/>
  <c r="S216" i="40"/>
  <c r="S97" i="42"/>
  <c r="S133" i="40"/>
  <c r="S10" i="40"/>
  <c r="S53" i="42"/>
  <c r="S179" i="42"/>
  <c r="S156" i="40"/>
  <c r="S13" i="42"/>
  <c r="S98" i="40"/>
  <c r="S244" i="40"/>
  <c r="S62" i="40"/>
  <c r="S183" i="42"/>
  <c r="S44" i="42"/>
  <c r="S201" i="40"/>
  <c r="S172" i="40"/>
  <c r="S357" i="40"/>
  <c r="S157" i="40"/>
  <c r="S349" i="40"/>
  <c r="S105" i="42"/>
  <c r="S145" i="42"/>
  <c r="S361" i="40"/>
  <c r="S89" i="40"/>
  <c r="S288" i="42"/>
  <c r="S88" i="40"/>
  <c r="S213" i="42"/>
  <c r="K16" i="40"/>
  <c r="K3" i="40"/>
  <c r="K15" i="40"/>
  <c r="S252" i="40"/>
  <c r="S174" i="40"/>
  <c r="S84" i="40"/>
  <c r="S37" i="42"/>
  <c r="S240" i="40"/>
  <c r="S137" i="42"/>
  <c r="S41" i="40"/>
  <c r="S480" i="40"/>
  <c r="S312" i="42"/>
  <c r="S122" i="42"/>
  <c r="S317" i="42"/>
  <c r="S536" i="40"/>
  <c r="S515" i="40"/>
  <c r="S44" i="40"/>
  <c r="S116" i="42"/>
  <c r="S380" i="42"/>
  <c r="S446" i="42"/>
  <c r="S545" i="42"/>
  <c r="S438" i="42"/>
  <c r="S118" i="42"/>
  <c r="S306" i="40"/>
  <c r="S313" i="42"/>
  <c r="S432" i="42"/>
  <c r="S404" i="40"/>
  <c r="S575" i="40"/>
  <c r="S255" i="40"/>
  <c r="S123" i="40"/>
  <c r="S81" i="40"/>
  <c r="S157" i="42"/>
  <c r="S10" i="42"/>
  <c r="S96" i="42"/>
  <c r="S21" i="42"/>
  <c r="K6" i="40"/>
  <c r="K8" i="40"/>
  <c r="S143" i="40"/>
  <c r="S119" i="42"/>
  <c r="K17" i="40"/>
  <c r="S63" i="40"/>
  <c r="S199" i="42"/>
  <c r="S30" i="40"/>
  <c r="S147" i="40"/>
  <c r="S12" i="42"/>
  <c r="S163" i="42"/>
  <c r="S135" i="42"/>
  <c r="S251" i="42"/>
  <c r="S120" i="42"/>
  <c r="S249" i="40"/>
  <c r="S69" i="42"/>
  <c r="S109" i="40"/>
  <c r="S309" i="40"/>
  <c r="S231" i="42"/>
  <c r="S54" i="40"/>
  <c r="K20" i="40"/>
  <c r="M7" i="39"/>
  <c r="N7" i="39" s="1"/>
  <c r="S204" i="40"/>
  <c r="S72" i="42"/>
  <c r="S22" i="40"/>
  <c r="S282" i="40"/>
  <c r="S542" i="42"/>
  <c r="S540" i="40"/>
  <c r="S90" i="42"/>
  <c r="S285" i="42"/>
  <c r="S344" i="40"/>
  <c r="S483" i="40"/>
  <c r="K9" i="40"/>
  <c r="S283" i="42"/>
  <c r="S449" i="40"/>
  <c r="S130" i="42"/>
  <c r="S316" i="42"/>
  <c r="S382" i="42"/>
  <c r="S321" i="42"/>
  <c r="S406" i="42"/>
  <c r="S86" i="42"/>
  <c r="S210" i="40"/>
  <c r="S281" i="42"/>
  <c r="S400" i="42"/>
  <c r="S571" i="42"/>
  <c r="S543" i="40"/>
  <c r="S405" i="40"/>
  <c r="S68" i="42"/>
  <c r="S200" i="42"/>
  <c r="S112" i="40"/>
  <c r="S62" i="42"/>
  <c r="S38" i="40"/>
  <c r="S83" i="40"/>
  <c r="S31" i="40"/>
  <c r="S161" i="42"/>
  <c r="S381" i="40"/>
  <c r="S110" i="40"/>
  <c r="S284" i="42"/>
  <c r="S127" i="40"/>
  <c r="S99" i="40"/>
  <c r="S189" i="40"/>
  <c r="S536" i="42"/>
  <c r="S350" i="42"/>
  <c r="S444" i="40"/>
  <c r="S470" i="40"/>
  <c r="S549" i="40"/>
  <c r="S575" i="42"/>
  <c r="S387" i="40"/>
  <c r="S233" i="42"/>
  <c r="S216" i="42"/>
  <c r="S249" i="42"/>
  <c r="S574" i="40"/>
  <c r="S512" i="40"/>
  <c r="S318" i="42"/>
  <c r="S553" i="40"/>
  <c r="S374" i="42"/>
  <c r="S562" i="40"/>
  <c r="S569" i="42"/>
  <c r="S577" i="40"/>
  <c r="S368" i="42"/>
  <c r="S539" i="42"/>
  <c r="S511" i="40"/>
  <c r="S261" i="40"/>
  <c r="S28" i="42"/>
  <c r="S153" i="42"/>
  <c r="S51" i="40"/>
  <c r="S231" i="40"/>
  <c r="S12" i="40"/>
  <c r="S280" i="40"/>
  <c r="S30" i="42"/>
  <c r="S6" i="40"/>
  <c r="S49" i="42"/>
  <c r="S287" i="42"/>
  <c r="S125" i="40"/>
  <c r="S256" i="40"/>
  <c r="S73" i="42"/>
  <c r="S228" i="42"/>
  <c r="S90" i="40"/>
  <c r="S63" i="42"/>
  <c r="S167" i="40"/>
  <c r="S50" i="42"/>
  <c r="S165" i="42"/>
  <c r="S441" i="40"/>
  <c r="S5" i="42"/>
  <c r="S24" i="40"/>
  <c r="K10" i="40"/>
  <c r="S40" i="42"/>
  <c r="S196" i="40"/>
  <c r="S451" i="42"/>
  <c r="S255" i="42"/>
  <c r="S126" i="42"/>
  <c r="S412" i="40"/>
  <c r="S438" i="40"/>
  <c r="S564" i="42"/>
  <c r="S543" i="42"/>
  <c r="S259" i="40"/>
  <c r="S173" i="40"/>
  <c r="S158" i="40"/>
  <c r="S175" i="42"/>
  <c r="S222" i="40"/>
  <c r="S448" i="40"/>
  <c r="S570" i="40"/>
  <c r="S489" i="40"/>
  <c r="S342" i="42"/>
  <c r="S466" i="40"/>
  <c r="S537" i="42"/>
  <c r="S545" i="40"/>
  <c r="S564" i="40"/>
  <c r="S507" i="42"/>
  <c r="S479" i="40"/>
  <c r="S137" i="40"/>
  <c r="S108" i="40"/>
  <c r="S7" i="40"/>
  <c r="S203" i="42"/>
  <c r="S225" i="40"/>
  <c r="S197" i="42"/>
  <c r="S17" i="42"/>
  <c r="S175" i="40"/>
  <c r="S229" i="42"/>
  <c r="S88" i="42"/>
  <c r="S209" i="40"/>
  <c r="S41" i="42"/>
  <c r="K4" i="40"/>
  <c r="S187" i="40"/>
  <c r="S56" i="40"/>
  <c r="S31" i="42"/>
  <c r="S130" i="40"/>
  <c r="S18" i="42"/>
  <c r="S129" i="40"/>
  <c r="S271" i="42"/>
  <c r="S8" i="42"/>
  <c r="S159" i="40"/>
  <c r="S419" i="42"/>
  <c r="S354" i="42"/>
  <c r="S314" i="40"/>
  <c r="S442" i="42"/>
  <c r="S246" i="40"/>
  <c r="S436" i="42"/>
  <c r="S511" i="42"/>
  <c r="S437" i="40"/>
  <c r="S32" i="42"/>
  <c r="S107" i="40"/>
  <c r="S549" i="42"/>
  <c r="S352" i="40"/>
  <c r="S506" i="40"/>
  <c r="S504" i="42"/>
  <c r="S310" i="42"/>
  <c r="S434" i="40"/>
  <c r="S505" i="42"/>
  <c r="S513" i="40"/>
  <c r="S532" i="40"/>
  <c r="S475" i="42"/>
  <c r="S447" i="40"/>
  <c r="S100" i="42"/>
  <c r="S397" i="40"/>
  <c r="S55" i="42"/>
  <c r="S139" i="40"/>
  <c r="S184" i="40"/>
  <c r="S160" i="42"/>
  <c r="S423" i="40"/>
  <c r="S254" i="40"/>
  <c r="S250" i="40"/>
  <c r="S410" i="42"/>
  <c r="S214" i="40"/>
  <c r="S404" i="42"/>
  <c r="S479" i="42"/>
  <c r="S178" i="40"/>
  <c r="S289" i="40"/>
  <c r="S26" i="42"/>
  <c r="S453" i="42"/>
  <c r="S555" i="40"/>
  <c r="S410" i="40"/>
  <c r="S344" i="42"/>
  <c r="S214" i="42"/>
  <c r="S402" i="40"/>
  <c r="S473" i="42"/>
  <c r="S528" i="42"/>
  <c r="S500" i="40"/>
  <c r="S443" i="42"/>
  <c r="S351" i="40"/>
  <c r="S65" i="40"/>
  <c r="S296" i="40"/>
  <c r="S233" i="40"/>
  <c r="S15" i="42"/>
  <c r="S225" i="42"/>
  <c r="S208" i="42"/>
  <c r="K18" i="40"/>
  <c r="S102" i="40"/>
  <c r="S74" i="40"/>
  <c r="S124" i="40"/>
  <c r="S272" i="40"/>
  <c r="S101" i="42"/>
  <c r="S78" i="40"/>
  <c r="S22" i="42"/>
  <c r="S133" i="42"/>
  <c r="S259" i="42"/>
  <c r="S131" i="40"/>
  <c r="S243" i="42"/>
  <c r="S65" i="42"/>
  <c r="K5" i="40"/>
  <c r="K12" i="40"/>
  <c r="M6" i="46"/>
  <c r="N6" i="46" s="1"/>
  <c r="M5" i="43"/>
  <c r="N5" i="43" s="1"/>
  <c r="S162" i="40"/>
  <c r="S138" i="40"/>
  <c r="S54" i="42"/>
  <c r="S2" i="42"/>
  <c r="S92" i="42"/>
  <c r="S94" i="40"/>
  <c r="S199" i="40"/>
  <c r="S33" i="42"/>
  <c r="S28" i="40"/>
  <c r="S16" i="40"/>
  <c r="S445" i="40"/>
  <c r="S188" i="40"/>
  <c r="S170" i="40"/>
  <c r="S58" i="40"/>
  <c r="S223" i="42"/>
  <c r="S59" i="42"/>
  <c r="S161" i="40"/>
  <c r="M5" i="39"/>
  <c r="N5" i="39" s="1"/>
  <c r="S8" i="40"/>
  <c r="S409" i="40"/>
  <c r="S4" i="40"/>
  <c r="M5" i="46"/>
  <c r="N5" i="46" s="1"/>
  <c r="S150" i="40"/>
  <c r="S93" i="42"/>
  <c r="S219" i="42"/>
  <c r="S325" i="40"/>
  <c r="S152" i="42"/>
  <c r="S237" i="40"/>
  <c r="S46" i="42"/>
  <c r="S279" i="42"/>
  <c r="S113" i="42"/>
  <c r="S59" i="40"/>
  <c r="S179" i="40"/>
  <c r="S244" i="42"/>
  <c r="S116" i="40"/>
  <c r="K19" i="40"/>
  <c r="M6" i="39"/>
  <c r="N6" i="39" s="1"/>
  <c r="M7" i="46"/>
  <c r="N7" i="46" s="1"/>
  <c r="S85" i="42"/>
  <c r="S9" i="42"/>
  <c r="S304" i="40"/>
  <c r="S122" i="40"/>
  <c r="S200" i="40"/>
  <c r="S79" i="42"/>
  <c r="S2" i="40"/>
  <c r="S333" i="40"/>
  <c r="S393" i="40"/>
  <c r="S167" i="42"/>
  <c r="S317" i="40"/>
  <c r="S101" i="40"/>
  <c r="S20" i="45"/>
  <c r="S16" i="45"/>
  <c r="S18" i="45"/>
  <c r="S13" i="45"/>
  <c r="S17" i="45"/>
  <c r="S14" i="45"/>
  <c r="S15" i="45"/>
  <c r="S19" i="45"/>
  <c r="S21" i="45"/>
  <c r="S12" i="45"/>
  <c r="I5" i="44"/>
  <c r="I6" i="44"/>
  <c r="I7" i="44"/>
  <c r="T3" i="46" a="1"/>
  <c r="T9" i="46" a="1"/>
  <c r="U13" i="43" a="1"/>
  <c r="U9" i="43" a="1"/>
  <c r="U3" i="43" a="1"/>
  <c r="K6" i="44"/>
  <c r="K7" i="44"/>
  <c r="S3" i="46" a="1"/>
  <c r="T3" i="43" a="1"/>
  <c r="T9" i="43" a="1"/>
  <c r="S3" i="39" a="1"/>
  <c r="U3" i="46" a="1"/>
  <c r="U9" i="46" a="1"/>
  <c r="U13" i="46" a="1"/>
  <c r="S3" i="43" a="1"/>
  <c r="K5" i="44"/>
  <c r="S3" i="44" a="1"/>
  <c r="T9" i="44" a="1"/>
  <c r="T3" i="44" a="1"/>
  <c r="T3" i="39" a="1"/>
  <c r="T9" i="39" a="1"/>
  <c r="U3" i="44" a="1"/>
  <c r="U9" i="44" a="1"/>
  <c r="U13" i="44" a="1"/>
  <c r="U9" i="39" a="1"/>
  <c r="U13" i="39" a="1"/>
  <c r="U3" i="39" a="1"/>
  <c r="U3" i="39" l="1"/>
  <c r="U4" i="39"/>
  <c r="U5" i="39"/>
  <c r="U13" i="39"/>
  <c r="AA13" i="39" s="1"/>
  <c r="U9" i="39"/>
  <c r="U10" i="39"/>
  <c r="U13" i="44"/>
  <c r="AA13" i="44" s="1"/>
  <c r="U10" i="44"/>
  <c r="U9" i="44"/>
  <c r="U5" i="44"/>
  <c r="U3" i="44"/>
  <c r="U4" i="44"/>
  <c r="T10" i="39"/>
  <c r="T9" i="39"/>
  <c r="AA9" i="39" s="1" a="1"/>
  <c r="T3" i="39"/>
  <c r="T5" i="39"/>
  <c r="T4" i="39"/>
  <c r="T3" i="44"/>
  <c r="T5" i="44"/>
  <c r="T4" i="44"/>
  <c r="T9" i="44"/>
  <c r="T10" i="44"/>
  <c r="S3" i="44"/>
  <c r="S4" i="44"/>
  <c r="S5" i="44"/>
  <c r="M5" i="44"/>
  <c r="N5" i="44" s="1"/>
  <c r="S5" i="43"/>
  <c r="S4" i="43"/>
  <c r="S3" i="43"/>
  <c r="AA3" i="43" s="1" a="1"/>
  <c r="U13" i="46"/>
  <c r="AA13" i="46" s="1"/>
  <c r="U10" i="46"/>
  <c r="U9" i="46"/>
  <c r="U4" i="46"/>
  <c r="U5" i="46"/>
  <c r="U3" i="46"/>
  <c r="S3" i="39"/>
  <c r="S5" i="39"/>
  <c r="S4" i="39"/>
  <c r="T9" i="43"/>
  <c r="T10" i="43"/>
  <c r="T4" i="43"/>
  <c r="T5" i="43"/>
  <c r="T3" i="43"/>
  <c r="S4" i="46"/>
  <c r="S5" i="46"/>
  <c r="S3" i="46"/>
  <c r="AA3" i="46" s="1" a="1"/>
  <c r="M7" i="44"/>
  <c r="N7" i="44" s="1"/>
  <c r="M6" i="44"/>
  <c r="N6" i="44" s="1"/>
  <c r="U4" i="43"/>
  <c r="U5" i="43"/>
  <c r="U3" i="43"/>
  <c r="U9" i="43"/>
  <c r="U10" i="43"/>
  <c r="U13" i="43"/>
  <c r="AA13" i="43" s="1"/>
  <c r="T10" i="46"/>
  <c r="T9" i="46"/>
  <c r="AA9" i="46" s="1" a="1"/>
  <c r="T5" i="46"/>
  <c r="T3" i="46"/>
  <c r="T4" i="46"/>
  <c r="AA9" i="46" l="1"/>
  <c r="AB10" i="46"/>
  <c r="AB9" i="46"/>
  <c r="AA10" i="46"/>
  <c r="AA9" i="43" a="1"/>
  <c r="AA3" i="44" a="1"/>
  <c r="AA5" i="46"/>
  <c r="AB5" i="46"/>
  <c r="AC4" i="46"/>
  <c r="AB4" i="46"/>
  <c r="AA4" i="46"/>
  <c r="AC5" i="46"/>
  <c r="AB3" i="46"/>
  <c r="AA3" i="46"/>
  <c r="AC3" i="46"/>
  <c r="AA9" i="39"/>
  <c r="AB9" i="39"/>
  <c r="AB10" i="39"/>
  <c r="AA10" i="39"/>
  <c r="AB3" i="43"/>
  <c r="AC5" i="43"/>
  <c r="AB5" i="43"/>
  <c r="AC3" i="43"/>
  <c r="AA4" i="43"/>
  <c r="AB4" i="43"/>
  <c r="AA5" i="43"/>
  <c r="AA3" i="43"/>
  <c r="AC4" i="43"/>
  <c r="AA9" i="44" a="1"/>
  <c r="AA3" i="39" a="1"/>
  <c r="AC3" i="39" l="1"/>
  <c r="AB4" i="39"/>
  <c r="AC4" i="39"/>
  <c r="AC5" i="39"/>
  <c r="AA5" i="39"/>
  <c r="AB5" i="39"/>
  <c r="AB3" i="39"/>
  <c r="AA4" i="39"/>
  <c r="AA3" i="39"/>
  <c r="AB5" i="44"/>
  <c r="AA4" i="44"/>
  <c r="AA3" i="44"/>
  <c r="AB4" i="44"/>
  <c r="AB3" i="44"/>
  <c r="AC5" i="44"/>
  <c r="AC3" i="44"/>
  <c r="AC4" i="44"/>
  <c r="AA5" i="44"/>
  <c r="AB10" i="44"/>
  <c r="AB9" i="44"/>
  <c r="AA10" i="44"/>
  <c r="AA9" i="44"/>
  <c r="AB10" i="43"/>
  <c r="AA9" i="43"/>
  <c r="AB9" i="43"/>
  <c r="AA10" i="43"/>
  <c r="H13" i="39"/>
  <c r="N4" i="39"/>
  <c r="D43" i="29"/>
  <c r="Y13" i="39"/>
  <c r="Y3" i="39" a="1"/>
  <c r="Y4" i="39"/>
  <c r="Y5" i="39"/>
  <c r="Y3" i="39"/>
  <c r="D44" i="29"/>
  <c r="Y9" i="39" a="1"/>
  <c r="Y10" i="39"/>
  <c r="Y9" i="39"/>
  <c r="H13" i="43"/>
  <c r="N4" i="43"/>
  <c r="Y3" i="43" a="1"/>
  <c r="Y5" i="43"/>
  <c r="Y3" i="43"/>
  <c r="Y4" i="43"/>
  <c r="Y9" i="43" a="1"/>
  <c r="Y9" i="43"/>
  <c r="Y10" i="43"/>
  <c r="Y13" i="43"/>
  <c r="W13" i="43"/>
  <c r="M24" i="43" s="1"/>
  <c r="AH36" i="43"/>
  <c r="W13" i="39"/>
  <c r="W9" i="43" a="1"/>
  <c r="W9" i="43" s="1"/>
  <c r="W3" i="43" a="1"/>
  <c r="W5" i="43" s="1"/>
  <c r="W9" i="39" a="1"/>
  <c r="W9" i="39" s="1"/>
  <c r="W3" i="39" a="1"/>
  <c r="W3" i="39" s="1"/>
  <c r="N3" i="33" a="1"/>
  <c r="AH5" i="43" l="1"/>
  <c r="AH48" i="43"/>
  <c r="AH51" i="43"/>
  <c r="AH35" i="43"/>
  <c r="AH11" i="43"/>
  <c r="AH28" i="43"/>
  <c r="AH32" i="43"/>
  <c r="AH33" i="43"/>
  <c r="AH31" i="43"/>
  <c r="AH45" i="43"/>
  <c r="AH46" i="43"/>
  <c r="AH43" i="43"/>
  <c r="AH19" i="43"/>
  <c r="AH57" i="43"/>
  <c r="AH3" i="43"/>
  <c r="AH13" i="43"/>
  <c r="AH55" i="43"/>
  <c r="AH26" i="43"/>
  <c r="AH60" i="43"/>
  <c r="AH27" i="43"/>
  <c r="AH58" i="43"/>
  <c r="AH50" i="43"/>
  <c r="AH15" i="43"/>
  <c r="AH8" i="43"/>
  <c r="AH65" i="43"/>
  <c r="AH7" i="43"/>
  <c r="AH41" i="43"/>
  <c r="AH10" i="43"/>
  <c r="AH29" i="43"/>
  <c r="AH30" i="43"/>
  <c r="AH16" i="43"/>
  <c r="AH17" i="43"/>
  <c r="AH56" i="43"/>
  <c r="AH63" i="43"/>
  <c r="M22" i="43"/>
  <c r="AH42" i="43"/>
  <c r="AH52" i="43"/>
  <c r="AH62" i="43"/>
  <c r="AH20" i="43"/>
  <c r="AH39" i="43"/>
  <c r="AH61" i="43"/>
  <c r="AH59" i="43"/>
  <c r="M23" i="43"/>
  <c r="AH44" i="43"/>
  <c r="AH24" i="43"/>
  <c r="AH25" i="43"/>
  <c r="AH54" i="43"/>
  <c r="AH34" i="43"/>
  <c r="AH38" i="43"/>
  <c r="AH64" i="43"/>
  <c r="M21" i="43"/>
  <c r="AH37" i="43"/>
  <c r="AH4" i="43"/>
  <c r="AH23" i="43"/>
  <c r="AH6" i="43"/>
  <c r="AH18" i="43"/>
  <c r="AH14" i="43"/>
  <c r="AH21" i="43"/>
  <c r="M18" i="43"/>
  <c r="AH53" i="43"/>
  <c r="AH47" i="43"/>
  <c r="AH40" i="43"/>
  <c r="AH9" i="43"/>
  <c r="M19" i="43"/>
  <c r="M20" i="43"/>
  <c r="W10" i="43"/>
  <c r="N20" i="43" s="1"/>
  <c r="W10" i="39"/>
  <c r="N23" i="39" s="1"/>
  <c r="AH12" i="43"/>
  <c r="AH22" i="43"/>
  <c r="AH49" i="43"/>
  <c r="M25" i="39"/>
  <c r="M27" i="39"/>
  <c r="AH75" i="39"/>
  <c r="AH43" i="39"/>
  <c r="AH128" i="39"/>
  <c r="AH79" i="39"/>
  <c r="AH30" i="39"/>
  <c r="AH101" i="39"/>
  <c r="AH112" i="39"/>
  <c r="AH78" i="39"/>
  <c r="AH121" i="39"/>
  <c r="AH74" i="39"/>
  <c r="AH21" i="39"/>
  <c r="AH63" i="39"/>
  <c r="AH32" i="39"/>
  <c r="AH65" i="39"/>
  <c r="AH88" i="39"/>
  <c r="AH26" i="39"/>
  <c r="M21" i="39"/>
  <c r="M18" i="39"/>
  <c r="AH132" i="39"/>
  <c r="AH38" i="39"/>
  <c r="AH100" i="39"/>
  <c r="AH50" i="39"/>
  <c r="AH125" i="39"/>
  <c r="AH73" i="39"/>
  <c r="AH84" i="39"/>
  <c r="AH33" i="39"/>
  <c r="AH57" i="39"/>
  <c r="AH109" i="39"/>
  <c r="AH58" i="39"/>
  <c r="AH46" i="39"/>
  <c r="AH25" i="39"/>
  <c r="AH80" i="39"/>
  <c r="AH41" i="39"/>
  <c r="AH122" i="39"/>
  <c r="M20" i="39"/>
  <c r="AH104" i="39"/>
  <c r="AH82" i="39"/>
  <c r="AH15" i="39"/>
  <c r="AH120" i="39"/>
  <c r="AH85" i="39"/>
  <c r="AH3" i="39"/>
  <c r="AH40" i="39"/>
  <c r="AH123" i="39"/>
  <c r="AH44" i="39"/>
  <c r="AH18" i="39"/>
  <c r="AH118" i="39"/>
  <c r="AH97" i="39"/>
  <c r="AH107" i="39"/>
  <c r="AH81" i="39"/>
  <c r="AH6" i="39"/>
  <c r="AH35" i="39"/>
  <c r="AH94" i="39"/>
  <c r="M24" i="39"/>
  <c r="AH34" i="39"/>
  <c r="AH131" i="39"/>
  <c r="AH93" i="39"/>
  <c r="AH69" i="39"/>
  <c r="AH126" i="39"/>
  <c r="AH77" i="39"/>
  <c r="AH51" i="39"/>
  <c r="AH60" i="39"/>
  <c r="AH117" i="39"/>
  <c r="AH23" i="39"/>
  <c r="AH113" i="39"/>
  <c r="AH92" i="39"/>
  <c r="AH70" i="39"/>
  <c r="AH129" i="39"/>
  <c r="AH105" i="39"/>
  <c r="AH83" i="39"/>
  <c r="AH106" i="39"/>
  <c r="M19" i="39"/>
  <c r="AH108" i="39"/>
  <c r="AH95" i="39"/>
  <c r="AH62" i="39"/>
  <c r="AH98" i="39"/>
  <c r="AH53" i="39"/>
  <c r="AH4" i="39"/>
  <c r="AH90" i="39"/>
  <c r="AH14" i="39"/>
  <c r="AH110" i="39"/>
  <c r="AH64" i="39"/>
  <c r="AH37" i="39"/>
  <c r="AH36" i="39"/>
  <c r="AH22" i="39"/>
  <c r="AH71" i="39"/>
  <c r="AH7" i="39"/>
  <c r="AH119" i="39"/>
  <c r="AH54" i="39"/>
  <c r="AH45" i="39"/>
  <c r="AH124" i="39"/>
  <c r="AH19" i="39"/>
  <c r="AH31" i="39"/>
  <c r="AH67" i="39"/>
  <c r="AH115" i="39"/>
  <c r="AH24" i="39"/>
  <c r="AH89" i="39"/>
  <c r="AH87" i="39"/>
  <c r="AH96" i="39"/>
  <c r="AH61" i="39"/>
  <c r="AH39" i="39"/>
  <c r="AH10" i="39"/>
  <c r="AH111" i="39"/>
  <c r="AH68" i="39"/>
  <c r="AH29" i="39"/>
  <c r="AH56" i="39"/>
  <c r="AI17" i="43"/>
  <c r="AH55" i="39"/>
  <c r="AH12" i="39"/>
  <c r="AH99" i="39"/>
  <c r="AH91" i="39"/>
  <c r="AH8" i="39"/>
  <c r="AH103" i="39"/>
  <c r="AH11" i="39"/>
  <c r="AH17" i="39"/>
  <c r="AH28" i="39"/>
  <c r="AH130" i="39"/>
  <c r="AH114" i="39"/>
  <c r="AH116" i="39"/>
  <c r="W4" i="39"/>
  <c r="AH127" i="39"/>
  <c r="AH49" i="39"/>
  <c r="AH76" i="39"/>
  <c r="AH20" i="39"/>
  <c r="AH66" i="39"/>
  <c r="AH9" i="39"/>
  <c r="M22" i="39"/>
  <c r="W5" i="39"/>
  <c r="W4" i="43"/>
  <c r="AH59" i="39"/>
  <c r="AH16" i="39"/>
  <c r="AH42" i="39"/>
  <c r="AH13" i="39"/>
  <c r="AH86" i="39"/>
  <c r="AH48" i="39"/>
  <c r="M26" i="39"/>
  <c r="W3" i="43"/>
  <c r="AH102" i="39"/>
  <c r="AH27" i="39"/>
  <c r="AH72" i="39"/>
  <c r="AH52" i="39"/>
  <c r="AH5" i="39"/>
  <c r="AH47" i="39"/>
  <c r="M23" i="39"/>
  <c r="AI10" i="39" l="1"/>
  <c r="AI30" i="39"/>
  <c r="AI118" i="39"/>
  <c r="AI15" i="39"/>
  <c r="AI5" i="39"/>
  <c r="AI7" i="39"/>
  <c r="AI46" i="43"/>
  <c r="AI54" i="39"/>
  <c r="AI6" i="43"/>
  <c r="AI36" i="43"/>
  <c r="AI58" i="43"/>
  <c r="AI30" i="43"/>
  <c r="N19" i="43"/>
  <c r="AI110" i="39"/>
  <c r="AI106" i="39"/>
  <c r="AI113" i="39"/>
  <c r="AI26" i="39"/>
  <c r="AI24" i="39"/>
  <c r="AI23" i="39"/>
  <c r="N22" i="43"/>
  <c r="AI52" i="39"/>
  <c r="AI58" i="39"/>
  <c r="AI88" i="39"/>
  <c r="AI18" i="43"/>
  <c r="AI70" i="39"/>
  <c r="N25" i="39"/>
  <c r="N21" i="43"/>
  <c r="AI115" i="39"/>
  <c r="AI104" i="39"/>
  <c r="AI8" i="39"/>
  <c r="AI96" i="39"/>
  <c r="AI4" i="39"/>
  <c r="AI16" i="43"/>
  <c r="AI57" i="39"/>
  <c r="AI29" i="43"/>
  <c r="AI43" i="39"/>
  <c r="AI21" i="39"/>
  <c r="AI46" i="39"/>
  <c r="AI130" i="39"/>
  <c r="AI61" i="39"/>
  <c r="N23" i="43"/>
  <c r="AI48" i="43"/>
  <c r="AI16" i="39"/>
  <c r="AI101" i="39"/>
  <c r="AI59" i="39"/>
  <c r="AI66" i="39"/>
  <c r="AI77" i="39"/>
  <c r="AI50" i="39"/>
  <c r="N26" i="39"/>
  <c r="AI9" i="39"/>
  <c r="AI85" i="39"/>
  <c r="AI44" i="39"/>
  <c r="AI42" i="39"/>
  <c r="AI62" i="39"/>
  <c r="AI116" i="39"/>
  <c r="AI51" i="39"/>
  <c r="AI117" i="39"/>
  <c r="AI131" i="39"/>
  <c r="AI87" i="39"/>
  <c r="AI60" i="39"/>
  <c r="N18" i="39"/>
  <c r="AI107" i="39"/>
  <c r="AI79" i="39"/>
  <c r="AI124" i="39"/>
  <c r="AI123" i="39"/>
  <c r="AI11" i="39"/>
  <c r="N20" i="39"/>
  <c r="AI112" i="39"/>
  <c r="AI100" i="39"/>
  <c r="AI121" i="39"/>
  <c r="AI81" i="39"/>
  <c r="AI76" i="39"/>
  <c r="AI72" i="39"/>
  <c r="AI91" i="39"/>
  <c r="AI89" i="39"/>
  <c r="AI38" i="39"/>
  <c r="AI119" i="39"/>
  <c r="N19" i="39"/>
  <c r="AI129" i="39"/>
  <c r="AI105" i="39"/>
  <c r="AI39" i="39"/>
  <c r="AI69" i="39"/>
  <c r="N24" i="39"/>
  <c r="AI73" i="39"/>
  <c r="AI48" i="39"/>
  <c r="AI97" i="39"/>
  <c r="AI92" i="39"/>
  <c r="AI83" i="39"/>
  <c r="AI86" i="39"/>
  <c r="AI71" i="39"/>
  <c r="AI95" i="39"/>
  <c r="AI93" i="39"/>
  <c r="AI74" i="39"/>
  <c r="AI27" i="39"/>
  <c r="AI47" i="39"/>
  <c r="AI98" i="39"/>
  <c r="AI45" i="39"/>
  <c r="AI12" i="39"/>
  <c r="N22" i="39"/>
  <c r="AI35" i="39"/>
  <c r="AI55" i="39"/>
  <c r="AI108" i="39"/>
  <c r="AI109" i="39"/>
  <c r="AI18" i="39"/>
  <c r="AI53" i="39"/>
  <c r="AI126" i="39"/>
  <c r="AI82" i="39"/>
  <c r="AI43" i="43"/>
  <c r="AI50" i="43"/>
  <c r="N18" i="43"/>
  <c r="AI55" i="43"/>
  <c r="AI24" i="43"/>
  <c r="AI59" i="43"/>
  <c r="AI62" i="43"/>
  <c r="AI52" i="43"/>
  <c r="AI7" i="43"/>
  <c r="AI3" i="43"/>
  <c r="AI25" i="43"/>
  <c r="AI40" i="43"/>
  <c r="AI39" i="43"/>
  <c r="AI57" i="43"/>
  <c r="AI15" i="43"/>
  <c r="AI44" i="43"/>
  <c r="AI27" i="43"/>
  <c r="AI56" i="43"/>
  <c r="AI14" i="43"/>
  <c r="AI31" i="43"/>
  <c r="AI32" i="43"/>
  <c r="AI4" i="43"/>
  <c r="AI9" i="43"/>
  <c r="AI41" i="43"/>
  <c r="AI64" i="43"/>
  <c r="AI63" i="43"/>
  <c r="AI51" i="43"/>
  <c r="AI49" i="43"/>
  <c r="AI19" i="43"/>
  <c r="AI114" i="39"/>
  <c r="AI111" i="39"/>
  <c r="AI19" i="39"/>
  <c r="AI37" i="43"/>
  <c r="AI32" i="39"/>
  <c r="N21" i="39"/>
  <c r="AI6" i="39"/>
  <c r="AI20" i="43"/>
  <c r="AI41" i="39"/>
  <c r="AI12" i="43"/>
  <c r="AI80" i="39"/>
  <c r="AI122" i="39"/>
  <c r="AI103" i="39"/>
  <c r="AI11" i="43"/>
  <c r="AI38" i="43"/>
  <c r="AI14" i="39"/>
  <c r="AI49" i="39"/>
  <c r="AI33" i="43"/>
  <c r="N24" i="43"/>
  <c r="AI102" i="39"/>
  <c r="AI33" i="39"/>
  <c r="AI3" i="39"/>
  <c r="AI29" i="39"/>
  <c r="AI40" i="39"/>
  <c r="AI22" i="39"/>
  <c r="AI34" i="43"/>
  <c r="AI54" i="43"/>
  <c r="AI45" i="43"/>
  <c r="AI22" i="43"/>
  <c r="AI67" i="39"/>
  <c r="AI75" i="39"/>
  <c r="AI132" i="39"/>
  <c r="AI61" i="43"/>
  <c r="AI13" i="43"/>
  <c r="AI21" i="43"/>
  <c r="AI10" i="43"/>
  <c r="AI23" i="43"/>
  <c r="AI35" i="43"/>
  <c r="AI26" i="43"/>
  <c r="AI53" i="43"/>
  <c r="AI28" i="43"/>
  <c r="AI65" i="43"/>
  <c r="AI47" i="43"/>
  <c r="AI42" i="43"/>
  <c r="AI5" i="43"/>
  <c r="AI65" i="39"/>
  <c r="AI120" i="39"/>
  <c r="AI127" i="39"/>
  <c r="AI99" i="39"/>
  <c r="AI78" i="39"/>
  <c r="AI8" i="43"/>
  <c r="AJ23" i="43"/>
  <c r="AI68" i="39"/>
  <c r="AI36" i="39"/>
  <c r="N27" i="39"/>
  <c r="AI37" i="39"/>
  <c r="AI125" i="39"/>
  <c r="AI34" i="39"/>
  <c r="AI20" i="39"/>
  <c r="AI28" i="39"/>
  <c r="AI56" i="39"/>
  <c r="AI25" i="39"/>
  <c r="AI17" i="39"/>
  <c r="AI128" i="39"/>
  <c r="AI31" i="39"/>
  <c r="AI63" i="39"/>
  <c r="AI90" i="39"/>
  <c r="AI84" i="39"/>
  <c r="AI13" i="39"/>
  <c r="AI64" i="39"/>
  <c r="AI94" i="39"/>
  <c r="AI60" i="43"/>
  <c r="AJ41" i="43"/>
  <c r="AJ39" i="43"/>
  <c r="AJ15" i="43"/>
  <c r="AJ12" i="43"/>
  <c r="AJ57" i="43"/>
  <c r="AJ9" i="43"/>
  <c r="AJ17" i="43"/>
  <c r="AJ43" i="43"/>
  <c r="AJ3" i="43"/>
  <c r="O23" i="43"/>
  <c r="D37" i="43" s="1"/>
  <c r="J13" i="33" s="1"/>
  <c r="AJ45" i="43"/>
  <c r="AJ64" i="43"/>
  <c r="AJ30" i="43"/>
  <c r="AJ6" i="43"/>
  <c r="AJ32" i="43"/>
  <c r="AJ36" i="43"/>
  <c r="AJ5" i="43"/>
  <c r="AJ52" i="43"/>
  <c r="AJ11" i="43"/>
  <c r="AJ37" i="43"/>
  <c r="AJ63" i="43"/>
  <c r="AJ47" i="43"/>
  <c r="AJ58" i="43"/>
  <c r="AJ31" i="43"/>
  <c r="AJ46" i="43"/>
  <c r="AJ4" i="43"/>
  <c r="O24" i="43"/>
  <c r="D38" i="43" s="1"/>
  <c r="J14" i="33" s="1"/>
  <c r="AJ48" i="43"/>
  <c r="AJ51" i="43"/>
  <c r="AJ56" i="43"/>
  <c r="AJ44" i="43"/>
  <c r="O19" i="43"/>
  <c r="D33" i="43" s="1"/>
  <c r="J9" i="33" s="1"/>
  <c r="N9" i="33" s="1"/>
  <c r="AJ53" i="43"/>
  <c r="AJ26" i="43"/>
  <c r="AJ49" i="43"/>
  <c r="AJ7" i="43"/>
  <c r="AJ54" i="43"/>
  <c r="AJ33" i="43"/>
  <c r="AJ60" i="43"/>
  <c r="O21" i="43"/>
  <c r="D35" i="43" s="1"/>
  <c r="J11" i="33" s="1"/>
  <c r="AJ50" i="43"/>
  <c r="AJ8" i="43"/>
  <c r="O20" i="39"/>
  <c r="D34" i="39" s="1"/>
  <c r="J17" i="33" s="1"/>
  <c r="N17" i="33" s="1"/>
  <c r="O24" i="39"/>
  <c r="D38" i="39" s="1"/>
  <c r="J21" i="33" s="1"/>
  <c r="AJ16" i="39"/>
  <c r="AJ19" i="39"/>
  <c r="AJ22" i="39"/>
  <c r="AJ44" i="39"/>
  <c r="AJ10" i="39"/>
  <c r="AJ122" i="39"/>
  <c r="AJ115" i="39"/>
  <c r="AJ103" i="39"/>
  <c r="AJ87" i="39"/>
  <c r="AJ102" i="39"/>
  <c r="AJ78" i="39"/>
  <c r="AJ67" i="39"/>
  <c r="AJ8" i="39"/>
  <c r="AJ120" i="39"/>
  <c r="AJ95" i="39"/>
  <c r="AJ91" i="39"/>
  <c r="O19" i="39"/>
  <c r="D33" i="39" s="1"/>
  <c r="J16" i="33" s="1"/>
  <c r="AJ82" i="39"/>
  <c r="AJ116" i="39"/>
  <c r="AJ34" i="39"/>
  <c r="AJ117" i="39"/>
  <c r="AJ58" i="39"/>
  <c r="AJ65" i="39"/>
  <c r="AJ99" i="39"/>
  <c r="AJ4" i="39"/>
  <c r="AJ83" i="39"/>
  <c r="AJ90" i="39"/>
  <c r="AJ49" i="39"/>
  <c r="AJ119" i="39"/>
  <c r="AJ7" i="39"/>
  <c r="AJ59" i="39"/>
  <c r="AJ3" i="39"/>
  <c r="AJ51" i="39"/>
  <c r="O26" i="39"/>
  <c r="D40" i="39" s="1"/>
  <c r="J23" i="33" s="1"/>
  <c r="AJ84" i="39"/>
  <c r="AJ64" i="39"/>
  <c r="AJ5" i="39"/>
  <c r="AJ105" i="39"/>
  <c r="AJ55" i="39"/>
  <c r="AJ42" i="39"/>
  <c r="AJ35" i="39"/>
  <c r="AJ71" i="39"/>
  <c r="AJ33" i="39"/>
  <c r="AJ81" i="39"/>
  <c r="AJ18" i="39"/>
  <c r="AJ57" i="39"/>
  <c r="AJ110" i="39"/>
  <c r="AJ48" i="39"/>
  <c r="AJ11" i="39"/>
  <c r="AJ74" i="39"/>
  <c r="O21" i="39"/>
  <c r="D35" i="39" s="1"/>
  <c r="J18" i="33" s="1"/>
  <c r="O25" i="39"/>
  <c r="D39" i="39" s="1"/>
  <c r="J22" i="33" s="1"/>
  <c r="AJ130" i="39"/>
  <c r="AJ56" i="39"/>
  <c r="AJ12" i="39"/>
  <c r="AJ92" i="39"/>
  <c r="AJ132" i="39"/>
  <c r="AJ29" i="39"/>
  <c r="AJ106" i="39"/>
  <c r="AJ72" i="39"/>
  <c r="AJ50" i="39"/>
  <c r="AJ61" i="39"/>
  <c r="AJ70" i="39"/>
  <c r="AJ39" i="39"/>
  <c r="AJ88" i="39"/>
  <c r="AJ62" i="39"/>
  <c r="AJ98" i="39"/>
  <c r="AJ118" i="39"/>
  <c r="AJ114" i="39"/>
  <c r="AJ26" i="39"/>
  <c r="AJ125" i="39"/>
  <c r="AJ9" i="39"/>
  <c r="AJ123" i="39"/>
  <c r="AJ46" i="39"/>
  <c r="AJ93" i="39"/>
  <c r="AJ21" i="39"/>
  <c r="AJ32" i="39"/>
  <c r="AJ20" i="39"/>
  <c r="AJ14" i="39"/>
  <c r="AJ36" i="39"/>
  <c r="AJ108" i="39"/>
  <c r="AJ69" i="39"/>
  <c r="AJ63" i="39"/>
  <c r="AJ66" i="39"/>
  <c r="AJ27" i="39"/>
  <c r="O18" i="39"/>
  <c r="D32" i="39" s="1"/>
  <c r="J15" i="33" s="1"/>
  <c r="AJ129" i="39"/>
  <c r="AJ124" i="39"/>
  <c r="AJ60" i="39"/>
  <c r="AJ75" i="39"/>
  <c r="AJ47" i="39"/>
  <c r="AJ24" i="39"/>
  <c r="AJ13" i="39"/>
  <c r="AJ112" i="39"/>
  <c r="AJ43" i="39"/>
  <c r="AJ37" i="39"/>
  <c r="AJ104" i="39"/>
  <c r="AJ15" i="39"/>
  <c r="AJ17" i="39"/>
  <c r="AJ79" i="39"/>
  <c r="AJ96" i="39"/>
  <c r="AJ85" i="39"/>
  <c r="AJ107" i="39"/>
  <c r="O27" i="39"/>
  <c r="D41" i="39" s="1"/>
  <c r="J24" i="33" s="1"/>
  <c r="AJ68" i="39"/>
  <c r="AJ25" i="39"/>
  <c r="AJ28" i="39"/>
  <c r="AJ121" i="39"/>
  <c r="AJ23" i="39"/>
  <c r="AJ31" i="39"/>
  <c r="AJ41" i="39"/>
  <c r="AJ111" i="39"/>
  <c r="AJ77" i="39"/>
  <c r="AJ40" i="39"/>
  <c r="AJ127" i="39"/>
  <c r="AJ97" i="39"/>
  <c r="AJ109" i="39"/>
  <c r="AJ113" i="39"/>
  <c r="AJ89" i="39"/>
  <c r="AJ30" i="39"/>
  <c r="AJ76" i="39"/>
  <c r="AJ52" i="39"/>
  <c r="AJ101" i="39"/>
  <c r="AJ54" i="39"/>
  <c r="AJ126" i="39"/>
  <c r="AJ80" i="39"/>
  <c r="AJ94" i="39"/>
  <c r="AJ100" i="39"/>
  <c r="O22" i="39"/>
  <c r="D36" i="39" s="1"/>
  <c r="J19" i="33" s="1"/>
  <c r="AJ128" i="39"/>
  <c r="AJ45" i="39"/>
  <c r="AJ6" i="39"/>
  <c r="AJ73" i="39"/>
  <c r="AJ131" i="39"/>
  <c r="AJ38" i="39"/>
  <c r="AJ86" i="39"/>
  <c r="O23" i="39"/>
  <c r="D37" i="39" s="1"/>
  <c r="J20" i="33" s="1"/>
  <c r="AJ53" i="39"/>
  <c r="AJ10" i="43"/>
  <c r="O22" i="43"/>
  <c r="D36" i="43" s="1"/>
  <c r="J12" i="33" s="1"/>
  <c r="AJ40" i="43"/>
  <c r="AJ62" i="43"/>
  <c r="AJ34" i="43"/>
  <c r="AJ20" i="43"/>
  <c r="AJ38" i="43"/>
  <c r="AJ59" i="43"/>
  <c r="O18" i="43"/>
  <c r="D32" i="43" s="1"/>
  <c r="J8" i="33" s="1"/>
  <c r="AJ29" i="43"/>
  <c r="AJ65" i="43"/>
  <c r="AJ19" i="43"/>
  <c r="AJ61" i="43"/>
  <c r="AJ14" i="43"/>
  <c r="AJ16" i="43"/>
  <c r="AJ24" i="43"/>
  <c r="AJ18" i="43"/>
  <c r="AJ28" i="43"/>
  <c r="AJ13" i="43"/>
  <c r="AJ25" i="43"/>
  <c r="AJ22" i="43"/>
  <c r="AJ27" i="43"/>
  <c r="AJ42" i="43"/>
  <c r="AJ35" i="43"/>
  <c r="AJ55" i="43"/>
  <c r="AJ21" i="43"/>
  <c r="O20" i="43"/>
  <c r="D34" i="43" s="1"/>
  <c r="J10" i="33" s="1"/>
  <c r="O9" i="33"/>
  <c r="O17" i="33"/>
  <c r="N24" i="33"/>
  <c r="N16" i="33"/>
  <c r="N8" i="33"/>
  <c r="O16" i="33"/>
  <c r="O8" i="33"/>
  <c r="O24" i="33"/>
  <c r="N23" i="33"/>
  <c r="N15" i="33"/>
  <c r="O15" i="33"/>
  <c r="O23" i="33"/>
  <c r="N22" i="33"/>
  <c r="N14" i="33"/>
  <c r="O14" i="33"/>
  <c r="O22" i="33"/>
  <c r="N21" i="33"/>
  <c r="N13" i="33"/>
  <c r="O13" i="33"/>
  <c r="O21" i="33"/>
  <c r="N20" i="33"/>
  <c r="N12" i="33"/>
  <c r="O20" i="33"/>
  <c r="O12" i="33"/>
  <c r="N19" i="33"/>
  <c r="N11" i="33"/>
  <c r="O19" i="33"/>
  <c r="O11" i="33"/>
  <c r="N18" i="33"/>
  <c r="N10" i="33"/>
  <c r="O18" i="33"/>
  <c r="O10" i="33"/>
  <c r="P15" i="33"/>
  <c r="P8" i="33"/>
  <c r="P13" i="45" a="1"/>
  <c r="O13" i="45" a="1"/>
  <c r="O21" i="45"/>
  <c r="P14" i="45"/>
  <c r="O18" i="45"/>
  <c r="P19" i="45"/>
  <c r="O16" i="45"/>
  <c r="P21" i="45"/>
  <c r="O19" i="45"/>
  <c r="P18" i="45"/>
  <c r="O13" i="45"/>
  <c r="P13" i="45"/>
  <c r="O20" i="45"/>
  <c r="P15" i="45"/>
  <c r="P16" i="45"/>
  <c r="P17" i="45"/>
  <c r="O14" i="45"/>
  <c r="O17" i="45"/>
  <c r="O15" i="45"/>
  <c r="P20" i="45"/>
  <c r="H13" i="44"/>
  <c r="N4" i="44"/>
  <c r="Y3" i="44" a="1"/>
  <c r="Y9" i="44" a="1"/>
  <c r="Y13" i="44"/>
  <c r="H13" i="46"/>
  <c r="Y10" i="44"/>
  <c r="Y9" i="44"/>
  <c r="W9" i="44" a="1"/>
  <c r="Y3" i="44"/>
  <c r="Y4" i="44"/>
  <c r="Y5" i="44"/>
  <c r="W3" i="44" a="1"/>
  <c r="N4" i="46"/>
  <c r="Y13" i="46"/>
  <c r="W4" i="44"/>
  <c r="W10" i="44"/>
  <c r="W3" i="44"/>
  <c r="W5" i="44"/>
  <c r="W9" i="44"/>
  <c r="Y3" i="46" a="1"/>
  <c r="AI22" i="44"/>
  <c r="AI23" i="44"/>
  <c r="AJ22" i="44"/>
  <c r="AJ3" i="44"/>
  <c r="AJ6" i="44"/>
  <c r="AI18" i="44"/>
  <c r="AJ20" i="44"/>
  <c r="AJ23" i="44"/>
  <c r="Y5" i="46"/>
  <c r="AI10" i="44"/>
  <c r="AJ9" i="44"/>
  <c r="AJ14" i="44"/>
  <c r="AI11" i="44"/>
  <c r="AJ12" i="44"/>
  <c r="AJ21" i="44"/>
  <c r="AI20" i="44"/>
  <c r="AI17" i="44"/>
  <c r="AI13" i="44"/>
  <c r="AI19" i="44"/>
  <c r="AJ19" i="44"/>
  <c r="AJ24" i="44"/>
  <c r="AJ16" i="44"/>
  <c r="AI5" i="44"/>
  <c r="AJ5" i="44"/>
  <c r="AI9" i="44"/>
  <c r="AJ7" i="44"/>
  <c r="AI4" i="44"/>
  <c r="AJ17" i="44"/>
  <c r="AI6" i="44"/>
  <c r="AI3" i="44"/>
  <c r="AI15" i="44"/>
  <c r="AJ4" i="44"/>
  <c r="Y3" i="46"/>
  <c r="AI24" i="44"/>
  <c r="AJ11" i="44"/>
  <c r="Y4" i="46"/>
  <c r="AJ13" i="44"/>
  <c r="AJ8" i="44"/>
  <c r="AI16" i="44"/>
  <c r="AJ15" i="44"/>
  <c r="AI21" i="44"/>
  <c r="AJ10" i="44"/>
  <c r="AI14" i="44"/>
  <c r="AI12" i="44"/>
  <c r="AI8" i="44"/>
  <c r="AJ18" i="44"/>
  <c r="AI7" i="44"/>
  <c r="Y9" i="46" a="1"/>
  <c r="Y10" i="46"/>
  <c r="Y9" i="46"/>
  <c r="N22" i="44" l="1"/>
  <c r="N18" i="44"/>
  <c r="O19" i="44"/>
  <c r="D28" i="44"/>
  <c r="J4" i="33"/>
  <c r="O22" i="44"/>
  <c r="D31" i="44"/>
  <c r="J7" i="33" s="1"/>
  <c r="N21" i="44"/>
  <c r="O18" i="44"/>
  <c r="D27" i="44"/>
  <c r="J3" i="33"/>
  <c r="N20" i="44"/>
  <c r="N19" i="44"/>
  <c r="O20" i="44"/>
  <c r="D29" i="44" s="1"/>
  <c r="J5" i="33" s="1"/>
  <c r="O21" i="44"/>
  <c r="D30" i="44" s="1"/>
  <c r="J6" i="33" s="1"/>
  <c r="W13" i="46"/>
  <c r="M22" i="46" s="1"/>
  <c r="W13" i="44"/>
  <c r="AH11" i="44" s="1"/>
  <c r="M20" i="44"/>
  <c r="W9" i="46" a="1"/>
  <c r="W9" i="46" s="1"/>
  <c r="W3" i="46" a="1"/>
  <c r="W3" i="46" s="1"/>
  <c r="AH154" i="46" l="1"/>
  <c r="M29" i="46"/>
  <c r="M24" i="46"/>
  <c r="M20" i="46"/>
  <c r="AH17" i="44"/>
  <c r="M28" i="46"/>
  <c r="AH13" i="44"/>
  <c r="AH257" i="46"/>
  <c r="AH113" i="46"/>
  <c r="AH203" i="46"/>
  <c r="W4" i="46"/>
  <c r="AH208" i="46"/>
  <c r="AH115" i="46"/>
  <c r="W5" i="46"/>
  <c r="AJ174" i="46" s="1"/>
  <c r="AH8" i="46"/>
  <c r="AH223" i="46"/>
  <c r="AH156" i="46"/>
  <c r="AH62" i="46"/>
  <c r="AH55" i="46"/>
  <c r="AH70" i="46"/>
  <c r="AH172" i="46"/>
  <c r="AH58" i="46"/>
  <c r="AH121" i="46"/>
  <c r="AH191" i="46"/>
  <c r="AH44" i="46"/>
  <c r="AH177" i="46"/>
  <c r="AH3" i="46"/>
  <c r="AH129" i="46"/>
  <c r="AH187" i="46"/>
  <c r="AH5" i="46"/>
  <c r="AH131" i="46"/>
  <c r="AH160" i="46"/>
  <c r="AH14" i="46"/>
  <c r="W10" i="46"/>
  <c r="AI118" i="46" s="1"/>
  <c r="AH246" i="46"/>
  <c r="AH66" i="46"/>
  <c r="AH69" i="46"/>
  <c r="AH15" i="46"/>
  <c r="AH76" i="46"/>
  <c r="AH110" i="46"/>
  <c r="AH107" i="46"/>
  <c r="AH126" i="46"/>
  <c r="AH158" i="46"/>
  <c r="AH217" i="46"/>
  <c r="AH162" i="46"/>
  <c r="AH74" i="46"/>
  <c r="AH241" i="46"/>
  <c r="AH175" i="46"/>
  <c r="AH30" i="46"/>
  <c r="AH133" i="46"/>
  <c r="AH247" i="46"/>
  <c r="AH50" i="46"/>
  <c r="AH100" i="46"/>
  <c r="AH166" i="46"/>
  <c r="AH196" i="46"/>
  <c r="AH118" i="46"/>
  <c r="AH256" i="46"/>
  <c r="AH179" i="46"/>
  <c r="AH236" i="46"/>
  <c r="AH159" i="46"/>
  <c r="AH219" i="46"/>
  <c r="AH4" i="46"/>
  <c r="AH24" i="46"/>
  <c r="AH138" i="46"/>
  <c r="AH231" i="46"/>
  <c r="AH251" i="46"/>
  <c r="AH32" i="46"/>
  <c r="AH161" i="46"/>
  <c r="AH93" i="46"/>
  <c r="AH214" i="46"/>
  <c r="AH150" i="46"/>
  <c r="AH91" i="46"/>
  <c r="AH168" i="46"/>
  <c r="AH19" i="46"/>
  <c r="AH199" i="46"/>
  <c r="AH147" i="46"/>
  <c r="M25" i="46"/>
  <c r="AH24" i="44"/>
  <c r="AH52" i="46"/>
  <c r="AH96" i="46"/>
  <c r="AH226" i="46"/>
  <c r="AH12" i="46"/>
  <c r="AH81" i="46"/>
  <c r="AH122" i="46"/>
  <c r="AH213" i="46"/>
  <c r="AH38" i="46"/>
  <c r="AH111" i="46"/>
  <c r="AH252" i="46"/>
  <c r="AH181" i="46"/>
  <c r="M30" i="46"/>
  <c r="AH143" i="46"/>
  <c r="AH21" i="46"/>
  <c r="AH61" i="46"/>
  <c r="AH43" i="46"/>
  <c r="AH137" i="46"/>
  <c r="AH109" i="46"/>
  <c r="AH37" i="46"/>
  <c r="AH101" i="46"/>
  <c r="AH67" i="46"/>
  <c r="AH205" i="46"/>
  <c r="AH245" i="46"/>
  <c r="M19" i="44"/>
  <c r="AH19" i="44"/>
  <c r="AH15" i="44"/>
  <c r="M21" i="44"/>
  <c r="AH4" i="44"/>
  <c r="AH3" i="44"/>
  <c r="M18" i="44"/>
  <c r="AH22" i="44"/>
  <c r="AH9" i="44"/>
  <c r="M22" i="44"/>
  <c r="AH5" i="44"/>
  <c r="AH18" i="44"/>
  <c r="AH20" i="44"/>
  <c r="AH8" i="44"/>
  <c r="AH12" i="44"/>
  <c r="AH23" i="44"/>
  <c r="M27" i="46"/>
  <c r="M26" i="46"/>
  <c r="AH186" i="46"/>
  <c r="AH49" i="46"/>
  <c r="AH59" i="46"/>
  <c r="AH254" i="46"/>
  <c r="AH45" i="46"/>
  <c r="AH7" i="46"/>
  <c r="AH139" i="46"/>
  <c r="AH193" i="46"/>
  <c r="AH201" i="46"/>
  <c r="AH152" i="46"/>
  <c r="AH65" i="46"/>
  <c r="AH206" i="46"/>
  <c r="AH98" i="46"/>
  <c r="AH224" i="46"/>
  <c r="AH243" i="46"/>
  <c r="AH188" i="46"/>
  <c r="AH28" i="46"/>
  <c r="AH25" i="46"/>
  <c r="AH41" i="46"/>
  <c r="AH46" i="46"/>
  <c r="AH184" i="46"/>
  <c r="AH60" i="46"/>
  <c r="AH26" i="46"/>
  <c r="AH167" i="46"/>
  <c r="AH36" i="46"/>
  <c r="AH169" i="46"/>
  <c r="AH250" i="46"/>
  <c r="AH128" i="46"/>
  <c r="AH230" i="46"/>
  <c r="AH134" i="46"/>
  <c r="AH48" i="46"/>
  <c r="AH140" i="46"/>
  <c r="M31" i="46"/>
  <c r="M32" i="46"/>
  <c r="AH149" i="46"/>
  <c r="AH182" i="46"/>
  <c r="AH228" i="46"/>
  <c r="AH124" i="46"/>
  <c r="AH112" i="46"/>
  <c r="AH95" i="46"/>
  <c r="AH244" i="46"/>
  <c r="AH189" i="46"/>
  <c r="AH135" i="46"/>
  <c r="AH57" i="46"/>
  <c r="AH198" i="46"/>
  <c r="AH68" i="46"/>
  <c r="AH34" i="46"/>
  <c r="AH29" i="46"/>
  <c r="AH240" i="46"/>
  <c r="AH171" i="46"/>
  <c r="AH75" i="46"/>
  <c r="AH63" i="46"/>
  <c r="AH79" i="46"/>
  <c r="AH176" i="46"/>
  <c r="AH89" i="46"/>
  <c r="AH229" i="46"/>
  <c r="AH195" i="46"/>
  <c r="AH27" i="46"/>
  <c r="AH83" i="46"/>
  <c r="AH242" i="46"/>
  <c r="AH185" i="46"/>
  <c r="AH71" i="46"/>
  <c r="AH127" i="46"/>
  <c r="AH40" i="46"/>
  <c r="AH178" i="46"/>
  <c r="AH82" i="46"/>
  <c r="M33" i="46"/>
  <c r="AH64" i="46"/>
  <c r="AH144" i="46"/>
  <c r="AH106" i="46"/>
  <c r="AH23" i="46"/>
  <c r="AH235" i="46"/>
  <c r="AH47" i="46"/>
  <c r="AH13" i="46"/>
  <c r="AH255" i="46"/>
  <c r="AH233" i="46"/>
  <c r="AH51" i="46"/>
  <c r="AH56" i="46"/>
  <c r="AH210" i="46"/>
  <c r="AH234" i="46"/>
  <c r="AH92" i="46"/>
  <c r="AH20" i="46"/>
  <c r="AH249" i="46"/>
  <c r="AH192" i="46"/>
  <c r="AH216" i="46"/>
  <c r="AH248" i="46"/>
  <c r="AH102" i="46"/>
  <c r="AH97" i="46"/>
  <c r="AH11" i="46"/>
  <c r="AH238" i="46"/>
  <c r="AH221" i="46"/>
  <c r="M18" i="46"/>
  <c r="AH105" i="46"/>
  <c r="AH87" i="46"/>
  <c r="AH42" i="46"/>
  <c r="AH22" i="46"/>
  <c r="AH31" i="46"/>
  <c r="AH215" i="46"/>
  <c r="AH9" i="46"/>
  <c r="AH190" i="46"/>
  <c r="AH132" i="46"/>
  <c r="AH220" i="46"/>
  <c r="AH194" i="46"/>
  <c r="AH53" i="46"/>
  <c r="AH39" i="46"/>
  <c r="AH84" i="46"/>
  <c r="AH17" i="46"/>
  <c r="AH146" i="46"/>
  <c r="AH165" i="46"/>
  <c r="AH151" i="46"/>
  <c r="AH183" i="46"/>
  <c r="AH197" i="46"/>
  <c r="AH253" i="46"/>
  <c r="AH18" i="46"/>
  <c r="AH170" i="46"/>
  <c r="AH157" i="46"/>
  <c r="AH21" i="44"/>
  <c r="AH14" i="44"/>
  <c r="AH204" i="46"/>
  <c r="AH78" i="46"/>
  <c r="AH209" i="46"/>
  <c r="AH6" i="46"/>
  <c r="AH119" i="46"/>
  <c r="AH90" i="46"/>
  <c r="AH120" i="46"/>
  <c r="AH108" i="46"/>
  <c r="AH116" i="46"/>
  <c r="AH141" i="46"/>
  <c r="AH232" i="46"/>
  <c r="AH173" i="46"/>
  <c r="AH125" i="46"/>
  <c r="AH33" i="46"/>
  <c r="AH142" i="46"/>
  <c r="AH88" i="46"/>
  <c r="AH211" i="46"/>
  <c r="AH174" i="46"/>
  <c r="M19" i="46"/>
  <c r="AH10" i="44"/>
  <c r="AH6" i="44"/>
  <c r="AH35" i="46"/>
  <c r="AH103" i="46"/>
  <c r="AH239" i="46"/>
  <c r="AH227" i="46"/>
  <c r="AH80" i="46"/>
  <c r="AH148" i="46"/>
  <c r="AH222" i="46"/>
  <c r="AH10" i="46"/>
  <c r="AH85" i="46"/>
  <c r="AH153" i="46"/>
  <c r="AH117" i="46"/>
  <c r="AH237" i="46"/>
  <c r="AH225" i="46"/>
  <c r="AH155" i="46"/>
  <c r="AH207" i="46"/>
  <c r="AH145" i="46"/>
  <c r="AH164" i="46"/>
  <c r="AH130" i="46"/>
  <c r="M21" i="46"/>
  <c r="AH16" i="44"/>
  <c r="AH7" i="44"/>
  <c r="AH99" i="46"/>
  <c r="AH200" i="46"/>
  <c r="AH16" i="46"/>
  <c r="AH180" i="46"/>
  <c r="AH136" i="46"/>
  <c r="AH212" i="46"/>
  <c r="AH54" i="46"/>
  <c r="AH104" i="46"/>
  <c r="AH163" i="46"/>
  <c r="AH218" i="46"/>
  <c r="AH86" i="46"/>
  <c r="AH73" i="46"/>
  <c r="AH94" i="46"/>
  <c r="AH114" i="46"/>
  <c r="AH77" i="46"/>
  <c r="AH202" i="46"/>
  <c r="AH123" i="46"/>
  <c r="AH72" i="46"/>
  <c r="M23" i="46"/>
  <c r="AJ120" i="46" l="1"/>
  <c r="AJ88" i="46"/>
  <c r="O33" i="46"/>
  <c r="AJ17" i="46"/>
  <c r="AJ214" i="46"/>
  <c r="AJ83" i="46"/>
  <c r="AJ53" i="46"/>
  <c r="AJ131" i="46"/>
  <c r="AI135" i="46"/>
  <c r="AJ9" i="46"/>
  <c r="AJ245" i="46"/>
  <c r="AJ152" i="46"/>
  <c r="AJ161" i="46"/>
  <c r="AJ171" i="46"/>
  <c r="AJ168" i="46"/>
  <c r="AJ175" i="46"/>
  <c r="AJ38" i="46"/>
  <c r="AJ80" i="46"/>
  <c r="AJ179" i="46"/>
  <c r="AJ98" i="46"/>
  <c r="AJ14" i="46"/>
  <c r="AI231" i="46"/>
  <c r="AJ164" i="46"/>
  <c r="AJ81" i="46"/>
  <c r="AJ19" i="46"/>
  <c r="AJ206" i="46"/>
  <c r="AJ13" i="46"/>
  <c r="AJ31" i="46"/>
  <c r="AJ242" i="46"/>
  <c r="AJ30" i="46"/>
  <c r="AJ102" i="46"/>
  <c r="AJ11" i="46"/>
  <c r="AJ189" i="46"/>
  <c r="O23" i="46"/>
  <c r="AJ85" i="46"/>
  <c r="AJ183" i="46"/>
  <c r="AJ43" i="46"/>
  <c r="AJ114" i="46"/>
  <c r="AJ77" i="46"/>
  <c r="AJ33" i="46"/>
  <c r="AJ23" i="46"/>
  <c r="AJ239" i="46"/>
  <c r="AJ255" i="46"/>
  <c r="AJ111" i="46"/>
  <c r="AJ60" i="46"/>
  <c r="AJ87" i="46"/>
  <c r="AJ20" i="46"/>
  <c r="AJ68" i="46"/>
  <c r="AJ49" i="46"/>
  <c r="O29" i="46"/>
  <c r="AJ233" i="46"/>
  <c r="O21" i="46"/>
  <c r="AJ225" i="46"/>
  <c r="AJ197" i="46"/>
  <c r="AJ248" i="46"/>
  <c r="AJ40" i="46"/>
  <c r="AJ232" i="46"/>
  <c r="AJ44" i="46"/>
  <c r="AJ136" i="46"/>
  <c r="AJ57" i="46"/>
  <c r="AJ5" i="46"/>
  <c r="AJ126" i="46"/>
  <c r="AJ29" i="46"/>
  <c r="AJ10" i="46"/>
  <c r="AJ217" i="46"/>
  <c r="AJ194" i="46"/>
  <c r="AJ240" i="46"/>
  <c r="AJ64" i="46"/>
  <c r="AJ147" i="46"/>
  <c r="AJ75" i="46"/>
  <c r="AJ253" i="46"/>
  <c r="AJ216" i="46"/>
  <c r="AJ200" i="46"/>
  <c r="AJ45" i="46"/>
  <c r="AJ204" i="46"/>
  <c r="AJ18" i="46"/>
  <c r="AJ67" i="46"/>
  <c r="AJ190" i="46"/>
  <c r="AJ186" i="46"/>
  <c r="AJ71" i="46"/>
  <c r="AJ167" i="46"/>
  <c r="AJ37" i="46"/>
  <c r="AJ198" i="46"/>
  <c r="AJ128" i="46"/>
  <c r="AJ158" i="46"/>
  <c r="AJ192" i="46"/>
  <c r="AJ48" i="46"/>
  <c r="O31" i="46"/>
  <c r="AJ160" i="46"/>
  <c r="O24" i="46"/>
  <c r="AJ213" i="46"/>
  <c r="AJ153" i="46"/>
  <c r="AJ101" i="46"/>
  <c r="AJ133" i="46"/>
  <c r="AJ140" i="46"/>
  <c r="O20" i="46"/>
  <c r="AJ210" i="46"/>
  <c r="AJ199" i="46"/>
  <c r="AJ22" i="46"/>
  <c r="AJ32" i="46"/>
  <c r="AJ92" i="46"/>
  <c r="AJ252" i="46"/>
  <c r="AJ181" i="46"/>
  <c r="AJ182" i="46"/>
  <c r="AJ159" i="46"/>
  <c r="AJ94" i="46"/>
  <c r="AJ151" i="46"/>
  <c r="AJ238" i="46"/>
  <c r="AJ187" i="46"/>
  <c r="AJ15" i="46"/>
  <c r="AJ8" i="46"/>
  <c r="AJ246" i="46"/>
  <c r="AJ99" i="46"/>
  <c r="AJ196" i="46"/>
  <c r="AJ127" i="46"/>
  <c r="AJ39" i="46"/>
  <c r="AJ227" i="46"/>
  <c r="AJ157" i="46"/>
  <c r="AJ145" i="46"/>
  <c r="AJ70" i="46"/>
  <c r="AJ66" i="46"/>
  <c r="AJ215" i="46"/>
  <c r="AJ47" i="46"/>
  <c r="AJ105" i="46"/>
  <c r="AJ117" i="46"/>
  <c r="AJ226" i="46"/>
  <c r="AJ104" i="46"/>
  <c r="AJ106" i="46"/>
  <c r="AJ247" i="46"/>
  <c r="AJ52" i="46"/>
  <c r="AJ154" i="46"/>
  <c r="AJ59" i="46"/>
  <c r="AJ97" i="46"/>
  <c r="AJ249" i="46"/>
  <c r="AJ254" i="46"/>
  <c r="AJ234" i="46"/>
  <c r="AJ62" i="46"/>
  <c r="AJ103" i="46"/>
  <c r="AJ4" i="46"/>
  <c r="AJ116" i="46"/>
  <c r="AJ46" i="46"/>
  <c r="AJ118" i="46"/>
  <c r="AJ135" i="46"/>
  <c r="AJ244" i="46"/>
  <c r="AJ55" i="46"/>
  <c r="AJ50" i="46"/>
  <c r="AJ251" i="46"/>
  <c r="AJ209" i="46"/>
  <c r="AJ166" i="46"/>
  <c r="AJ170" i="46"/>
  <c r="AJ143" i="46"/>
  <c r="O18" i="46"/>
  <c r="AJ90" i="46"/>
  <c r="O22" i="46"/>
  <c r="AJ93" i="46"/>
  <c r="AJ27" i="46"/>
  <c r="AJ223" i="46"/>
  <c r="AJ178" i="46"/>
  <c r="AJ51" i="46"/>
  <c r="O32" i="46"/>
  <c r="AJ129" i="46"/>
  <c r="AJ125" i="46"/>
  <c r="AJ201" i="46"/>
  <c r="AJ142" i="46"/>
  <c r="AJ193" i="46"/>
  <c r="AJ78" i="46"/>
  <c r="AJ203" i="46"/>
  <c r="AJ231" i="46"/>
  <c r="AJ121" i="46"/>
  <c r="AI10" i="46"/>
  <c r="AI125" i="46"/>
  <c r="N32" i="46"/>
  <c r="D52" i="46" s="1"/>
  <c r="J39" i="33" s="1"/>
  <c r="AI192" i="46"/>
  <c r="AI95" i="46"/>
  <c r="AI98" i="46"/>
  <c r="AI148" i="46"/>
  <c r="AI65" i="46"/>
  <c r="AI84" i="46"/>
  <c r="AI230" i="46"/>
  <c r="AI37" i="46"/>
  <c r="AI20" i="46"/>
  <c r="AI249" i="46"/>
  <c r="AI119" i="46"/>
  <c r="AI160" i="46"/>
  <c r="AI182" i="46"/>
  <c r="AI174" i="46"/>
  <c r="AI240" i="46"/>
  <c r="AI173" i="46"/>
  <c r="AI134" i="46"/>
  <c r="AI47" i="46"/>
  <c r="AI38" i="46"/>
  <c r="AI42" i="46"/>
  <c r="AI76" i="46"/>
  <c r="AI100" i="46"/>
  <c r="AI7" i="46"/>
  <c r="AI152" i="46"/>
  <c r="AI175" i="46"/>
  <c r="AI197" i="46"/>
  <c r="AJ24" i="46"/>
  <c r="AJ195" i="46"/>
  <c r="AJ56" i="46"/>
  <c r="AJ72" i="46"/>
  <c r="AJ146" i="46"/>
  <c r="AJ138" i="46"/>
  <c r="AJ236" i="46"/>
  <c r="AJ134" i="46"/>
  <c r="AJ202" i="46"/>
  <c r="AJ63" i="46"/>
  <c r="AJ61" i="46"/>
  <c r="AJ222" i="46"/>
  <c r="AJ163" i="46"/>
  <c r="AJ219" i="46"/>
  <c r="AJ3" i="46"/>
  <c r="AJ76" i="46"/>
  <c r="AJ137" i="46"/>
  <c r="AJ141" i="46"/>
  <c r="AJ207" i="46"/>
  <c r="AJ123" i="46"/>
  <c r="O25" i="46"/>
  <c r="AJ95" i="46"/>
  <c r="AJ79" i="46"/>
  <c r="AJ7" i="46"/>
  <c r="O30" i="46"/>
  <c r="AJ54" i="46"/>
  <c r="AJ119" i="46"/>
  <c r="AJ35" i="46"/>
  <c r="AJ169" i="46"/>
  <c r="AJ184" i="46"/>
  <c r="AJ221" i="46"/>
  <c r="AJ237" i="46"/>
  <c r="AJ108" i="46"/>
  <c r="AJ25" i="46"/>
  <c r="AJ84" i="46"/>
  <c r="AJ122" i="46"/>
  <c r="AJ58" i="46"/>
  <c r="AJ243" i="46"/>
  <c r="AJ36" i="46"/>
  <c r="AJ42" i="46"/>
  <c r="AJ229" i="46"/>
  <c r="AJ148" i="46"/>
  <c r="AJ155" i="46"/>
  <c r="AJ115" i="46"/>
  <c r="AJ235" i="46"/>
  <c r="AJ124" i="46"/>
  <c r="AJ224" i="46"/>
  <c r="AJ26" i="46"/>
  <c r="O27" i="46"/>
  <c r="AJ220" i="46"/>
  <c r="AJ86" i="46"/>
  <c r="AJ230" i="46"/>
  <c r="AJ241" i="46"/>
  <c r="AJ176" i="46"/>
  <c r="AJ156" i="46"/>
  <c r="AJ107" i="46"/>
  <c r="AJ149" i="46"/>
  <c r="AJ228" i="46"/>
  <c r="AJ180" i="46"/>
  <c r="AJ34" i="46"/>
  <c r="AJ173" i="46"/>
  <c r="AJ73" i="46"/>
  <c r="AJ139" i="46"/>
  <c r="AJ218" i="46"/>
  <c r="AJ6" i="46"/>
  <c r="AJ208" i="46"/>
  <c r="AJ191" i="46"/>
  <c r="AJ162" i="46"/>
  <c r="AJ112" i="46"/>
  <c r="AJ144" i="46"/>
  <c r="AJ100" i="46"/>
  <c r="AJ113" i="46"/>
  <c r="AJ89" i="46"/>
  <c r="AJ109" i="46"/>
  <c r="AJ257" i="46"/>
  <c r="AJ185" i="46"/>
  <c r="O19" i="46"/>
  <c r="AJ212" i="46"/>
  <c r="AJ74" i="46"/>
  <c r="AJ188" i="46"/>
  <c r="AJ91" i="46"/>
  <c r="AJ211" i="46"/>
  <c r="AJ250" i="46"/>
  <c r="AJ130" i="46"/>
  <c r="AJ82" i="46"/>
  <c r="AJ172" i="46"/>
  <c r="AJ177" i="46"/>
  <c r="AJ165" i="46"/>
  <c r="AJ69" i="46"/>
  <c r="AJ41" i="46"/>
  <c r="AJ65" i="46"/>
  <c r="AJ96" i="46"/>
  <c r="O28" i="46"/>
  <c r="O26" i="46"/>
  <c r="AJ205" i="46"/>
  <c r="AJ28" i="46"/>
  <c r="AJ132" i="46"/>
  <c r="AJ110" i="46"/>
  <c r="AJ21" i="46"/>
  <c r="AJ16" i="46"/>
  <c r="AJ12" i="46"/>
  <c r="AJ150" i="46"/>
  <c r="AJ256" i="46"/>
  <c r="AI81" i="46"/>
  <c r="AI15" i="46"/>
  <c r="AI157" i="46"/>
  <c r="AI138" i="46"/>
  <c r="AI183" i="46"/>
  <c r="AI44" i="46"/>
  <c r="AI147" i="46"/>
  <c r="AI143" i="46"/>
  <c r="AI126" i="46"/>
  <c r="AI198" i="46"/>
  <c r="AI141" i="46"/>
  <c r="AI36" i="46"/>
  <c r="AI51" i="46"/>
  <c r="AI223" i="46"/>
  <c r="AI215" i="46"/>
  <c r="AI33" i="46"/>
  <c r="AI196" i="46"/>
  <c r="AI61" i="46"/>
  <c r="AI52" i="46"/>
  <c r="AI200" i="46"/>
  <c r="AI85" i="46"/>
  <c r="AI40" i="46"/>
  <c r="AI129" i="46"/>
  <c r="AI96" i="46"/>
  <c r="AI75" i="46"/>
  <c r="N23" i="46"/>
  <c r="D43" i="46" s="1"/>
  <c r="J30" i="33" s="1"/>
  <c r="AI24" i="46"/>
  <c r="AI163" i="46"/>
  <c r="AI213" i="46"/>
  <c r="AI130" i="46"/>
  <c r="AI97" i="46"/>
  <c r="N26" i="46"/>
  <c r="D46" i="46" s="1"/>
  <c r="J33" i="33" s="1"/>
  <c r="N33" i="33" s="1"/>
  <c r="AI219" i="46"/>
  <c r="AI64" i="46"/>
  <c r="AI221" i="46"/>
  <c r="AI158" i="46"/>
  <c r="AI127" i="46"/>
  <c r="AI92" i="46"/>
  <c r="AI245" i="46"/>
  <c r="AI101" i="46"/>
  <c r="AI247" i="46"/>
  <c r="AI204" i="46"/>
  <c r="AI194" i="46"/>
  <c r="AI178" i="46"/>
  <c r="N19" i="46"/>
  <c r="D39" i="46" s="1"/>
  <c r="J26" i="33" s="1"/>
  <c r="AI212" i="46"/>
  <c r="AI39" i="46"/>
  <c r="N31" i="46"/>
  <c r="D51" i="46" s="1"/>
  <c r="J38" i="33" s="1"/>
  <c r="AI169" i="46"/>
  <c r="AI238" i="46"/>
  <c r="N25" i="46"/>
  <c r="D45" i="46" s="1"/>
  <c r="J32" i="33" s="1"/>
  <c r="AI108" i="46"/>
  <c r="AI164" i="46"/>
  <c r="AI150" i="46"/>
  <c r="AI68" i="46"/>
  <c r="AI19" i="46"/>
  <c r="AI57" i="46"/>
  <c r="AI90" i="46"/>
  <c r="AI146" i="46"/>
  <c r="AI250" i="46"/>
  <c r="AI137" i="46"/>
  <c r="AI189" i="46"/>
  <c r="AI91" i="46"/>
  <c r="AI184" i="46"/>
  <c r="AI54" i="46"/>
  <c r="AI60" i="46"/>
  <c r="AI121" i="46"/>
  <c r="AI41" i="46"/>
  <c r="AI21" i="46"/>
  <c r="AI167" i="46"/>
  <c r="AI229" i="46"/>
  <c r="AI11" i="46"/>
  <c r="AI83" i="46"/>
  <c r="AI114" i="46"/>
  <c r="AI79" i="46"/>
  <c r="AI128" i="46"/>
  <c r="AI30" i="46"/>
  <c r="AI210" i="46"/>
  <c r="AI77" i="46"/>
  <c r="AI165" i="46"/>
  <c r="AI207" i="46"/>
  <c r="AI180" i="46"/>
  <c r="AI12" i="46"/>
  <c r="AI225" i="46"/>
  <c r="AI18" i="46"/>
  <c r="AI56" i="46"/>
  <c r="AI154" i="46"/>
  <c r="AI88" i="46"/>
  <c r="AI74" i="46"/>
  <c r="AI63" i="46"/>
  <c r="AI191" i="46"/>
  <c r="AI46" i="46"/>
  <c r="AI177" i="46"/>
  <c r="AI193" i="46"/>
  <c r="AI239" i="46"/>
  <c r="AI66" i="46"/>
  <c r="AI55" i="46"/>
  <c r="AI69" i="46"/>
  <c r="AI195" i="46"/>
  <c r="AI110" i="46"/>
  <c r="AI31" i="46"/>
  <c r="N24" i="46"/>
  <c r="D44" i="46" s="1"/>
  <c r="J31" i="33" s="1"/>
  <c r="AI27" i="46"/>
  <c r="AI190" i="46"/>
  <c r="AI89" i="46"/>
  <c r="AI113" i="46"/>
  <c r="AI136" i="46"/>
  <c r="AI28" i="46"/>
  <c r="AI94" i="46"/>
  <c r="AI45" i="46"/>
  <c r="AI59" i="46"/>
  <c r="AI248" i="46"/>
  <c r="AI86" i="46"/>
  <c r="AI226" i="46"/>
  <c r="AI6" i="46"/>
  <c r="AI26" i="46"/>
  <c r="AI233" i="46"/>
  <c r="AI25" i="46"/>
  <c r="AI117" i="46"/>
  <c r="AI220" i="46"/>
  <c r="AI161" i="46"/>
  <c r="AI104" i="46"/>
  <c r="AI253" i="46"/>
  <c r="AI242" i="46"/>
  <c r="AI43" i="46"/>
  <c r="AI236" i="46"/>
  <c r="AI78" i="46"/>
  <c r="AI123" i="46"/>
  <c r="AI185" i="46"/>
  <c r="AI211" i="46"/>
  <c r="AI82" i="46"/>
  <c r="AI109" i="46"/>
  <c r="N22" i="46"/>
  <c r="D42" i="46" s="1"/>
  <c r="J29" i="33" s="1"/>
  <c r="AI151" i="46"/>
  <c r="AI199" i="46"/>
  <c r="AI70" i="46"/>
  <c r="AI214" i="46"/>
  <c r="AI224" i="46"/>
  <c r="AI111" i="46"/>
  <c r="AI244" i="46"/>
  <c r="AI172" i="46"/>
  <c r="AI256" i="46"/>
  <c r="AI251" i="46"/>
  <c r="AI234" i="46"/>
  <c r="AI257" i="46"/>
  <c r="AI216" i="46"/>
  <c r="AI241" i="46"/>
  <c r="AI87" i="46"/>
  <c r="AI168" i="46"/>
  <c r="AI237" i="46"/>
  <c r="AI4" i="46"/>
  <c r="AI232" i="46"/>
  <c r="AI179" i="46"/>
  <c r="AI102" i="46"/>
  <c r="AI246" i="46"/>
  <c r="AI222" i="46"/>
  <c r="AI176" i="46"/>
  <c r="AI155" i="46"/>
  <c r="AI188" i="46"/>
  <c r="AI187" i="46"/>
  <c r="AI149" i="46"/>
  <c r="AI22" i="46"/>
  <c r="AI243" i="46"/>
  <c r="N27" i="46"/>
  <c r="D47" i="46" s="1"/>
  <c r="J34" i="33" s="1"/>
  <c r="AI170" i="46"/>
  <c r="AI34" i="46"/>
  <c r="AI208" i="46"/>
  <c r="N20" i="46"/>
  <c r="D40" i="46" s="1"/>
  <c r="J27" i="33" s="1"/>
  <c r="AI133" i="46"/>
  <c r="AI228" i="46"/>
  <c r="AI186" i="46"/>
  <c r="AI50" i="46"/>
  <c r="N30" i="46"/>
  <c r="D50" i="46" s="1"/>
  <c r="J37" i="33" s="1"/>
  <c r="AI171" i="46"/>
  <c r="AI132" i="46"/>
  <c r="AI48" i="46"/>
  <c r="AI49" i="46"/>
  <c r="AI124" i="46"/>
  <c r="AI131" i="46"/>
  <c r="AI254" i="46"/>
  <c r="AI252" i="46"/>
  <c r="AI115" i="46"/>
  <c r="AI32" i="46"/>
  <c r="AI103" i="46"/>
  <c r="AI62" i="46"/>
  <c r="AI17" i="46"/>
  <c r="AI162" i="46"/>
  <c r="AI181" i="46"/>
  <c r="AI203" i="46"/>
  <c r="AI120" i="46"/>
  <c r="AI106" i="46"/>
  <c r="AI13" i="46"/>
  <c r="AI139" i="46"/>
  <c r="AI116" i="46"/>
  <c r="AI73" i="46"/>
  <c r="AI235" i="46"/>
  <c r="AI99" i="46"/>
  <c r="AI202" i="46"/>
  <c r="AI16" i="46"/>
  <c r="AI3" i="46"/>
  <c r="N33" i="46"/>
  <c r="D53" i="46" s="1"/>
  <c r="J40" i="33" s="1"/>
  <c r="N40" i="33" s="1"/>
  <c r="N28" i="46"/>
  <c r="D48" i="46" s="1"/>
  <c r="J35" i="33" s="1"/>
  <c r="AI71" i="46"/>
  <c r="AI112" i="46"/>
  <c r="AI9" i="46"/>
  <c r="AI206" i="46"/>
  <c r="AI209" i="46"/>
  <c r="AI122" i="46"/>
  <c r="AI205" i="46"/>
  <c r="AI255" i="46"/>
  <c r="AI29" i="46"/>
  <c r="AI72" i="46"/>
  <c r="AI145" i="46"/>
  <c r="AI140" i="46"/>
  <c r="AI80" i="46"/>
  <c r="N21" i="46"/>
  <c r="D41" i="46" s="1"/>
  <c r="J28" i="33" s="1"/>
  <c r="AI93" i="46"/>
  <c r="AI5" i="46"/>
  <c r="AI8" i="46"/>
  <c r="AI67" i="46"/>
  <c r="AI201" i="46"/>
  <c r="AI35" i="46"/>
  <c r="AI142" i="46"/>
  <c r="AI58" i="46"/>
  <c r="AI166" i="46"/>
  <c r="AI159" i="46"/>
  <c r="N18" i="46"/>
  <c r="D38" i="46" s="1"/>
  <c r="J25" i="33" s="1"/>
  <c r="N25" i="33" s="1"/>
  <c r="AI105" i="46"/>
  <c r="AI14" i="46"/>
  <c r="AI107" i="46"/>
  <c r="AI156" i="46"/>
  <c r="AI218" i="46"/>
  <c r="N29" i="46"/>
  <c r="D49" i="46" s="1"/>
  <c r="J36" i="33" s="1"/>
  <c r="AI53" i="46"/>
  <c r="AI23" i="46"/>
  <c r="AI217" i="46"/>
  <c r="AI153" i="46"/>
  <c r="AI227" i="46"/>
  <c r="AI144" i="46"/>
  <c r="O33" i="33"/>
  <c r="O25" i="33"/>
  <c r="O40" i="33"/>
  <c r="N32" i="33"/>
  <c r="O32" i="33"/>
  <c r="N39" i="33"/>
  <c r="O39" i="33"/>
  <c r="N31" i="33"/>
  <c r="O31" i="33"/>
  <c r="N7" i="33"/>
  <c r="O7" i="33"/>
  <c r="N38" i="33"/>
  <c r="O38" i="33"/>
  <c r="N30" i="33"/>
  <c r="O30" i="33"/>
  <c r="N6" i="33"/>
  <c r="O6" i="33"/>
  <c r="N37" i="33"/>
  <c r="O37" i="33"/>
  <c r="N29" i="33"/>
  <c r="O29" i="33"/>
  <c r="N5" i="33"/>
  <c r="O5" i="33"/>
  <c r="N36" i="33"/>
  <c r="O36" i="33"/>
  <c r="N26" i="33"/>
  <c r="O26" i="33"/>
  <c r="N27" i="33"/>
  <c r="O27" i="33"/>
  <c r="N28" i="33"/>
  <c r="O28" i="33"/>
  <c r="N34" i="33"/>
  <c r="O34" i="33"/>
  <c r="N35" i="33"/>
  <c r="O35" i="33"/>
  <c r="P25" i="33"/>
  <c r="L4" i="35"/>
  <c r="M4" i="35"/>
  <c r="P4" i="35"/>
  <c r="L2" i="35"/>
  <c r="M2" i="35"/>
  <c r="P2" i="35"/>
  <c r="L6" i="35"/>
  <c r="M6" i="35"/>
  <c r="P6" i="35"/>
  <c r="L5" i="35"/>
  <c r="M5" i="35"/>
  <c r="P5" i="35"/>
  <c r="L3" i="35"/>
  <c r="M3" i="35"/>
  <c r="P3" i="35"/>
  <c r="N4" i="33"/>
  <c r="O4" i="33"/>
  <c r="L46" i="35"/>
  <c r="M46" i="35"/>
  <c r="N46" i="35"/>
  <c r="J75" i="33" s="1"/>
  <c r="N75" i="33" s="1"/>
  <c r="L37" i="35"/>
  <c r="M37" i="35"/>
  <c r="N37" i="35"/>
  <c r="J67" i="33" s="1"/>
  <c r="N67" i="33" s="1"/>
  <c r="L28" i="35"/>
  <c r="M28" i="35"/>
  <c r="N28" i="35"/>
  <c r="J59" i="33"/>
  <c r="N59" i="33" s="1"/>
  <c r="N3" i="33"/>
  <c r="O3" i="33"/>
  <c r="L53" i="35"/>
  <c r="M53" i="35"/>
  <c r="N53" i="35"/>
  <c r="J82" i="33" s="1"/>
  <c r="N82" i="33" s="1"/>
  <c r="L27" i="35"/>
  <c r="M27" i="35"/>
  <c r="N27" i="35"/>
  <c r="J58" i="33"/>
  <c r="N58" i="33"/>
  <c r="L18" i="35"/>
  <c r="M18" i="35"/>
  <c r="N18" i="35"/>
  <c r="J50" i="33" s="1"/>
  <c r="N50" i="33" s="1"/>
  <c r="O58" i="33"/>
  <c r="O59" i="33"/>
  <c r="O67" i="33"/>
  <c r="O75" i="33"/>
  <c r="O82" i="33"/>
  <c r="O50" i="33"/>
  <c r="L8" i="35"/>
  <c r="M8" i="35"/>
  <c r="N8" i="35"/>
  <c r="L20" i="35"/>
  <c r="M20" i="35"/>
  <c r="N20" i="35"/>
  <c r="L32" i="35"/>
  <c r="M32" i="35"/>
  <c r="N32" i="35"/>
  <c r="L44" i="35"/>
  <c r="M44" i="35"/>
  <c r="N44" i="35"/>
  <c r="L56" i="35"/>
  <c r="M56" i="35"/>
  <c r="N56" i="35"/>
  <c r="L9" i="35"/>
  <c r="M9" i="35"/>
  <c r="N9" i="35"/>
  <c r="J41" i="33" s="1"/>
  <c r="N41" i="33" s="1"/>
  <c r="O41" i="33"/>
  <c r="L10" i="35"/>
  <c r="M10" i="35"/>
  <c r="N10" i="35"/>
  <c r="J42" i="33" s="1"/>
  <c r="N42" i="33" s="1"/>
  <c r="O42" i="33"/>
  <c r="L11" i="35"/>
  <c r="M11" i="35"/>
  <c r="N11" i="35"/>
  <c r="J43" i="33" s="1"/>
  <c r="N43" i="33" s="1"/>
  <c r="O43" i="33"/>
  <c r="L12" i="35"/>
  <c r="M12" i="35"/>
  <c r="N12" i="35"/>
  <c r="J44" i="33" s="1"/>
  <c r="N44" i="33" s="1"/>
  <c r="O44" i="33"/>
  <c r="L13" i="35"/>
  <c r="M13" i="35"/>
  <c r="N13" i="35"/>
  <c r="J45" i="33"/>
  <c r="N45" i="33" s="1"/>
  <c r="O45" i="33"/>
  <c r="L14" i="35"/>
  <c r="M14" i="35"/>
  <c r="N14" i="35"/>
  <c r="J46" i="33" s="1"/>
  <c r="N46" i="33" s="1"/>
  <c r="O46" i="33"/>
  <c r="L15" i="35"/>
  <c r="M15" i="35"/>
  <c r="N15" i="35"/>
  <c r="J47" i="33" s="1"/>
  <c r="N47" i="33" s="1"/>
  <c r="O47" i="33"/>
  <c r="L16" i="35"/>
  <c r="M16" i="35"/>
  <c r="N16" i="35"/>
  <c r="J48" i="33"/>
  <c r="N48" i="33" s="1"/>
  <c r="O48" i="33"/>
  <c r="L17" i="35"/>
  <c r="M17" i="35"/>
  <c r="N17" i="35"/>
  <c r="J49" i="33" s="1"/>
  <c r="N49" i="33" s="1"/>
  <c r="O49" i="33"/>
  <c r="L19" i="35"/>
  <c r="M19" i="35"/>
  <c r="N19" i="35"/>
  <c r="J51" i="33"/>
  <c r="N51" i="33" s="1"/>
  <c r="O51" i="33"/>
  <c r="L21" i="35"/>
  <c r="M21" i="35"/>
  <c r="N21" i="35"/>
  <c r="J52" i="33"/>
  <c r="N52" i="33"/>
  <c r="O52" i="33"/>
  <c r="L22" i="35"/>
  <c r="M22" i="35"/>
  <c r="N22" i="35"/>
  <c r="J53" i="33" s="1"/>
  <c r="N53" i="33" s="1"/>
  <c r="O53" i="33"/>
  <c r="L23" i="35"/>
  <c r="M23" i="35"/>
  <c r="N23" i="35"/>
  <c r="J54" i="33" s="1"/>
  <c r="N54" i="33" s="1"/>
  <c r="O54" i="33"/>
  <c r="L24" i="35"/>
  <c r="M24" i="35"/>
  <c r="N24" i="35"/>
  <c r="J55" i="33" s="1"/>
  <c r="N55" i="33" s="1"/>
  <c r="O55" i="33"/>
  <c r="L25" i="35"/>
  <c r="M25" i="35"/>
  <c r="N25" i="35"/>
  <c r="J56" i="33" s="1"/>
  <c r="N56" i="33" s="1"/>
  <c r="O56" i="33"/>
  <c r="L26" i="35"/>
  <c r="M26" i="35"/>
  <c r="N26" i="35"/>
  <c r="J57" i="33" s="1"/>
  <c r="N57" i="33" s="1"/>
  <c r="O57" i="33"/>
  <c r="L29" i="35"/>
  <c r="M29" i="35"/>
  <c r="N29" i="35"/>
  <c r="J60" i="33" s="1"/>
  <c r="N60" i="33" s="1"/>
  <c r="O60" i="33"/>
  <c r="L30" i="35"/>
  <c r="M30" i="35"/>
  <c r="N30" i="35"/>
  <c r="J61" i="33" s="1"/>
  <c r="N61" i="33" s="1"/>
  <c r="O61" i="33"/>
  <c r="L31" i="35"/>
  <c r="M31" i="35"/>
  <c r="N31" i="35"/>
  <c r="J62" i="33" s="1"/>
  <c r="N62" i="33" s="1"/>
  <c r="O62" i="33"/>
  <c r="L33" i="35"/>
  <c r="M33" i="35"/>
  <c r="N33" i="35"/>
  <c r="J63" i="33" s="1"/>
  <c r="N63" i="33" s="1"/>
  <c r="O63" i="33"/>
  <c r="L34" i="35"/>
  <c r="M34" i="35"/>
  <c r="N34" i="35"/>
  <c r="J64" i="33" s="1"/>
  <c r="N64" i="33" s="1"/>
  <c r="O64" i="33"/>
  <c r="L35" i="35"/>
  <c r="M35" i="35"/>
  <c r="N35" i="35"/>
  <c r="J65" i="33" s="1"/>
  <c r="N65" i="33" s="1"/>
  <c r="O65" i="33"/>
  <c r="L36" i="35"/>
  <c r="M36" i="35"/>
  <c r="N36" i="35"/>
  <c r="J66" i="33" s="1"/>
  <c r="N66" i="33" s="1"/>
  <c r="O66" i="33"/>
  <c r="L38" i="35"/>
  <c r="M38" i="35"/>
  <c r="N38" i="35"/>
  <c r="J68" i="33" s="1"/>
  <c r="N68" i="33" s="1"/>
  <c r="O68" i="33"/>
  <c r="L39" i="35"/>
  <c r="M39" i="35"/>
  <c r="N39" i="35"/>
  <c r="J69" i="33" s="1"/>
  <c r="N69" i="33" s="1"/>
  <c r="O69" i="33"/>
  <c r="L40" i="35"/>
  <c r="M40" i="35"/>
  <c r="N40" i="35"/>
  <c r="J70" i="33" s="1"/>
  <c r="N70" i="33" s="1"/>
  <c r="O70" i="33"/>
  <c r="L41" i="35"/>
  <c r="M41" i="35"/>
  <c r="N41" i="35"/>
  <c r="J71" i="33" s="1"/>
  <c r="N71" i="33" s="1"/>
  <c r="O71" i="33"/>
  <c r="L42" i="35"/>
  <c r="M42" i="35"/>
  <c r="N42" i="35"/>
  <c r="J72" i="33"/>
  <c r="N72" i="33"/>
  <c r="O72" i="33"/>
  <c r="L43" i="35"/>
  <c r="M43" i="35"/>
  <c r="N43" i="35"/>
  <c r="J73" i="33" s="1"/>
  <c r="N73" i="33" s="1"/>
  <c r="O73" i="33"/>
  <c r="L45" i="35"/>
  <c r="M45" i="35"/>
  <c r="N45" i="35"/>
  <c r="J74" i="33" s="1"/>
  <c r="N74" i="33" s="1"/>
  <c r="O74" i="33"/>
  <c r="L47" i="35"/>
  <c r="M47" i="35"/>
  <c r="N47" i="35"/>
  <c r="J76" i="33" s="1"/>
  <c r="N76" i="33" s="1"/>
  <c r="O76" i="33"/>
  <c r="L48" i="35"/>
  <c r="M48" i="35"/>
  <c r="N48" i="35"/>
  <c r="J77" i="33" s="1"/>
  <c r="N77" i="33" s="1"/>
  <c r="O77" i="33"/>
  <c r="L49" i="35"/>
  <c r="M49" i="35"/>
  <c r="N49" i="35"/>
  <c r="J78" i="33"/>
  <c r="N78" i="33" s="1"/>
  <c r="O78" i="33"/>
  <c r="L50" i="35"/>
  <c r="M50" i="35"/>
  <c r="N50" i="35"/>
  <c r="J79" i="33" s="1"/>
  <c r="N79" i="33" s="1"/>
  <c r="O79" i="33"/>
  <c r="L51" i="35"/>
  <c r="M51" i="35"/>
  <c r="N51" i="35"/>
  <c r="J80" i="33"/>
  <c r="N80" i="33" s="1"/>
  <c r="O80" i="33"/>
  <c r="L52" i="35"/>
  <c r="M52" i="35"/>
  <c r="N52" i="35"/>
  <c r="J81" i="33" s="1"/>
  <c r="N81" i="33" s="1"/>
  <c r="O81" i="33"/>
  <c r="L54" i="35"/>
  <c r="M54" i="35"/>
  <c r="N54" i="35"/>
  <c r="J83" i="33"/>
  <c r="N83" i="33"/>
  <c r="O83" i="33"/>
  <c r="L55" i="35"/>
  <c r="M55" i="35"/>
  <c r="N55" i="35"/>
  <c r="J84" i="33"/>
  <c r="N84" i="33"/>
  <c r="O84" i="33"/>
  <c r="P41" i="33"/>
  <c r="P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<sst xmlns="http://schemas.openxmlformats.org/spreadsheetml/2006/main" count="573" uniqueCount="204">
  <si>
    <t>General Settings</t>
  </si>
  <si>
    <t>Currency</t>
  </si>
  <si>
    <t>EUR</t>
  </si>
  <si>
    <t>Calendar</t>
  </si>
  <si>
    <t>TARGET</t>
  </si>
  <si>
    <t>ADDITIONAL SETTINGS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</si>
  <si>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</si>
  <si>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</si>
  <si>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</si>
  <si>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</si>
  <si>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</si>
  <si>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</si>
  <si>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</si>
  <si>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</si>
  <si>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</si>
  <si>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</si>
  <si>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</si>
  <si>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</si>
  <si>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</si>
  <si>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</si>
  <si>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</si>
  <si>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</si>
  <si>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</si>
  <si>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</si>
  <si>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</si>
  <si>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</si>
  <si>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</si>
  <si>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</si>
  <si>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</si>
  <si>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</si>
  <si>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</si>
  <si>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</si>
  <si>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</si>
  <si>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</si>
  <si>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</si>
  <si>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</si>
  <si>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</si>
  <si>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</si>
  <si>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MonotonicLogCubicNaturalSpline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</si>
  <si>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</si>
  <si>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</si>
  <si>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</si>
  <si>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</si>
  <si>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</si>
  <si>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</si>
  <si>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</si>
  <si>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</si>
  <si>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</si>
  <si>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</si>
  <si>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</si>
  <si>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</si>
  <si>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</si>
  <si>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</si>
  <si>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</si>
  <si>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</si>
  <si>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</si>
  <si>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</si>
  <si>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</si>
  <si>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</si>
  <si>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</si>
  <si>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</si>
  <si>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</si>
  <si>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</si>
  <si>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</si>
  <si>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</si>
  <si>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</si>
  <si>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</si>
  <si>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</si>
  <si>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</si>
  <si>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</si>
  <si>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</si>
  <si>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</si>
  <si>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</si>
  <si>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</si>
  <si>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</si>
  <si>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</si>
  <si>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</si>
  <si>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</si>
  <si>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</si>
  <si>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</si>
  <si>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</si>
  <si>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</si>
  <si>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Code</t>
  </si>
  <si>
    <t>Quote</t>
  </si>
  <si>
    <t>RateHelper</t>
  </si>
  <si>
    <t>Quote Value</t>
  </si>
  <si>
    <t>Include Flag</t>
  </si>
  <si>
    <t>Priority</t>
  </si>
  <si>
    <t>Min Distance</t>
  </si>
  <si>
    <t>Earliest Date</t>
  </si>
  <si>
    <t>Latest Date</t>
  </si>
  <si>
    <t>D</t>
  </si>
  <si>
    <t>x24</t>
  </si>
  <si>
    <t>F</t>
  </si>
  <si>
    <t>EUR12x24F_Quote</t>
  </si>
  <si>
    <t>AB12E</t>
  </si>
  <si>
    <t>BASIS</t>
  </si>
  <si>
    <t>3Y</t>
  </si>
  <si>
    <t>EURAB12EBASIS3Y_Quote</t>
  </si>
  <si>
    <t>4Y</t>
  </si>
  <si>
    <t>EURAB12EBASIS4Y_Quote</t>
  </si>
  <si>
    <t>5Y</t>
  </si>
  <si>
    <t>EURAB12EBASIS5Y_Quote</t>
  </si>
  <si>
    <t>Selected</t>
  </si>
  <si>
    <t>Rate</t>
  </si>
  <si>
    <t>Fixing Date</t>
  </si>
  <si>
    <t>Value Date</t>
  </si>
  <si>
    <t>Maturity Date</t>
  </si>
  <si>
    <t>FRA</t>
  </si>
  <si>
    <t>spread</t>
  </si>
  <si>
    <t>interp. FRA</t>
  </si>
  <si>
    <t>Depo Settings</t>
  </si>
  <si>
    <t>FRA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</si>
  <si>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</si>
  <si>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</si>
  <si>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</si>
  <si>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</si>
  <si>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</si>
  <si>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</si>
  <si>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</si>
  <si>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</si>
  <si>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</si>
  <si>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</si>
  <si>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</si>
  <si>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</si>
  <si>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</si>
  <si>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</si>
  <si>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</si>
  <si>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</si>
  <si>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</si>
  <si>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</si>
  <si>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</si>
  <si>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</si>
  <si>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</si>
  <si>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</si>
  <si>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</si>
  <si>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</si>
  <si>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6M Curve</t>
  </si>
  <si>
    <t>start date</t>
  </si>
  <si>
    <t>maturity date</t>
  </si>
  <si>
    <t>Discounting</t>
  </si>
  <si>
    <t>EURON</t>
  </si>
  <si>
    <t>OIS 6M ON curve</t>
  </si>
  <si>
    <t>6M Instruments</t>
  </si>
  <si>
    <t>3M Curve</t>
  </si>
  <si>
    <t>OIS 3M Curve</t>
  </si>
  <si>
    <t>diff</t>
  </si>
  <si>
    <t>3M Market quote</t>
  </si>
  <si>
    <t xml:space="preserve">OIS 3M </t>
  </si>
  <si>
    <t>Market 6M quote</t>
  </si>
  <si>
    <t>OIS 6M</t>
  </si>
  <si>
    <t>OIS 6M Curve</t>
  </si>
  <si>
    <t xml:space="preserve">   </t>
  </si>
  <si>
    <t>6M market day counter</t>
  </si>
  <si>
    <t>interp. basis</t>
  </si>
  <si>
    <t>Index</t>
  </si>
  <si>
    <t>Euribor6M</t>
  </si>
  <si>
    <t>Interpolated 6M basis</t>
  </si>
  <si>
    <t>OIS constructor</t>
  </si>
  <si>
    <t>Interpolator</t>
  </si>
  <si>
    <t>selected</t>
  </si>
  <si>
    <t>CubicNaturalSpline</t>
  </si>
  <si>
    <t>Basis Interpolation</t>
  </si>
  <si>
    <t>OIS Constructor</t>
  </si>
  <si>
    <t>Synthetic Deposits 6M</t>
  </si>
  <si>
    <t>INTERP+FRA</t>
  </si>
  <si>
    <t>Instruments Selection</t>
  </si>
  <si>
    <t>Contributions</t>
  </si>
  <si>
    <t>Euribor3M</t>
  </si>
  <si>
    <t>INTERP+FUT</t>
  </si>
  <si>
    <t>Synthetic Deposits 3M</t>
  </si>
  <si>
    <t>Interpolated 3M basis</t>
  </si>
  <si>
    <t>First Serial inclusion</t>
  </si>
  <si>
    <t>Euribor1M</t>
  </si>
  <si>
    <t>Interpolated 1M basis</t>
  </si>
  <si>
    <t>1M market day counter</t>
  </si>
  <si>
    <t>Synthetic Deposits 1M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</si>
  <si>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</si>
  <si>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</si>
  <si>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</si>
  <si>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</si>
  <si>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</si>
  <si>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</si>
  <si>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</si>
  <si>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</si>
  <si>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Pricing Swap 1M</t>
  </si>
  <si>
    <t>Pricing BBSW 1M FRA</t>
  </si>
  <si>
    <t>Tenor</t>
  </si>
  <si>
    <t>obj</t>
  </si>
  <si>
    <t>swap name</t>
  </si>
  <si>
    <t>Fair Rate</t>
  </si>
  <si>
    <t>Name</t>
  </si>
  <si>
    <t>Start date</t>
  </si>
  <si>
    <t>End date</t>
  </si>
  <si>
    <t>0D</t>
  </si>
  <si>
    <t>X1S</t>
  </si>
  <si>
    <t>Annual</t>
  </si>
  <si>
    <t>1M Euribor Curve</t>
  </si>
  <si>
    <t>Pricing Euribor 1M FRA</t>
  </si>
  <si>
    <t>Maturity</t>
  </si>
  <si>
    <t>Swap 1M Settings</t>
  </si>
  <si>
    <t>FIX+FRA</t>
  </si>
  <si>
    <t>Euribor1Y</t>
  </si>
  <si>
    <t>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</si>
</sst>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[$-409]d\-mmm\-yy;@"/>
    <numFmt numFmtId="176" formatCode="0.000000000"/>
    <numFmt numFmtId="177" formatCode="ddd\,\ d\-mmm\-yy"/>
    <numFmt numFmtId="178" formatCode="0.E+00"/>
    <numFmt numFmtId="179" formatCode="0.0000E+00"/>
    <numFmt numFmtId="180" formatCode="0.000"/>
  </numFmts>
  <fonts count="29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i/>
      <sz val="8"/>
      <name val="Courier New"/>
      <family val="3"/>
    </font>
    <font>
      <b/>
      <sz val="8"/>
      <name val="Arial"/>
      <family val="2"/>
    </font>
    <font>
      <b/>
      <sz val="8"/>
      <color indexed="81"/>
      <name val="Tahoma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bgColor indexed="43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45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5" fillId="5" borderId="4" xfId="14" applyFont="1" applyFill="1" applyBorder="1"/>
    <xf numFmtId="0" fontId="15" fillId="5" borderId="0" xfId="14" applyFont="1" applyFill="1" applyBorder="1"/>
    <xf numFmtId="0" fontId="15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5" fillId="6" borderId="6" xfId="14" applyNumberFormat="1" applyFont="1" applyFill="1" applyBorder="1"/>
    <xf numFmtId="170" fontId="15" fillId="7" borderId="7" xfId="14" applyNumberFormat="1" applyFont="1" applyFill="1" applyBorder="1" applyAlignment="1" applyProtection="1">
      <alignment horizontal="center"/>
    </xf>
    <xf numFmtId="15" fontId="15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5" fillId="7" borderId="7" xfId="14" quotePrefix="1" applyNumberFormat="1" applyFont="1" applyFill="1" applyBorder="1" applyAlignment="1" applyProtection="1">
      <alignment horizontal="left"/>
    </xf>
    <xf numFmtId="170" fontId="15" fillId="7" borderId="7" xfId="14" quotePrefix="1" applyNumberFormat="1" applyFont="1" applyFill="1" applyBorder="1" applyAlignment="1" applyProtection="1">
      <alignment horizontal="center"/>
    </xf>
    <xf numFmtId="172" fontId="15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5" fillId="7" borderId="7" xfId="14" quotePrefix="1" applyNumberFormat="1" applyFont="1" applyFill="1" applyBorder="1" applyAlignment="1" applyProtection="1">
      <alignment horizontal="center"/>
    </xf>
    <xf numFmtId="0" fontId="16" fillId="5" borderId="0" xfId="15" applyFont="1" applyFill="1" applyBorder="1" applyAlignment="1">
      <alignment horizontal="right"/>
    </xf>
    <xf numFmtId="174" fontId="17" fillId="5" borderId="0" xfId="15" applyNumberFormat="1" applyFont="1" applyFill="1" applyBorder="1" applyAlignment="1">
      <alignment horizontal="left"/>
    </xf>
    <xf numFmtId="0" fontId="15" fillId="5" borderId="10" xfId="14" applyFont="1" applyFill="1" applyBorder="1"/>
    <xf numFmtId="0" fontId="15" fillId="5" borderId="11" xfId="14" applyFont="1" applyFill="1" applyBorder="1"/>
    <xf numFmtId="0" fontId="15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7" fillId="5" borderId="0" xfId="15" applyFont="1" applyFill="1" applyBorder="1" applyAlignment="1">
      <alignment horizontal="right"/>
    </xf>
    <xf numFmtId="0" fontId="17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0" borderId="8" xfId="0" applyFont="1" applyBorder="1"/>
    <xf numFmtId="0" fontId="11" fillId="5" borderId="24" xfId="14" applyFont="1" applyFill="1" applyBorder="1"/>
    <xf numFmtId="0" fontId="11" fillId="5" borderId="25" xfId="14" applyFont="1" applyFill="1" applyBorder="1"/>
    <xf numFmtId="0" fontId="11" fillId="5" borderId="26" xfId="14" applyFont="1" applyFill="1" applyBorder="1"/>
    <xf numFmtId="0" fontId="11" fillId="0" borderId="0" xfId="14" applyFont="1"/>
    <xf numFmtId="0" fontId="11" fillId="5" borderId="24" xfId="20" applyFont="1" applyFill="1" applyBorder="1" applyAlignment="1">
      <alignment horizontal="center"/>
    </xf>
    <xf numFmtId="0" fontId="11" fillId="5" borderId="25" xfId="20" applyFont="1" applyFill="1" applyBorder="1"/>
    <xf numFmtId="0" fontId="11" fillId="5" borderId="25" xfId="20" applyFont="1" applyFill="1" applyBorder="1" applyAlignment="1">
      <alignment horizontal="center"/>
    </xf>
    <xf numFmtId="0" fontId="11" fillId="5" borderId="26" xfId="18" applyFont="1" applyFill="1" applyBorder="1"/>
    <xf numFmtId="0" fontId="12" fillId="0" borderId="0" xfId="14" applyFont="1"/>
    <xf numFmtId="0" fontId="11" fillId="5" borderId="5" xfId="14" applyFont="1" applyFill="1" applyBorder="1" applyAlignment="1">
      <alignment horizontal="center"/>
    </xf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17" xfId="14" applyNumberFormat="1" applyFont="1" applyFill="1" applyBorder="1" applyAlignment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2" fillId="5" borderId="5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5" fillId="5" borderId="5" xfId="14" applyFont="1" applyFill="1" applyBorder="1"/>
    <xf numFmtId="0" fontId="12" fillId="5" borderId="10" xfId="14" applyFont="1" applyFill="1" applyBorder="1" applyAlignment="1">
      <alignment horizontal="center"/>
    </xf>
    <xf numFmtId="0" fontId="5" fillId="5" borderId="12" xfId="14" applyFont="1" applyFill="1" applyBorder="1"/>
    <xf numFmtId="0" fontId="18" fillId="9" borderId="21" xfId="8" applyFont="1" applyFill="1" applyBorder="1" applyAlignment="1">
      <alignment horizontal="center" vertical="center" wrapText="1"/>
    </xf>
    <xf numFmtId="0" fontId="18" fillId="9" borderId="7" xfId="8" applyFont="1" applyFill="1" applyBorder="1" applyAlignment="1">
      <alignment horizontal="center" vertical="center" wrapText="1"/>
    </xf>
    <xf numFmtId="0" fontId="11" fillId="0" borderId="0" xfId="8" applyFont="1"/>
    <xf numFmtId="0" fontId="18" fillId="5" borderId="14" xfId="8" applyFont="1" applyFill="1" applyBorder="1" applyAlignment="1">
      <alignment vertical="center" textRotation="90"/>
    </xf>
    <xf numFmtId="0" fontId="11" fillId="5" borderId="15" xfId="8" applyNumberFormat="1" applyFont="1" applyFill="1" applyBorder="1" applyAlignment="1"/>
    <xf numFmtId="0" fontId="11" fillId="5" borderId="15" xfId="8" applyFont="1" applyFill="1" applyBorder="1" applyAlignment="1"/>
    <xf numFmtId="172" fontId="11" fillId="5" borderId="15" xfId="11" applyNumberFormat="1" applyFont="1" applyFill="1" applyBorder="1" applyAlignment="1">
      <alignment horizontal="right"/>
    </xf>
    <xf numFmtId="0" fontId="11" fillId="5" borderId="15" xfId="8" applyFont="1" applyFill="1" applyBorder="1" applyAlignment="1">
      <alignment horizontal="center"/>
    </xf>
    <xf numFmtId="169" fontId="11" fillId="5" borderId="15" xfId="8" applyNumberFormat="1" applyFont="1" applyFill="1" applyBorder="1" applyAlignment="1">
      <alignment horizontal="right"/>
    </xf>
    <xf numFmtId="169" fontId="11" fillId="5" borderId="16" xfId="8" applyNumberFormat="1" applyFont="1" applyFill="1" applyBorder="1" applyAlignment="1">
      <alignment horizontal="right"/>
    </xf>
    <xf numFmtId="0" fontId="11" fillId="5" borderId="20" xfId="8" applyNumberFormat="1" applyFont="1" applyFill="1" applyBorder="1" applyAlignment="1"/>
    <xf numFmtId="0" fontId="11" fillId="5" borderId="21" xfId="8" applyNumberFormat="1" applyFont="1" applyFill="1" applyBorder="1" applyAlignment="1"/>
    <xf numFmtId="172" fontId="11" fillId="5" borderId="21" xfId="11" applyNumberFormat="1" applyFont="1" applyFill="1" applyBorder="1" applyAlignment="1">
      <alignment horizontal="right"/>
    </xf>
    <xf numFmtId="0" fontId="11" fillId="5" borderId="21" xfId="8" applyFont="1" applyFill="1" applyBorder="1" applyAlignment="1">
      <alignment horizontal="center"/>
    </xf>
    <xf numFmtId="169" fontId="11" fillId="5" borderId="21" xfId="8" applyNumberFormat="1" applyFont="1" applyFill="1" applyBorder="1" applyAlignment="1">
      <alignment horizontal="right"/>
    </xf>
    <xf numFmtId="169" fontId="11" fillId="5" borderId="7" xfId="8" applyNumberFormat="1" applyFont="1" applyFill="1" applyBorder="1" applyAlignment="1">
      <alignment horizontal="right"/>
    </xf>
    <xf numFmtId="172" fontId="11" fillId="0" borderId="0" xfId="8" applyNumberFormat="1" applyFont="1"/>
    <xf numFmtId="0" fontId="11" fillId="5" borderId="22" xfId="8" applyNumberFormat="1" applyFont="1" applyFill="1" applyBorder="1" applyAlignment="1"/>
    <xf numFmtId="0" fontId="11" fillId="5" borderId="23" xfId="8" applyNumberFormat="1" applyFont="1" applyFill="1" applyBorder="1" applyAlignment="1"/>
    <xf numFmtId="0" fontId="11" fillId="5" borderId="23" xfId="8" applyFont="1" applyFill="1" applyBorder="1" applyAlignment="1"/>
    <xf numFmtId="172" fontId="11" fillId="5" borderId="23" xfId="11" applyNumberFormat="1" applyFont="1" applyFill="1" applyBorder="1" applyAlignment="1">
      <alignment horizontal="right"/>
    </xf>
    <xf numFmtId="0" fontId="11" fillId="5" borderId="23" xfId="8" applyFont="1" applyFill="1" applyBorder="1" applyAlignment="1">
      <alignment horizontal="center"/>
    </xf>
    <xf numFmtId="169" fontId="11" fillId="5" borderId="23" xfId="8" applyNumberFormat="1" applyFont="1" applyFill="1" applyBorder="1" applyAlignment="1">
      <alignment horizontal="right"/>
    </xf>
    <xf numFmtId="169" fontId="11" fillId="5" borderId="18" xfId="8" applyNumberFormat="1" applyFont="1" applyFill="1" applyBorder="1" applyAlignment="1">
      <alignment horizontal="right"/>
    </xf>
    <xf numFmtId="0" fontId="11" fillId="5" borderId="13" xfId="8" applyNumberFormat="1" applyFont="1" applyFill="1" applyBorder="1" applyAlignment="1"/>
    <xf numFmtId="0" fontId="11" fillId="5" borderId="0" xfId="8" applyNumberFormat="1" applyFont="1" applyFill="1" applyBorder="1" applyAlignment="1"/>
    <xf numFmtId="0" fontId="11" fillId="5" borderId="0" xfId="8" applyFont="1" applyFill="1" applyBorder="1" applyAlignment="1"/>
    <xf numFmtId="172" fontId="11" fillId="5" borderId="0" xfId="11" applyNumberFormat="1" applyFont="1" applyFill="1" applyBorder="1" applyAlignment="1">
      <alignment horizontal="right"/>
    </xf>
    <xf numFmtId="0" fontId="11" fillId="5" borderId="0" xfId="8" applyFont="1" applyFill="1" applyBorder="1" applyAlignment="1">
      <alignment horizontal="center"/>
    </xf>
    <xf numFmtId="169" fontId="11" fillId="5" borderId="0" xfId="8" applyNumberFormat="1" applyFont="1" applyFill="1" applyBorder="1" applyAlignment="1">
      <alignment horizontal="right"/>
    </xf>
    <xf numFmtId="169" fontId="11" fillId="5" borderId="9" xfId="8" applyNumberFormat="1" applyFont="1" applyFill="1" applyBorder="1" applyAlignment="1">
      <alignment horizontal="right"/>
    </xf>
    <xf numFmtId="0" fontId="11" fillId="5" borderId="14" xfId="8" applyNumberFormat="1" applyFont="1" applyFill="1" applyBorder="1" applyAlignment="1"/>
    <xf numFmtId="0" fontId="11" fillId="0" borderId="0" xfId="8" applyFont="1" applyAlignment="1">
      <alignment horizontal="left"/>
    </xf>
    <xf numFmtId="0" fontId="18" fillId="9" borderId="20" xfId="8" applyFont="1" applyFill="1" applyBorder="1" applyAlignment="1">
      <alignment horizontal="center" vertical="center" wrapText="1"/>
    </xf>
    <xf numFmtId="0" fontId="11" fillId="0" borderId="0" xfId="8" applyFont="1" applyAlignment="1">
      <alignment horizontal="center" vertical="center" wrapText="1"/>
    </xf>
    <xf numFmtId="0" fontId="11" fillId="8" borderId="20" xfId="8" applyFont="1" applyFill="1" applyBorder="1"/>
    <xf numFmtId="0" fontId="11" fillId="8" borderId="21" xfId="8" applyFont="1" applyFill="1" applyBorder="1"/>
    <xf numFmtId="171" fontId="11" fillId="8" borderId="7" xfId="8" applyNumberFormat="1" applyFont="1" applyFill="1" applyBorder="1"/>
    <xf numFmtId="171" fontId="11" fillId="5" borderId="9" xfId="8" applyNumberFormat="1" applyFont="1" applyFill="1" applyBorder="1" applyAlignment="1"/>
    <xf numFmtId="172" fontId="11" fillId="0" borderId="0" xfId="11" applyNumberFormat="1" applyFont="1"/>
    <xf numFmtId="171" fontId="11" fillId="0" borderId="0" xfId="8" applyNumberFormat="1" applyFont="1"/>
    <xf numFmtId="0" fontId="11" fillId="5" borderId="13" xfId="8" applyFont="1" applyFill="1" applyBorder="1" applyAlignment="1"/>
    <xf numFmtId="172" fontId="11" fillId="5" borderId="0" xfId="8" applyNumberFormat="1" applyFont="1" applyFill="1" applyBorder="1" applyAlignment="1"/>
    <xf numFmtId="171" fontId="11" fillId="5" borderId="0" xfId="8" applyNumberFormat="1" applyFont="1" applyFill="1" applyBorder="1" applyAlignment="1"/>
    <xf numFmtId="0" fontId="11" fillId="5" borderId="14" xfId="8" applyFont="1" applyFill="1" applyBorder="1" applyAlignment="1"/>
    <xf numFmtId="172" fontId="11" fillId="5" borderId="15" xfId="8" applyNumberFormat="1" applyFont="1" applyFill="1" applyBorder="1" applyAlignment="1"/>
    <xf numFmtId="171" fontId="11" fillId="5" borderId="15" xfId="8" applyNumberFormat="1" applyFont="1" applyFill="1" applyBorder="1" applyAlignment="1"/>
    <xf numFmtId="171" fontId="11" fillId="5" borderId="16" xfId="8" applyNumberFormat="1" applyFont="1" applyFill="1" applyBorder="1" applyAlignme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10" borderId="4" xfId="15" applyFont="1" applyFill="1" applyBorder="1"/>
    <xf numFmtId="0" fontId="11" fillId="10" borderId="0" xfId="15" applyFont="1" applyFill="1" applyBorder="1" applyAlignment="1">
      <alignment horizontal="right"/>
    </xf>
    <xf numFmtId="171" fontId="11" fillId="10" borderId="0" xfId="17" applyNumberFormat="1" applyFont="1" applyFill="1" applyBorder="1" applyAlignment="1">
      <alignment horizontal="center"/>
    </xf>
    <xf numFmtId="0" fontId="11" fillId="10" borderId="0" xfId="15" applyFont="1" applyFill="1" applyBorder="1"/>
    <xf numFmtId="0" fontId="11" fillId="10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11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7" xfId="0" applyNumberFormat="1" applyFont="1" applyFill="1" applyBorder="1" applyAlignment="1">
      <alignment horizontal="right"/>
    </xf>
    <xf numFmtId="176" fontId="11" fillId="5" borderId="18" xfId="0" applyNumberFormat="1" applyFont="1" applyFill="1" applyBorder="1" applyAlignment="1">
      <alignment horizontal="center"/>
    </xf>
    <xf numFmtId="169" fontId="11" fillId="5" borderId="19" xfId="0" applyNumberFormat="1" applyFont="1" applyFill="1" applyBorder="1" applyAlignment="1">
      <alignment horizontal="right"/>
    </xf>
    <xf numFmtId="0" fontId="11" fillId="5" borderId="16" xfId="0" applyFont="1" applyFill="1" applyBorder="1" applyAlignment="1">
      <alignment horizontal="center"/>
    </xf>
    <xf numFmtId="0" fontId="18" fillId="6" borderId="17" xfId="0" applyFont="1" applyFill="1" applyBorder="1" applyAlignment="1">
      <alignment horizontal="right"/>
    </xf>
    <xf numFmtId="177" fontId="11" fillId="7" borderId="18" xfId="0" quotePrefix="1" applyNumberFormat="1" applyFont="1" applyFill="1" applyBorder="1" applyAlignment="1">
      <alignment horizontal="center"/>
    </xf>
    <xf numFmtId="0" fontId="18" fillId="6" borderId="19" xfId="0" applyFont="1" applyFill="1" applyBorder="1" applyAlignment="1">
      <alignment horizontal="right"/>
    </xf>
    <xf numFmtId="1" fontId="17" fillId="7" borderId="16" xfId="0" applyNumberFormat="1" applyFont="1" applyFill="1" applyBorder="1" applyAlignment="1">
      <alignment horizontal="left"/>
    </xf>
    <xf numFmtId="0" fontId="21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1" fillId="10" borderId="15" xfId="8" applyFont="1" applyFill="1" applyBorder="1"/>
    <xf numFmtId="0" fontId="11" fillId="10" borderId="21" xfId="8" applyFont="1" applyFill="1" applyBorder="1"/>
    <xf numFmtId="0" fontId="11" fillId="10" borderId="23" xfId="8" applyFont="1" applyFill="1" applyBorder="1"/>
    <xf numFmtId="0" fontId="11" fillId="10" borderId="0" xfId="8" applyFont="1" applyFill="1" applyBorder="1"/>
    <xf numFmtId="0" fontId="16" fillId="5" borderId="0" xfId="15" applyFont="1" applyFill="1" applyBorder="1" applyAlignment="1">
      <alignment horizontal="right" vertical="center"/>
    </xf>
    <xf numFmtId="0" fontId="17" fillId="5" borderId="0" xfId="15" applyFont="1" applyFill="1" applyBorder="1" applyAlignment="1">
      <alignment horizontal="right" vertical="center"/>
    </xf>
    <xf numFmtId="174" fontId="17" fillId="5" borderId="0" xfId="15" applyNumberFormat="1" applyFont="1" applyFill="1" applyBorder="1" applyAlignment="1">
      <alignment horizontal="right" vertical="center"/>
    </xf>
    <xf numFmtId="0" fontId="11" fillId="7" borderId="30" xfId="14" applyNumberFormat="1" applyFont="1" applyFill="1" applyBorder="1" applyAlignment="1" applyProtection="1"/>
    <xf numFmtId="0" fontId="11" fillId="5" borderId="32" xfId="14" applyNumberFormat="1" applyFont="1" applyFill="1" applyBorder="1" applyAlignment="1"/>
    <xf numFmtId="172" fontId="18" fillId="0" borderId="29" xfId="21" applyNumberFormat="1" applyFont="1" applyFill="1" applyBorder="1" applyAlignment="1">
      <alignment horizontal="center" vertical="center" wrapText="1"/>
    </xf>
    <xf numFmtId="173" fontId="18" fillId="0" borderId="30" xfId="21" applyNumberFormat="1" applyFont="1" applyFill="1" applyBorder="1" applyAlignment="1">
      <alignment horizontal="center" vertical="center" wrapText="1"/>
    </xf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4" xfId="21" applyNumberFormat="1" applyFont="1" applyFill="1" applyBorder="1" applyAlignment="1">
      <alignment vertical="center"/>
    </xf>
    <xf numFmtId="172" fontId="11" fillId="0" borderId="35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8" fillId="0" borderId="27" xfId="21" applyNumberFormat="1" applyFont="1" applyFill="1" applyBorder="1" applyAlignment="1">
      <alignment horizontal="center" vertical="center" wrapText="1"/>
    </xf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38" xfId="21" applyNumberFormat="1" applyFont="1" applyBorder="1" applyAlignment="1"/>
    <xf numFmtId="172" fontId="18" fillId="0" borderId="30" xfId="21" applyNumberFormat="1" applyFont="1" applyFill="1" applyBorder="1" applyAlignment="1">
      <alignment horizontal="center" vertical="center" wrapText="1"/>
    </xf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35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4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6" xfId="20" applyFont="1" applyFill="1" applyBorder="1" applyAlignment="1">
      <alignment horizontal="center"/>
    </xf>
    <xf numFmtId="0" fontId="11" fillId="5" borderId="36" xfId="20" quotePrefix="1" applyFont="1" applyFill="1" applyBorder="1" applyAlignment="1">
      <alignment horizontal="center"/>
    </xf>
    <xf numFmtId="0" fontId="11" fillId="0" borderId="24" xfId="21" applyNumberFormat="1" applyFont="1" applyFill="1" applyBorder="1" applyAlignment="1"/>
    <xf numFmtId="172" fontId="11" fillId="0" borderId="26" xfId="21" quotePrefix="1" applyNumberFormat="1" applyFont="1" applyFill="1" applyBorder="1" applyAlignment="1"/>
    <xf numFmtId="172" fontId="11" fillId="0" borderId="39" xfId="21" applyNumberFormat="1" applyFont="1" applyBorder="1" applyAlignment="1"/>
    <xf numFmtId="172" fontId="11" fillId="0" borderId="24" xfId="21" applyNumberFormat="1" applyFont="1" applyFill="1" applyBorder="1" applyAlignment="1"/>
    <xf numFmtId="172" fontId="11" fillId="0" borderId="26" xfId="21" applyNumberFormat="1" applyFont="1" applyFill="1" applyBorder="1" applyAlignment="1"/>
    <xf numFmtId="0" fontId="11" fillId="0" borderId="24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4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6" xfId="11" applyNumberFormat="1" applyFont="1" applyBorder="1" applyAlignment="1"/>
    <xf numFmtId="172" fontId="11" fillId="0" borderId="38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1" fillId="10" borderId="43" xfId="14" applyFont="1" applyFill="1" applyBorder="1"/>
    <xf numFmtId="0" fontId="11" fillId="10" borderId="44" xfId="14" applyFont="1" applyFill="1" applyBorder="1"/>
    <xf numFmtId="0" fontId="11" fillId="5" borderId="45" xfId="14" applyFont="1" applyFill="1" applyBorder="1" applyAlignment="1">
      <alignment horizontal="left"/>
    </xf>
    <xf numFmtId="0" fontId="11" fillId="5" borderId="20" xfId="14" applyFont="1" applyFill="1" applyBorder="1" applyAlignment="1">
      <alignment horizontal="left"/>
    </xf>
    <xf numFmtId="175" fontId="11" fillId="7" borderId="41" xfId="14" applyNumberFormat="1" applyFont="1" applyFill="1" applyBorder="1" applyAlignment="1" applyProtection="1">
      <alignment horizontal="left"/>
    </xf>
    <xf numFmtId="175" fontId="11" fillId="7" borderId="5" xfId="14" applyNumberFormat="1" applyFont="1" applyFill="1" applyBorder="1" applyAlignment="1" applyProtection="1">
      <alignment horizontal="left"/>
    </xf>
    <xf numFmtId="175" fontId="15" fillId="7" borderId="5" xfId="14" applyNumberFormat="1" applyFont="1" applyFill="1" applyBorder="1" applyAlignment="1" applyProtection="1">
      <alignment horizontal="left"/>
    </xf>
    <xf numFmtId="175" fontId="15" fillId="7" borderId="12" xfId="14" applyNumberFormat="1" applyFont="1" applyFill="1" applyBorder="1" applyAlignment="1" applyProtection="1">
      <alignment horizontal="left"/>
    </xf>
    <xf numFmtId="0" fontId="18" fillId="5" borderId="24" xfId="14" applyFont="1" applyFill="1" applyBorder="1" applyAlignment="1"/>
    <xf numFmtId="0" fontId="11" fillId="5" borderId="28" xfId="14" applyNumberFormat="1" applyFont="1" applyFill="1" applyBorder="1" applyAlignment="1"/>
    <xf numFmtId="0" fontId="11" fillId="5" borderId="26" xfId="14" applyNumberFormat="1" applyFont="1" applyFill="1" applyBorder="1" applyAlignment="1"/>
    <xf numFmtId="0" fontId="18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1" xfId="14" applyNumberFormat="1" applyFont="1" applyFill="1" applyBorder="1" applyAlignment="1"/>
    <xf numFmtId="0" fontId="18" fillId="5" borderId="10" xfId="14" applyFont="1" applyFill="1" applyBorder="1" applyAlignment="1"/>
    <xf numFmtId="0" fontId="11" fillId="5" borderId="33" xfId="14" applyNumberFormat="1" applyFont="1" applyFill="1" applyBorder="1" applyAlignment="1"/>
    <xf numFmtId="175" fontId="11" fillId="7" borderId="12" xfId="14" applyNumberFormat="1" applyFont="1" applyFill="1" applyBorder="1" applyAlignment="1" applyProtection="1">
      <alignment horizontal="left"/>
    </xf>
    <xf numFmtId="0" fontId="20" fillId="5" borderId="28" xfId="14" applyFont="1" applyFill="1" applyBorder="1" applyAlignment="1">
      <alignment horizontal="left"/>
    </xf>
    <xf numFmtId="0" fontId="11" fillId="7" borderId="28" xfId="14" applyNumberFormat="1" applyFont="1" applyFill="1" applyBorder="1" applyAlignment="1" applyProtection="1">
      <alignment horizontal="center"/>
    </xf>
    <xf numFmtId="0" fontId="18" fillId="5" borderId="46" xfId="14" applyFont="1" applyFill="1" applyBorder="1" applyAlignment="1"/>
    <xf numFmtId="0" fontId="11" fillId="5" borderId="27" xfId="14" applyFont="1" applyFill="1" applyBorder="1" applyAlignment="1">
      <alignment horizontal="left"/>
    </xf>
    <xf numFmtId="0" fontId="11" fillId="5" borderId="47" xfId="14" applyFont="1" applyFill="1" applyBorder="1" applyAlignment="1">
      <alignment horizontal="left"/>
    </xf>
    <xf numFmtId="0" fontId="11" fillId="5" borderId="36" xfId="14" applyFont="1" applyFill="1" applyBorder="1" applyAlignment="1">
      <alignment horizontal="center"/>
    </xf>
    <xf numFmtId="0" fontId="11" fillId="5" borderId="38" xfId="14" applyFont="1" applyFill="1" applyBorder="1" applyAlignment="1">
      <alignment horizontal="center"/>
    </xf>
    <xf numFmtId="0" fontId="18" fillId="5" borderId="48" xfId="14" applyFont="1" applyFill="1" applyBorder="1" applyAlignment="1"/>
    <xf numFmtId="0" fontId="18" fillId="5" borderId="40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6" xfId="14" applyFont="1" applyBorder="1"/>
    <xf numFmtId="0" fontId="12" fillId="5" borderId="36" xfId="14" applyFont="1" applyFill="1" applyBorder="1" applyAlignment="1">
      <alignment horizontal="center"/>
    </xf>
    <xf numFmtId="0" fontId="12" fillId="5" borderId="38" xfId="14" applyFont="1" applyFill="1" applyBorder="1" applyAlignment="1">
      <alignment horizontal="center"/>
    </xf>
    <xf numFmtId="0" fontId="11" fillId="5" borderId="41" xfId="14" applyNumberFormat="1" applyFont="1" applyFill="1" applyBorder="1" applyAlignment="1"/>
    <xf numFmtId="0" fontId="18" fillId="5" borderId="42" xfId="14" applyFont="1" applyFill="1" applyBorder="1" applyAlignment="1"/>
    <xf numFmtId="0" fontId="12" fillId="5" borderId="36" xfId="14" applyFont="1" applyFill="1" applyBorder="1"/>
    <xf numFmtId="0" fontId="5" fillId="5" borderId="36" xfId="14" applyFont="1" applyFill="1" applyBorder="1"/>
    <xf numFmtId="0" fontId="12" fillId="5" borderId="37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6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7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9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6" fillId="5" borderId="11" xfId="15" applyFont="1" applyFill="1" applyBorder="1" applyAlignment="1">
      <alignment horizontal="right" vertical="center"/>
    </xf>
    <xf numFmtId="0" fontId="17" fillId="5" borderId="11" xfId="15" applyFont="1" applyFill="1" applyBorder="1" applyAlignment="1">
      <alignment horizontal="right" vertical="center"/>
    </xf>
    <xf numFmtId="0" fontId="14" fillId="4" borderId="1" xfId="14" applyFont="1" applyFill="1" applyBorder="1" applyAlignment="1">
      <alignment horizontal="centerContinuous"/>
    </xf>
    <xf numFmtId="0" fontId="14" fillId="4" borderId="2" xfId="14" applyFont="1" applyFill="1" applyBorder="1" applyAlignment="1">
      <alignment horizontal="centerContinuous"/>
    </xf>
    <xf numFmtId="0" fontId="14" fillId="4" borderId="3" xfId="14" applyFont="1" applyFill="1" applyBorder="1" applyAlignment="1">
      <alignment horizontal="centerContinuous"/>
    </xf>
    <xf numFmtId="178" fontId="11" fillId="0" borderId="0" xfId="8" applyNumberFormat="1" applyFont="1"/>
    <xf numFmtId="0" fontId="11" fillId="12" borderId="0" xfId="8" applyFont="1" applyFill="1"/>
    <xf numFmtId="171" fontId="11" fillId="12" borderId="0" xfId="8" applyNumberFormat="1" applyFont="1" applyFill="1"/>
    <xf numFmtId="172" fontId="11" fillId="12" borderId="0" xfId="11" applyNumberFormat="1" applyFont="1" applyFill="1"/>
    <xf numFmtId="172" fontId="11" fillId="12" borderId="0" xfId="8" applyNumberFormat="1" applyFont="1" applyFill="1"/>
    <xf numFmtId="0" fontId="11" fillId="13" borderId="0" xfId="8" applyFont="1" applyFill="1"/>
    <xf numFmtId="171" fontId="11" fillId="13" borderId="0" xfId="8" applyNumberFormat="1" applyFont="1" applyFill="1"/>
    <xf numFmtId="172" fontId="11" fillId="13" borderId="0" xfId="11" applyNumberFormat="1" applyFont="1" applyFill="1"/>
    <xf numFmtId="172" fontId="11" fillId="13" borderId="0" xfId="8" applyNumberFormat="1" applyFont="1" applyFill="1"/>
    <xf numFmtId="171" fontId="11" fillId="0" borderId="0" xfId="0" applyNumberFormat="1" applyFont="1"/>
    <xf numFmtId="0" fontId="11" fillId="10" borderId="0" xfId="0" applyFont="1" applyFill="1"/>
    <xf numFmtId="172" fontId="11" fillId="10" borderId="0" xfId="0" applyNumberFormat="1" applyFont="1" applyFill="1"/>
    <xf numFmtId="0" fontId="11" fillId="10" borderId="40" xfId="0" applyFont="1" applyFill="1" applyBorder="1" applyAlignment="1"/>
    <xf numFmtId="171" fontId="11" fillId="10" borderId="8" xfId="0" applyNumberFormat="1" applyFont="1" applyFill="1" applyBorder="1" applyAlignment="1"/>
    <xf numFmtId="172" fontId="11" fillId="10" borderId="8" xfId="0" applyNumberFormat="1" applyFont="1" applyFill="1" applyBorder="1" applyAlignment="1"/>
    <xf numFmtId="172" fontId="11" fillId="10" borderId="8" xfId="17" applyNumberFormat="1" applyFont="1" applyFill="1" applyBorder="1"/>
    <xf numFmtId="172" fontId="11" fillId="10" borderId="31" xfId="0" applyNumberFormat="1" applyFont="1" applyFill="1" applyBorder="1"/>
    <xf numFmtId="0" fontId="11" fillId="10" borderId="46" xfId="0" applyFont="1" applyFill="1" applyBorder="1" applyAlignment="1"/>
    <xf numFmtId="171" fontId="11" fillId="10" borderId="32" xfId="0" applyNumberFormat="1" applyFont="1" applyFill="1" applyBorder="1" applyAlignment="1"/>
    <xf numFmtId="172" fontId="11" fillId="10" borderId="32" xfId="0" applyNumberFormat="1" applyFont="1" applyFill="1" applyBorder="1" applyAlignment="1"/>
    <xf numFmtId="172" fontId="11" fillId="10" borderId="32" xfId="17" applyNumberFormat="1" applyFont="1" applyFill="1" applyBorder="1"/>
    <xf numFmtId="172" fontId="11" fillId="10" borderId="33" xfId="0" applyNumberFormat="1" applyFont="1" applyFill="1" applyBorder="1"/>
    <xf numFmtId="0" fontId="24" fillId="14" borderId="54" xfId="0" applyFont="1" applyFill="1" applyBorder="1" applyAlignment="1">
      <alignment horizontal="center" vertical="center" wrapText="1"/>
    </xf>
    <xf numFmtId="0" fontId="24" fillId="14" borderId="55" xfId="0" applyFont="1" applyFill="1" applyBorder="1" applyAlignment="1">
      <alignment horizontal="center" vertical="center" wrapText="1"/>
    </xf>
    <xf numFmtId="0" fontId="24" fillId="14" borderId="56" xfId="0" applyFont="1" applyFill="1" applyBorder="1" applyAlignment="1">
      <alignment horizontal="center" vertical="center" wrapText="1"/>
    </xf>
    <xf numFmtId="2" fontId="11" fillId="10" borderId="0" xfId="0" applyNumberFormat="1" applyFont="1" applyFill="1" applyBorder="1"/>
    <xf numFmtId="0" fontId="11" fillId="10" borderId="0" xfId="0" applyFont="1" applyFill="1" applyBorder="1" applyAlignment="1">
      <alignment horizontal="center"/>
    </xf>
    <xf numFmtId="172" fontId="11" fillId="10" borderId="0" xfId="0" applyNumberFormat="1" applyFont="1" applyFill="1" applyBorder="1"/>
    <xf numFmtId="0" fontId="11" fillId="10" borderId="0" xfId="0" applyFont="1" applyFill="1" applyBorder="1"/>
    <xf numFmtId="2" fontId="11" fillId="10" borderId="13" xfId="0" applyNumberFormat="1" applyFont="1" applyFill="1" applyBorder="1" applyAlignment="1">
      <alignment horizontal="center" vertical="center"/>
    </xf>
    <xf numFmtId="2" fontId="11" fillId="10" borderId="0" xfId="0" applyNumberFormat="1" applyFont="1" applyFill="1" applyBorder="1" applyAlignment="1">
      <alignment horizontal="center" vertical="center"/>
    </xf>
    <xf numFmtId="2" fontId="11" fillId="10" borderId="9" xfId="0" applyNumberFormat="1" applyFont="1" applyFill="1" applyBorder="1" applyAlignment="1">
      <alignment horizontal="center" vertical="center"/>
    </xf>
    <xf numFmtId="2" fontId="11" fillId="10" borderId="8" xfId="0" applyNumberFormat="1" applyFont="1" applyFill="1" applyBorder="1" applyAlignment="1">
      <alignment horizontal="center" vertical="center"/>
    </xf>
    <xf numFmtId="172" fontId="11" fillId="10" borderId="8" xfId="0" applyNumberFormat="1" applyFont="1" applyFill="1" applyBorder="1" applyAlignment="1">
      <alignment vertical="center"/>
    </xf>
    <xf numFmtId="2" fontId="11" fillId="10" borderId="0" xfId="0" applyNumberFormat="1" applyFont="1" applyFill="1" applyBorder="1" applyAlignment="1"/>
    <xf numFmtId="0" fontId="11" fillId="10" borderId="0" xfId="0" applyFont="1" applyFill="1" applyAlignment="1">
      <alignment vertical="center"/>
    </xf>
    <xf numFmtId="0" fontId="11" fillId="10" borderId="0" xfId="0" applyFont="1" applyFill="1" applyAlignment="1"/>
    <xf numFmtId="0" fontId="24" fillId="14" borderId="45" xfId="0" applyFont="1" applyFill="1" applyBorder="1" applyAlignment="1">
      <alignment horizontal="center" vertical="center" wrapText="1"/>
    </xf>
    <xf numFmtId="172" fontId="11" fillId="10" borderId="13" xfId="17" applyNumberFormat="1" applyFont="1" applyFill="1" applyBorder="1"/>
    <xf numFmtId="172" fontId="11" fillId="10" borderId="57" xfId="17" applyNumberFormat="1" applyFont="1" applyFill="1" applyBorder="1"/>
    <xf numFmtId="0" fontId="24" fillId="14" borderId="58" xfId="0" applyFont="1" applyFill="1" applyBorder="1" applyAlignment="1">
      <alignment horizontal="center" vertical="center" wrapText="1"/>
    </xf>
    <xf numFmtId="0" fontId="24" fillId="14" borderId="60" xfId="0" applyFont="1" applyFill="1" applyBorder="1" applyAlignment="1">
      <alignment horizontal="center" vertical="center" wrapText="1"/>
    </xf>
    <xf numFmtId="171" fontId="11" fillId="10" borderId="62" xfId="0" applyNumberFormat="1" applyFont="1" applyFill="1" applyBorder="1"/>
    <xf numFmtId="172" fontId="11" fillId="10" borderId="17" xfId="0" applyNumberFormat="1" applyFont="1" applyFill="1" applyBorder="1"/>
    <xf numFmtId="172" fontId="11" fillId="10" borderId="63" xfId="0" applyNumberFormat="1" applyFont="1" applyFill="1" applyBorder="1"/>
    <xf numFmtId="171" fontId="11" fillId="10" borderId="40" xfId="0" applyNumberFormat="1" applyFont="1" applyFill="1" applyBorder="1"/>
    <xf numFmtId="172" fontId="11" fillId="10" borderId="8" xfId="0" applyNumberFormat="1" applyFont="1" applyFill="1" applyBorder="1"/>
    <xf numFmtId="171" fontId="11" fillId="10" borderId="46" xfId="0" applyNumberFormat="1" applyFont="1" applyFill="1" applyBorder="1"/>
    <xf numFmtId="172" fontId="11" fillId="10" borderId="32" xfId="0" applyNumberFormat="1" applyFont="1" applyFill="1" applyBorder="1"/>
    <xf numFmtId="172" fontId="11" fillId="10" borderId="31" xfId="17" applyNumberFormat="1" applyFont="1" applyFill="1" applyBorder="1"/>
    <xf numFmtId="172" fontId="11" fillId="10" borderId="33" xfId="17" applyNumberFormat="1" applyFont="1" applyFill="1" applyBorder="1"/>
    <xf numFmtId="172" fontId="11" fillId="10" borderId="17" xfId="17" applyNumberFormat="1" applyFont="1" applyFill="1" applyBorder="1"/>
    <xf numFmtId="171" fontId="11" fillId="10" borderId="17" xfId="0" applyNumberFormat="1" applyFont="1" applyFill="1" applyBorder="1" applyAlignment="1"/>
    <xf numFmtId="171" fontId="11" fillId="10" borderId="17" xfId="0" applyNumberFormat="1" applyFont="1" applyFill="1" applyBorder="1"/>
    <xf numFmtId="0" fontId="11" fillId="10" borderId="17" xfId="0" applyFont="1" applyFill="1" applyBorder="1"/>
    <xf numFmtId="171" fontId="11" fillId="10" borderId="8" xfId="0" applyNumberFormat="1" applyFont="1" applyFill="1" applyBorder="1"/>
    <xf numFmtId="0" fontId="11" fillId="10" borderId="8" xfId="0" applyFont="1" applyFill="1" applyBorder="1"/>
    <xf numFmtId="171" fontId="11" fillId="10" borderId="32" xfId="0" applyNumberFormat="1" applyFont="1" applyFill="1" applyBorder="1"/>
    <xf numFmtId="0" fontId="11" fillId="10" borderId="32" xfId="0" applyFont="1" applyFill="1" applyBorder="1"/>
    <xf numFmtId="0" fontId="11" fillId="10" borderId="40" xfId="0" applyFont="1" applyFill="1" applyBorder="1" applyAlignment="1">
      <alignment horizontal="center" vertical="center"/>
    </xf>
    <xf numFmtId="0" fontId="11" fillId="10" borderId="46" xfId="0" applyFont="1" applyFill="1" applyBorder="1" applyAlignment="1">
      <alignment horizontal="center" vertical="center"/>
    </xf>
    <xf numFmtId="0" fontId="11" fillId="10" borderId="62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0" borderId="22" xfId="0" applyFont="1" applyFill="1" applyBorder="1"/>
    <xf numFmtId="0" fontId="11" fillId="10" borderId="13" xfId="0" applyFont="1" applyFill="1" applyBorder="1"/>
    <xf numFmtId="0" fontId="11" fillId="10" borderId="57" xfId="0" applyFont="1" applyFill="1" applyBorder="1"/>
    <xf numFmtId="0" fontId="11" fillId="10" borderId="0" xfId="0" applyFont="1" applyFill="1" applyAlignment="1">
      <alignment horizontal="center" vertical="center"/>
    </xf>
    <xf numFmtId="171" fontId="11" fillId="10" borderId="56" xfId="0" applyNumberFormat="1" applyFont="1" applyFill="1" applyBorder="1" applyAlignment="1">
      <alignment horizontal="center" vertical="center"/>
    </xf>
    <xf numFmtId="171" fontId="11" fillId="10" borderId="59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/>
    <xf numFmtId="0" fontId="25" fillId="10" borderId="40" xfId="0" applyFont="1" applyFill="1" applyBorder="1" applyAlignment="1"/>
    <xf numFmtId="172" fontId="25" fillId="10" borderId="31" xfId="17" applyNumberFormat="1" applyFont="1" applyFill="1" applyBorder="1"/>
    <xf numFmtId="171" fontId="11" fillId="10" borderId="49" xfId="0" applyNumberFormat="1" applyFont="1" applyFill="1" applyBorder="1" applyAlignment="1">
      <alignment horizontal="center" vertical="center"/>
    </xf>
    <xf numFmtId="0" fontId="26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/>
    </xf>
    <xf numFmtId="0" fontId="23" fillId="10" borderId="0" xfId="0" applyFont="1" applyFill="1" applyAlignment="1">
      <alignment horizontal="center" vertical="center"/>
    </xf>
    <xf numFmtId="2" fontId="11" fillId="10" borderId="0" xfId="0" applyNumberFormat="1" applyFont="1" applyFill="1"/>
    <xf numFmtId="173" fontId="11" fillId="10" borderId="40" xfId="0" applyNumberFormat="1" applyFont="1" applyFill="1" applyBorder="1"/>
    <xf numFmtId="173" fontId="11" fillId="10" borderId="8" xfId="0" applyNumberFormat="1" applyFont="1" applyFill="1" applyBorder="1"/>
    <xf numFmtId="173" fontId="11" fillId="10" borderId="31" xfId="0" applyNumberFormat="1" applyFont="1" applyFill="1" applyBorder="1"/>
    <xf numFmtId="173" fontId="11" fillId="10" borderId="46" xfId="0" applyNumberFormat="1" applyFont="1" applyFill="1" applyBorder="1"/>
    <xf numFmtId="173" fontId="11" fillId="10" borderId="32" xfId="0" applyNumberFormat="1" applyFont="1" applyFill="1" applyBorder="1"/>
    <xf numFmtId="173" fontId="11" fillId="10" borderId="33" xfId="0" applyNumberFormat="1" applyFont="1" applyFill="1" applyBorder="1"/>
    <xf numFmtId="0" fontId="24" fillId="14" borderId="1" xfId="0" applyFont="1" applyFill="1" applyBorder="1" applyAlignment="1">
      <alignment horizontal="centerContinuous" vertical="center" wrapText="1"/>
    </xf>
    <xf numFmtId="0" fontId="24" fillId="14" borderId="2" xfId="0" applyFont="1" applyFill="1" applyBorder="1" applyAlignment="1">
      <alignment horizontal="centerContinuous" vertical="center" wrapText="1"/>
    </xf>
    <xf numFmtId="0" fontId="24" fillId="14" borderId="3" xfId="0" applyFont="1" applyFill="1" applyBorder="1" applyAlignment="1">
      <alignment horizontal="centerContinuous" vertical="center" wrapText="1"/>
    </xf>
    <xf numFmtId="0" fontId="24" fillId="14" borderId="30" xfId="0" applyFont="1" applyFill="1" applyBorder="1" applyAlignment="1">
      <alignment horizontal="center" vertical="center" wrapText="1"/>
    </xf>
    <xf numFmtId="0" fontId="24" fillId="14" borderId="51" xfId="0" applyFont="1" applyFill="1" applyBorder="1" applyAlignment="1">
      <alignment horizontal="center" vertical="center" wrapText="1"/>
    </xf>
    <xf numFmtId="179" fontId="11" fillId="10" borderId="0" xfId="0" applyNumberFormat="1" applyFont="1" applyFill="1"/>
    <xf numFmtId="171" fontId="11" fillId="12" borderId="61" xfId="0" applyNumberFormat="1" applyFont="1" applyFill="1" applyBorder="1" applyAlignment="1">
      <alignment horizontal="center" vertical="center"/>
    </xf>
    <xf numFmtId="172" fontId="11" fillId="10" borderId="6" xfId="0" applyNumberFormat="1" applyFont="1" applyFill="1" applyBorder="1" applyAlignment="1">
      <alignment horizontal="center" vertical="center"/>
    </xf>
    <xf numFmtId="172" fontId="11" fillId="10" borderId="19" xfId="0" applyNumberFormat="1" applyFont="1" applyFill="1" applyBorder="1"/>
    <xf numFmtId="0" fontId="11" fillId="10" borderId="0" xfId="0" applyFont="1" applyFill="1" applyAlignment="1">
      <alignment horizontal="center" vertical="center"/>
    </xf>
    <xf numFmtId="171" fontId="11" fillId="12" borderId="59" xfId="0" applyNumberFormat="1" applyFont="1" applyFill="1" applyBorder="1" applyAlignment="1">
      <alignment horizontal="center" vertical="center"/>
    </xf>
    <xf numFmtId="171" fontId="11" fillId="10" borderId="61" xfId="0" applyNumberFormat="1" applyFont="1" applyFill="1" applyBorder="1" applyAlignment="1">
      <alignment horizontal="center" vertical="center"/>
    </xf>
    <xf numFmtId="0" fontId="24" fillId="14" borderId="48" xfId="0" applyFont="1" applyFill="1" applyBorder="1" applyAlignment="1">
      <alignment horizontal="center" vertical="center" wrapText="1"/>
    </xf>
    <xf numFmtId="0" fontId="24" fillId="14" borderId="28" xfId="0" applyFont="1" applyFill="1" applyBorder="1" applyAlignment="1">
      <alignment horizontal="center" vertical="center" wrapText="1"/>
    </xf>
    <xf numFmtId="0" fontId="24" fillId="14" borderId="50" xfId="0" applyFont="1" applyFill="1" applyBorder="1" applyAlignment="1">
      <alignment horizontal="center" vertical="center" wrapText="1"/>
    </xf>
    <xf numFmtId="0" fontId="11" fillId="0" borderId="40" xfId="0" applyFont="1" applyBorder="1"/>
    <xf numFmtId="171" fontId="11" fillId="0" borderId="8" xfId="0" applyNumberFormat="1" applyFont="1" applyBorder="1"/>
    <xf numFmtId="172" fontId="11" fillId="0" borderId="31" xfId="0" applyNumberFormat="1" applyFont="1" applyBorder="1"/>
    <xf numFmtId="171" fontId="11" fillId="0" borderId="40" xfId="0" applyNumberFormat="1" applyFont="1" applyBorder="1"/>
    <xf numFmtId="0" fontId="11" fillId="0" borderId="46" xfId="0" applyFont="1" applyBorder="1"/>
    <xf numFmtId="171" fontId="11" fillId="0" borderId="32" xfId="0" applyNumberFormat="1" applyFont="1" applyBorder="1"/>
    <xf numFmtId="172" fontId="11" fillId="0" borderId="32" xfId="0" applyNumberFormat="1" applyFont="1" applyBorder="1"/>
    <xf numFmtId="172" fontId="11" fillId="0" borderId="33" xfId="0" applyNumberFormat="1" applyFont="1" applyBorder="1"/>
    <xf numFmtId="0" fontId="11" fillId="0" borderId="25" xfId="0" applyFont="1" applyBorder="1"/>
    <xf numFmtId="171" fontId="11" fillId="0" borderId="46" xfId="0" applyNumberFormat="1" applyFont="1" applyBorder="1"/>
    <xf numFmtId="0" fontId="11" fillId="0" borderId="32" xfId="0" applyFont="1" applyBorder="1"/>
    <xf numFmtId="0" fontId="11" fillId="10" borderId="4" xfId="14" applyFont="1" applyFill="1" applyBorder="1"/>
    <xf numFmtId="0" fontId="27" fillId="14" borderId="6" xfId="14" applyFont="1" applyFill="1" applyBorder="1" applyAlignment="1">
      <alignment horizontal="center" vertical="center" wrapText="1"/>
    </xf>
    <xf numFmtId="0" fontId="27" fillId="14" borderId="6" xfId="32" applyFont="1" applyFill="1" applyBorder="1" applyAlignment="1">
      <alignment horizontal="center" vertical="center" wrapText="1"/>
    </xf>
    <xf numFmtId="0" fontId="24" fillId="14" borderId="6" xfId="14" applyFont="1" applyFill="1" applyBorder="1" applyAlignment="1">
      <alignment horizontal="center" vertical="center"/>
    </xf>
    <xf numFmtId="0" fontId="11" fillId="10" borderId="0" xfId="14" applyFont="1" applyFill="1" applyBorder="1" applyAlignment="1">
      <alignment horizontal="center" vertical="center"/>
    </xf>
    <xf numFmtId="0" fontId="24" fillId="14" borderId="6" xfId="14" applyFont="1" applyFill="1" applyBorder="1" applyAlignment="1">
      <alignment horizontal="center" vertical="center" wrapText="1"/>
    </xf>
    <xf numFmtId="0" fontId="11" fillId="10" borderId="4" xfId="14" applyFont="1" applyFill="1" applyBorder="1" applyAlignment="1">
      <alignment horizontal="center"/>
    </xf>
    <xf numFmtId="0" fontId="11" fillId="10" borderId="8" xfId="14" applyNumberFormat="1" applyFont="1" applyFill="1" applyBorder="1" applyAlignment="1">
      <alignment horizontal="center"/>
    </xf>
    <xf numFmtId="0" fontId="11" fillId="10" borderId="8" xfId="35" applyNumberFormat="1" applyFont="1" applyFill="1" applyBorder="1" applyAlignment="1">
      <alignment horizontal="center"/>
    </xf>
    <xf numFmtId="0" fontId="11" fillId="10" borderId="8" xfId="32" applyNumberFormat="1" applyFont="1" applyFill="1" applyBorder="1" applyAlignment="1">
      <alignment horizontal="center"/>
    </xf>
    <xf numFmtId="0" fontId="11" fillId="10" borderId="8" xfId="14" applyFont="1" applyFill="1" applyBorder="1" applyAlignment="1">
      <alignment horizontal="center"/>
    </xf>
    <xf numFmtId="172" fontId="11" fillId="10" borderId="8" xfId="14" applyNumberFormat="1" applyFont="1" applyFill="1" applyBorder="1" applyAlignment="1">
      <alignment horizontal="left"/>
    </xf>
    <xf numFmtId="0" fontId="11" fillId="10" borderId="8" xfId="14" applyNumberFormat="1" applyFont="1" applyFill="1" applyBorder="1" applyAlignment="1">
      <alignment horizontal="left"/>
    </xf>
    <xf numFmtId="0" fontId="11" fillId="10" borderId="8" xfId="14" applyNumberFormat="1" applyFont="1" applyFill="1" applyBorder="1" applyAlignment="1"/>
    <xf numFmtId="0" fontId="11" fillId="10" borderId="8" xfId="14" applyFont="1" applyFill="1" applyBorder="1"/>
    <xf numFmtId="0" fontId="11" fillId="10" borderId="0" xfId="14" applyFont="1" applyFill="1" applyBorder="1"/>
    <xf numFmtId="172" fontId="11" fillId="10" borderId="8" xfId="14" applyNumberFormat="1" applyFont="1" applyFill="1" applyBorder="1"/>
    <xf numFmtId="171" fontId="11" fillId="10" borderId="8" xfId="14" applyNumberFormat="1" applyFont="1" applyFill="1" applyBorder="1"/>
    <xf numFmtId="0" fontId="11" fillId="10" borderId="19" xfId="14" applyNumberFormat="1" applyFont="1" applyFill="1" applyBorder="1" applyAlignment="1">
      <alignment horizontal="center"/>
    </xf>
    <xf numFmtId="0" fontId="11" fillId="10" borderId="19" xfId="35" applyNumberFormat="1" applyFont="1" applyFill="1" applyBorder="1" applyAlignment="1">
      <alignment horizontal="center"/>
    </xf>
    <xf numFmtId="0" fontId="11" fillId="10" borderId="19" xfId="32" applyNumberFormat="1" applyFont="1" applyFill="1" applyBorder="1" applyAlignment="1">
      <alignment horizontal="center"/>
    </xf>
    <xf numFmtId="0" fontId="11" fillId="10" borderId="19" xfId="14" applyFont="1" applyFill="1" applyBorder="1" applyAlignment="1">
      <alignment horizontal="center"/>
    </xf>
    <xf numFmtId="172" fontId="11" fillId="10" borderId="19" xfId="14" applyNumberFormat="1" applyFont="1" applyFill="1" applyBorder="1" applyAlignment="1">
      <alignment horizontal="left"/>
    </xf>
    <xf numFmtId="0" fontId="11" fillId="10" borderId="19" xfId="14" applyFont="1" applyFill="1" applyBorder="1"/>
    <xf numFmtId="172" fontId="11" fillId="10" borderId="19" xfId="14" applyNumberFormat="1" applyFont="1" applyFill="1" applyBorder="1"/>
    <xf numFmtId="171" fontId="11" fillId="10" borderId="19" xfId="14" applyNumberFormat="1" applyFont="1" applyFill="1" applyBorder="1"/>
    <xf numFmtId="0" fontId="24" fillId="14" borderId="20" xfId="14" applyFont="1" applyFill="1" applyBorder="1" applyAlignment="1">
      <alignment horizontal="centerContinuous" vertical="center"/>
    </xf>
    <xf numFmtId="0" fontId="24" fillId="14" borderId="21" xfId="14" applyFont="1" applyFill="1" applyBorder="1" applyAlignment="1">
      <alignment horizontal="centerContinuous" vertical="center"/>
    </xf>
    <xf numFmtId="0" fontId="24" fillId="14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6" fontId="11" fillId="10" borderId="17" xfId="14" applyNumberFormat="1" applyFont="1" applyFill="1" applyBorder="1"/>
    <xf numFmtId="176" fontId="11" fillId="10" borderId="8" xfId="14" applyNumberFormat="1" applyFont="1" applyFill="1" applyBorder="1"/>
    <xf numFmtId="176" fontId="11" fillId="10" borderId="19" xfId="14" applyNumberFormat="1" applyFont="1" applyFill="1" applyBorder="1"/>
    <xf numFmtId="0" fontId="11" fillId="10" borderId="13" xfId="14" applyFont="1" applyFill="1" applyBorder="1"/>
    <xf numFmtId="0" fontId="11" fillId="10" borderId="14" xfId="14" applyFont="1" applyFill="1" applyBorder="1"/>
    <xf numFmtId="0" fontId="11" fillId="0" borderId="17" xfId="14" applyFont="1" applyBorder="1"/>
    <xf numFmtId="0" fontId="11" fillId="0" borderId="8" xfId="14" applyFont="1" applyBorder="1"/>
    <xf numFmtId="0" fontId="11" fillId="0" borderId="19" xfId="14" applyFont="1" applyBorder="1"/>
    <xf numFmtId="0" fontId="24" fillId="14" borderId="1" xfId="14" applyFont="1" applyFill="1" applyBorder="1" applyAlignment="1">
      <alignment horizontal="centerContinuous" vertical="center"/>
    </xf>
    <xf numFmtId="0" fontId="24" fillId="14" borderId="2" xfId="14" applyFont="1" applyFill="1" applyBorder="1" applyAlignment="1">
      <alignment horizontal="centerContinuous" vertical="center"/>
    </xf>
    <xf numFmtId="0" fontId="24" fillId="14" borderId="3" xfId="14" applyFont="1" applyFill="1" applyBorder="1" applyAlignment="1">
      <alignment horizontal="centerContinuous" vertical="center"/>
    </xf>
    <xf numFmtId="0" fontId="11" fillId="14" borderId="3" xfId="14" applyFont="1" applyFill="1" applyBorder="1" applyAlignment="1">
      <alignment horizontal="centerContinuous"/>
    </xf>
    <xf numFmtId="0" fontId="24" fillId="14" borderId="51" xfId="43" applyFont="1" applyFill="1" applyBorder="1" applyAlignment="1">
      <alignment horizontal="center" vertical="center"/>
    </xf>
    <xf numFmtId="0" fontId="24" fillId="14" borderId="52" xfId="43" applyFont="1" applyFill="1" applyBorder="1" applyAlignment="1">
      <alignment horizontal="center" vertical="center"/>
    </xf>
    <xf numFmtId="0" fontId="24" fillId="14" borderId="53" xfId="43" applyFont="1" applyFill="1" applyBorder="1" applyAlignment="1">
      <alignment horizontal="center" vertical="center"/>
    </xf>
    <xf numFmtId="0" fontId="11" fillId="10" borderId="48" xfId="14" applyFont="1" applyFill="1" applyBorder="1" applyAlignment="1">
      <alignment horizontal="center" vertical="center"/>
    </xf>
    <xf numFmtId="0" fontId="11" fillId="10" borderId="0" xfId="14" applyFont="1" applyFill="1"/>
    <xf numFmtId="171" fontId="28" fillId="10" borderId="28" xfId="43" applyNumberFormat="1" applyFont="1" applyFill="1" applyBorder="1"/>
    <xf numFmtId="172" fontId="11" fillId="10" borderId="28" xfId="14" applyNumberFormat="1" applyFont="1" applyFill="1" applyBorder="1"/>
    <xf numFmtId="0" fontId="28" fillId="10" borderId="28" xfId="43" applyFont="1" applyFill="1" applyBorder="1"/>
    <xf numFmtId="180" fontId="28" fillId="10" borderId="28" xfId="43" applyNumberFormat="1" applyFont="1" applyFill="1" applyBorder="1"/>
    <xf numFmtId="172" fontId="28" fillId="10" borderId="50" xfId="43" applyNumberFormat="1" applyFont="1" applyFill="1" applyBorder="1"/>
    <xf numFmtId="0" fontId="11" fillId="10" borderId="40" xfId="14" applyFont="1" applyFill="1" applyBorder="1" applyAlignment="1">
      <alignment horizontal="center" vertical="center"/>
    </xf>
    <xf numFmtId="171" fontId="28" fillId="10" borderId="8" xfId="43" applyNumberFormat="1" applyFont="1" applyFill="1" applyBorder="1"/>
    <xf numFmtId="0" fontId="28" fillId="10" borderId="8" xfId="43" applyFont="1" applyFill="1" applyBorder="1"/>
    <xf numFmtId="180" fontId="28" fillId="10" borderId="8" xfId="43" applyNumberFormat="1" applyFont="1" applyFill="1" applyBorder="1"/>
    <xf numFmtId="172" fontId="28" fillId="10" borderId="31" xfId="43" applyNumberFormat="1" applyFont="1" applyFill="1" applyBorder="1"/>
    <xf numFmtId="0" fontId="11" fillId="10" borderId="46" xfId="14" applyFont="1" applyFill="1" applyBorder="1" applyAlignment="1">
      <alignment horizontal="center" vertical="center"/>
    </xf>
    <xf numFmtId="171" fontId="28" fillId="10" borderId="32" xfId="43" applyNumberFormat="1" applyFont="1" applyFill="1" applyBorder="1"/>
    <xf numFmtId="0" fontId="28" fillId="10" borderId="32" xfId="43" applyFont="1" applyFill="1" applyBorder="1"/>
    <xf numFmtId="180" fontId="28" fillId="10" borderId="32" xfId="43" applyNumberFormat="1" applyFont="1" applyFill="1" applyBorder="1"/>
    <xf numFmtId="172" fontId="28" fillId="10" borderId="33" xfId="43" applyNumberFormat="1" applyFont="1" applyFill="1" applyBorder="1"/>
    <xf numFmtId="0" fontId="11" fillId="10" borderId="0" xfId="0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1" fillId="11" borderId="6" xfId="11" applyNumberFormat="1" applyFont="1" applyFill="1" applyBorder="1" applyAlignment="1">
      <alignment horizontal="center"/>
    </xf>
    <xf numFmtId="0" fontId="11" fillId="10" borderId="19" xfId="14" applyNumberFormat="1" applyFont="1" applyFill="1" applyBorder="1" applyAlignment="1">
      <alignment horizontal="left"/>
    </xf>
    <xf numFmtId="0" fontId="11" fillId="10" borderId="19" xfId="14" applyNumberFormat="1" applyFont="1" applyFill="1" applyBorder="1" applyAlignment="1"/>
    <xf numFmtId="0" fontId="11" fillId="0" borderId="23" xfId="14" applyFont="1" applyBorder="1"/>
    <xf numFmtId="0" fontId="11" fillId="0" borderId="17" xfId="14" applyFont="1" applyBorder="1" applyAlignment="1">
      <alignment horizontal="left"/>
    </xf>
    <xf numFmtId="0" fontId="11" fillId="0" borderId="22" xfId="14" applyFont="1" applyBorder="1"/>
    <xf numFmtId="0" fontId="11" fillId="0" borderId="23" xfId="32" applyFont="1" applyBorder="1"/>
    <xf numFmtId="0" fontId="11" fillId="0" borderId="18" xfId="14" applyFont="1" applyBorder="1"/>
    <xf numFmtId="0" fontId="11" fillId="10" borderId="17" xfId="14" applyNumberFormat="1" applyFont="1" applyFill="1" applyBorder="1" applyAlignment="1">
      <alignment horizontal="center"/>
    </xf>
    <xf numFmtId="0" fontId="11" fillId="10" borderId="17" xfId="35" applyNumberFormat="1" applyFont="1" applyFill="1" applyBorder="1" applyAlignment="1">
      <alignment horizontal="center"/>
    </xf>
    <xf numFmtId="0" fontId="11" fillId="10" borderId="17" xfId="32" applyNumberFormat="1" applyFont="1" applyFill="1" applyBorder="1" applyAlignment="1">
      <alignment horizontal="center"/>
    </xf>
    <xf numFmtId="0" fontId="11" fillId="10" borderId="17" xfId="14" applyFont="1" applyFill="1" applyBorder="1" applyAlignment="1">
      <alignment horizontal="center"/>
    </xf>
    <xf numFmtId="172" fontId="11" fillId="10" borderId="17" xfId="14" applyNumberFormat="1" applyFont="1" applyFill="1" applyBorder="1" applyAlignment="1">
      <alignment horizontal="left"/>
    </xf>
    <xf numFmtId="0" fontId="11" fillId="10" borderId="17" xfId="14" applyNumberFormat="1" applyFont="1" applyFill="1" applyBorder="1" applyAlignment="1">
      <alignment horizontal="left"/>
    </xf>
    <xf numFmtId="0" fontId="11" fillId="10" borderId="17" xfId="14" applyNumberFormat="1" applyFont="1" applyFill="1" applyBorder="1" applyAlignment="1"/>
    <xf numFmtId="0" fontId="11" fillId="10" borderId="17" xfId="14" applyFont="1" applyFill="1" applyBorder="1"/>
    <xf numFmtId="171" fontId="11" fillId="10" borderId="0" xfId="0" applyNumberFormat="1" applyFont="1" applyFill="1" applyBorder="1" applyAlignment="1"/>
    <xf numFmtId="171" fontId="11" fillId="10" borderId="0" xfId="0" applyNumberFormat="1" applyFont="1" applyFill="1" applyBorder="1"/>
    <xf numFmtId="172" fontId="11" fillId="10" borderId="0" xfId="17" applyNumberFormat="1" applyFont="1" applyFill="1" applyBorder="1"/>
    <xf numFmtId="173" fontId="11" fillId="10" borderId="0" xfId="0" applyNumberFormat="1" applyFont="1" applyFill="1" applyBorder="1"/>
    <xf numFmtId="0" fontId="11" fillId="10" borderId="0" xfId="0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8" fillId="9" borderId="20" xfId="8" applyFont="1" applyFill="1" applyBorder="1" applyAlignment="1">
      <alignment horizontal="center" vertical="center" wrapText="1"/>
    </xf>
    <xf numFmtId="0" fontId="18" fillId="9" borderId="21" xfId="8" applyFont="1" applyFill="1" applyBorder="1" applyAlignment="1">
      <alignment horizontal="center" vertical="center" wrapText="1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3"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1.0138901255953536E-5</c:v>
                </c:pt>
                <c:pt idx="1">
                  <c:v>1.0138901255953536E-5</c:v>
                </c:pt>
                <c:pt idx="2">
                  <c:v>1.0138901255953536E-5</c:v>
                </c:pt>
                <c:pt idx="3">
                  <c:v>1.0138901255953536E-5</c:v>
                </c:pt>
                <c:pt idx="4">
                  <c:v>1.0138901255953536E-5</c:v>
                </c:pt>
                <c:pt idx="5">
                  <c:v>1.0138901255953536E-5</c:v>
                </c:pt>
                <c:pt idx="6">
                  <c:v>1.0138901255953536E-5</c:v>
                </c:pt>
                <c:pt idx="7">
                  <c:v>1.0138901255953536E-5</c:v>
                </c:pt>
                <c:pt idx="8">
                  <c:v>1.0138901255953536E-5</c:v>
                </c:pt>
                <c:pt idx="9">
                  <c:v>1.0138901255953536E-5</c:v>
                </c:pt>
                <c:pt idx="10">
                  <c:v>1.0138901255953536E-5</c:v>
                </c:pt>
                <c:pt idx="11">
                  <c:v>1.0138901255953536E-5</c:v>
                </c:pt>
                <c:pt idx="12">
                  <c:v>1.0138901255953536E-5</c:v>
                </c:pt>
                <c:pt idx="13">
                  <c:v>1.0138901255953536E-5</c:v>
                </c:pt>
                <c:pt idx="14">
                  <c:v>1.0138901255953536E-5</c:v>
                </c:pt>
                <c:pt idx="15">
                  <c:v>1.0138901255953536E-5</c:v>
                </c:pt>
                <c:pt idx="16">
                  <c:v>1.0138901255953536E-5</c:v>
                </c:pt>
                <c:pt idx="17">
                  <c:v>1.0138901255953536E-5</c:v>
                </c:pt>
                <c:pt idx="18">
                  <c:v>1.0138901255953536E-5</c:v>
                </c:pt>
                <c:pt idx="19">
                  <c:v>1.0138901255953536E-5</c:v>
                </c:pt>
                <c:pt idx="20">
                  <c:v>1.0138901255953536E-5</c:v>
                </c:pt>
                <c:pt idx="21">
                  <c:v>1.0138901255953536E-5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-4.1477244052865864E-5</c:v>
                </c:pt>
                <c:pt idx="1">
                  <c:v>-3.041664148669028E-5</c:v>
                </c:pt>
                <c:pt idx="2">
                  <c:v>-2.6729773964631751E-5</c:v>
                </c:pt>
                <c:pt idx="3">
                  <c:v>-2.3042906442573227E-5</c:v>
                </c:pt>
                <c:pt idx="4">
                  <c:v>-1.9356038920514698E-5</c:v>
                </c:pt>
                <c:pt idx="5">
                  <c:v>-1.5669171398456167E-5</c:v>
                </c:pt>
                <c:pt idx="6">
                  <c:v>-4.6085688322805888E-6</c:v>
                </c:pt>
                <c:pt idx="7">
                  <c:v>-9.2170131022205381E-7</c:v>
                </c:pt>
                <c:pt idx="8">
                  <c:v>2.7651662118364676E-6</c:v>
                </c:pt>
                <c:pt idx="9">
                  <c:v>6.4520337338949959E-6</c:v>
                </c:pt>
                <c:pt idx="10">
                  <c:v>1.0138901255953531E-5</c:v>
                </c:pt>
                <c:pt idx="11">
                  <c:v>2.1199503822129109E-5</c:v>
                </c:pt>
                <c:pt idx="12">
                  <c:v>2.488637134418763E-5</c:v>
                </c:pt>
                <c:pt idx="13">
                  <c:v>2.8573238866246165E-5</c:v>
                </c:pt>
                <c:pt idx="14">
                  <c:v>3.2260106388304687E-5</c:v>
                </c:pt>
                <c:pt idx="15">
                  <c:v>3.5946973910363222E-5</c:v>
                </c:pt>
                <c:pt idx="16">
                  <c:v>4.7007576476538799E-5</c:v>
                </c:pt>
                <c:pt idx="17">
                  <c:v>5.0694443998597334E-5</c:v>
                </c:pt>
                <c:pt idx="18">
                  <c:v>5.4381311520655856E-5</c:v>
                </c:pt>
                <c:pt idx="19">
                  <c:v>5.8068179042714391E-5</c:v>
                </c:pt>
                <c:pt idx="20">
                  <c:v>6.1755046564772933E-5</c:v>
                </c:pt>
                <c:pt idx="21">
                  <c:v>7.2815649130948511E-5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-1.0895864667681852E-5</c:v>
                </c:pt>
                <c:pt idx="1">
                  <c:v>-8.912990057178568E-6</c:v>
                </c:pt>
                <c:pt idx="2">
                  <c:v>-8.0371743872710279E-6</c:v>
                </c:pt>
                <c:pt idx="3">
                  <c:v>-7.0539299841602678E-6</c:v>
                </c:pt>
                <c:pt idx="4">
                  <c:v>-5.9632568478462825E-6</c:v>
                </c:pt>
                <c:pt idx="5">
                  <c:v>-4.7651549783290737E-6</c:v>
                </c:pt>
                <c:pt idx="6">
                  <c:v>-5.2627697055811979E-7</c:v>
                </c:pt>
                <c:pt idx="7">
                  <c:v>1.1015398317719779E-6</c:v>
                </c:pt>
                <c:pt idx="8">
                  <c:v>2.8367853673052949E-6</c:v>
                </c:pt>
                <c:pt idx="9">
                  <c:v>4.6794596360418387E-6</c:v>
                </c:pt>
                <c:pt idx="10">
                  <c:v>6.6295626379816052E-6</c:v>
                </c:pt>
                <c:pt idx="11">
                  <c:v>1.3124444043020234E-5</c:v>
                </c:pt>
                <c:pt idx="12">
                  <c:v>1.5504261977772882E-5</c:v>
                </c:pt>
                <c:pt idx="13">
                  <c:v>1.7991508645728761E-5</c:v>
                </c:pt>
                <c:pt idx="14">
                  <c:v>2.0586184046887857E-5</c:v>
                </c:pt>
                <c:pt idx="15">
                  <c:v>2.3288288181250183E-5</c:v>
                </c:pt>
                <c:pt idx="16">
                  <c:v>3.2039172983556471E-5</c:v>
                </c:pt>
                <c:pt idx="17">
                  <c:v>3.5170992050731687E-5</c:v>
                </c:pt>
                <c:pt idx="18">
                  <c:v>3.8410239851110124E-5</c:v>
                </c:pt>
                <c:pt idx="19">
                  <c:v>4.175691638469178E-5</c:v>
                </c:pt>
                <c:pt idx="20">
                  <c:v>4.5211021651476671E-5</c:v>
                </c:pt>
                <c:pt idx="21">
                  <c:v>5.6217909851050622E-5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893440"/>
        <c:axId val="574788736"/>
      </c:lineChart>
      <c:dateAx>
        <c:axId val="574893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4788736"/>
        <c:crosses val="autoZero"/>
        <c:auto val="1"/>
        <c:lblOffset val="100"/>
        <c:baseTimeUnit val="days"/>
      </c:dateAx>
      <c:valAx>
        <c:axId val="5747887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4893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'1MSynthDepo'!$F$18:$F$22</c:f>
              <c:numCache>
                <c:formatCode>ddd\,\ dd\-mmm\-yyyy</c:formatCode>
                <c:ptCount val="5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</c:numCache>
            </c:numRef>
          </c:cat>
          <c:val>
            <c:numRef>
              <c:f>'1MSynthDepo'!$M$18:$M$22</c:f>
              <c:numCache>
                <c:formatCode>0.0000%</c:formatCode>
                <c:ptCount val="5"/>
                <c:pt idx="0">
                  <c:v>5.1792458254752423E-4</c:v>
                </c:pt>
                <c:pt idx="1">
                  <c:v>4.1000000763249852E-4</c:v>
                </c:pt>
                <c:pt idx="2">
                  <c:v>1.9000000609628497E-4</c:v>
                </c:pt>
                <c:pt idx="3">
                  <c:v>1.3000000304842489E-4</c:v>
                </c:pt>
                <c:pt idx="4">
                  <c:v>9.9999999999999991E-5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'1MSynthDepo'!$F$18:$F$22</c:f>
              <c:numCache>
                <c:formatCode>ddd\,\ dd\-mmm\-yyyy</c:formatCode>
                <c:ptCount val="5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</c:numCache>
            </c:numRef>
          </c:cat>
          <c:val>
            <c:numRef>
              <c:f>'1MSynthDepo'!$N$18:$N$22</c:f>
              <c:numCache>
                <c:formatCode>0.0000%</c:formatCode>
                <c:ptCount val="5"/>
                <c:pt idx="0">
                  <c:v>4.7247005145365195E-4</c:v>
                </c:pt>
                <c:pt idx="1">
                  <c:v>3.7181820151364588E-4</c:v>
                </c:pt>
                <c:pt idx="2">
                  <c:v>1.645454686837165E-4</c:v>
                </c:pt>
                <c:pt idx="3">
                  <c:v>1.1727273434214066E-4</c:v>
                </c:pt>
                <c:pt idx="4">
                  <c:v>9.9999999999999991E-5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'1MSynthDepo'!$O$17</c:f>
              <c:strCache>
                <c:ptCount val="1"/>
                <c:pt idx="0">
                  <c:v>quad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'1MSynthDepo'!$F$18:$F$22</c:f>
              <c:numCache>
                <c:formatCode>ddd\,\ dd\-mmm\-yyyy</c:formatCode>
                <c:ptCount val="5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</c:numCache>
            </c:numRef>
          </c:cat>
          <c:val>
            <c:numRef>
              <c:f>'1MSynthDepo'!$O$18:$O$22</c:f>
              <c:numCache>
                <c:formatCode>0.0000%</c:formatCode>
                <c:ptCount val="5"/>
                <c:pt idx="0">
                  <c:v>4.9807635224455706E-4</c:v>
                </c:pt>
                <c:pt idx="1">
                  <c:v>3.9184409468391232E-4</c:v>
                </c:pt>
                <c:pt idx="2">
                  <c:v>1.7616543138745139E-4</c:v>
                </c:pt>
                <c:pt idx="3">
                  <c:v>1.2221739932245334E-4</c:v>
                </c:pt>
                <c:pt idx="4">
                  <c:v>9.9999999999999991E-5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297792"/>
        <c:axId val="575307776"/>
      </c:lineChart>
      <c:dateAx>
        <c:axId val="5752977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75307776"/>
        <c:crosses val="autoZero"/>
        <c:auto val="1"/>
        <c:lblOffset val="100"/>
        <c:baseTimeUnit val="days"/>
      </c:dateAx>
      <c:valAx>
        <c:axId val="5753077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297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8.90574851254045E-4</c:v>
                </c:pt>
                <c:pt idx="1">
                  <c:v>8.90574851254045E-4</c:v>
                </c:pt>
                <c:pt idx="2">
                  <c:v>8.90574851254045E-4</c:v>
                </c:pt>
                <c:pt idx="3">
                  <c:v>8.90574851254045E-4</c:v>
                </c:pt>
                <c:pt idx="4">
                  <c:v>8.90574851254045E-4</c:v>
                </c:pt>
                <c:pt idx="5">
                  <c:v>8.90574851254045E-4</c:v>
                </c:pt>
                <c:pt idx="6">
                  <c:v>8.90574851254045E-4</c:v>
                </c:pt>
                <c:pt idx="7">
                  <c:v>8.90574851254045E-4</c:v>
                </c:pt>
                <c:pt idx="8">
                  <c:v>8.90574851254045E-4</c:v>
                </c:pt>
                <c:pt idx="9">
                  <c:v>8.90574851254045E-4</c:v>
                </c:pt>
                <c:pt idx="10">
                  <c:v>8.90574851254045E-4</c:v>
                </c:pt>
                <c:pt idx="11">
                  <c:v>8.90574851254045E-4</c:v>
                </c:pt>
                <c:pt idx="12">
                  <c:v>8.90574851254045E-4</c:v>
                </c:pt>
                <c:pt idx="13">
                  <c:v>8.90574851254045E-4</c:v>
                </c:pt>
                <c:pt idx="14">
                  <c:v>8.90574851254045E-4</c:v>
                </c:pt>
                <c:pt idx="15">
                  <c:v>8.90574851254045E-4</c:v>
                </c:pt>
                <c:pt idx="16">
                  <c:v>8.90574851254045E-4</c:v>
                </c:pt>
                <c:pt idx="17">
                  <c:v>8.90574851254045E-4</c:v>
                </c:pt>
                <c:pt idx="18">
                  <c:v>8.90574851254045E-4</c:v>
                </c:pt>
                <c:pt idx="19">
                  <c:v>8.90574851254045E-4</c:v>
                </c:pt>
                <c:pt idx="20">
                  <c:v>8.90574851254045E-4</c:v>
                </c:pt>
                <c:pt idx="21">
                  <c:v>8.90574851254045E-4</c:v>
                </c:pt>
                <c:pt idx="22">
                  <c:v>8.90574851254045E-4</c:v>
                </c:pt>
                <c:pt idx="23">
                  <c:v>8.90574851254045E-4</c:v>
                </c:pt>
                <c:pt idx="24">
                  <c:v>8.90574851254045E-4</c:v>
                </c:pt>
                <c:pt idx="25">
                  <c:v>8.90574851254045E-4</c:v>
                </c:pt>
                <c:pt idx="26">
                  <c:v>8.90574851254045E-4</c:v>
                </c:pt>
                <c:pt idx="27">
                  <c:v>8.90574851254045E-4</c:v>
                </c:pt>
                <c:pt idx="28">
                  <c:v>8.90574851254045E-4</c:v>
                </c:pt>
                <c:pt idx="29">
                  <c:v>8.90574851254045E-4</c:v>
                </c:pt>
                <c:pt idx="30">
                  <c:v>8.90574851254045E-4</c:v>
                </c:pt>
                <c:pt idx="31">
                  <c:v>8.90574851254045E-4</c:v>
                </c:pt>
                <c:pt idx="32">
                  <c:v>8.90574851254045E-4</c:v>
                </c:pt>
                <c:pt idx="33">
                  <c:v>8.90574851254045E-4</c:v>
                </c:pt>
                <c:pt idx="34">
                  <c:v>8.90574851254045E-4</c:v>
                </c:pt>
                <c:pt idx="35">
                  <c:v>8.90574851254045E-4</c:v>
                </c:pt>
                <c:pt idx="36">
                  <c:v>8.90574851254045E-4</c:v>
                </c:pt>
                <c:pt idx="37">
                  <c:v>8.90574851254045E-4</c:v>
                </c:pt>
                <c:pt idx="38">
                  <c:v>8.90574851254045E-4</c:v>
                </c:pt>
                <c:pt idx="39">
                  <c:v>8.90574851254045E-4</c:v>
                </c:pt>
                <c:pt idx="40">
                  <c:v>8.90574851254045E-4</c:v>
                </c:pt>
                <c:pt idx="41">
                  <c:v>8.90574851254045E-4</c:v>
                </c:pt>
                <c:pt idx="42">
                  <c:v>8.90574851254045E-4</c:v>
                </c:pt>
                <c:pt idx="43">
                  <c:v>8.90574851254045E-4</c:v>
                </c:pt>
                <c:pt idx="44">
                  <c:v>8.90574851254045E-4</c:v>
                </c:pt>
                <c:pt idx="45">
                  <c:v>8.90574851254045E-4</c:v>
                </c:pt>
                <c:pt idx="46">
                  <c:v>8.90574851254045E-4</c:v>
                </c:pt>
                <c:pt idx="47">
                  <c:v>8.90574851254045E-4</c:v>
                </c:pt>
                <c:pt idx="48">
                  <c:v>8.90574851254045E-4</c:v>
                </c:pt>
                <c:pt idx="49">
                  <c:v>8.90574851254045E-4</c:v>
                </c:pt>
                <c:pt idx="50">
                  <c:v>8.90574851254045E-4</c:v>
                </c:pt>
                <c:pt idx="51">
                  <c:v>8.90574851254045E-4</c:v>
                </c:pt>
                <c:pt idx="52">
                  <c:v>8.90574851254045E-4</c:v>
                </c:pt>
                <c:pt idx="53">
                  <c:v>8.90574851254045E-4</c:v>
                </c:pt>
                <c:pt idx="54">
                  <c:v>8.90574851254045E-4</c:v>
                </c:pt>
                <c:pt idx="55">
                  <c:v>8.90574851254045E-4</c:v>
                </c:pt>
                <c:pt idx="56">
                  <c:v>8.90574851254045E-4</c:v>
                </c:pt>
                <c:pt idx="57">
                  <c:v>8.90574851254045E-4</c:v>
                </c:pt>
                <c:pt idx="58">
                  <c:v>8.90574851254045E-4</c:v>
                </c:pt>
                <c:pt idx="59">
                  <c:v>8.90574851254045E-4</c:v>
                </c:pt>
                <c:pt idx="60">
                  <c:v>8.90574851254045E-4</c:v>
                </c:pt>
                <c:pt idx="61">
                  <c:v>8.90574851254045E-4</c:v>
                </c:pt>
                <c:pt idx="62">
                  <c:v>8.90574851254045E-4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6.8072444565754706E-4</c:v>
                </c:pt>
                <c:pt idx="1">
                  <c:v>6.9456073613643706E-4</c:v>
                </c:pt>
                <c:pt idx="2">
                  <c:v>6.9917283296273369E-4</c:v>
                </c:pt>
                <c:pt idx="3">
                  <c:v>7.0378492978903032E-4</c:v>
                </c:pt>
                <c:pt idx="4">
                  <c:v>7.0839702661532695E-4</c:v>
                </c:pt>
                <c:pt idx="5">
                  <c:v>7.1300912344162358E-4</c:v>
                </c:pt>
                <c:pt idx="6">
                  <c:v>7.2684541392051358E-4</c:v>
                </c:pt>
                <c:pt idx="7">
                  <c:v>7.3145751074681022E-4</c:v>
                </c:pt>
                <c:pt idx="8">
                  <c:v>7.3606960757310685E-4</c:v>
                </c:pt>
                <c:pt idx="9">
                  <c:v>7.4068170439940358E-4</c:v>
                </c:pt>
                <c:pt idx="10">
                  <c:v>7.4529380122570022E-4</c:v>
                </c:pt>
                <c:pt idx="11">
                  <c:v>7.5913009170459011E-4</c:v>
                </c:pt>
                <c:pt idx="12">
                  <c:v>7.6374218853088685E-4</c:v>
                </c:pt>
                <c:pt idx="13">
                  <c:v>7.6835428535718348E-4</c:v>
                </c:pt>
                <c:pt idx="14">
                  <c:v>7.7296638218348011E-4</c:v>
                </c:pt>
                <c:pt idx="15">
                  <c:v>7.7757847900977674E-4</c:v>
                </c:pt>
                <c:pt idx="16">
                  <c:v>7.9141476948866674E-4</c:v>
                </c:pt>
                <c:pt idx="17">
                  <c:v>7.9602686631496337E-4</c:v>
                </c:pt>
                <c:pt idx="18">
                  <c:v>8.0063896314126E-4</c:v>
                </c:pt>
                <c:pt idx="19">
                  <c:v>8.0525105996755663E-4</c:v>
                </c:pt>
                <c:pt idx="20">
                  <c:v>8.0986315679385337E-4</c:v>
                </c:pt>
                <c:pt idx="21">
                  <c:v>8.2369944727274326E-4</c:v>
                </c:pt>
                <c:pt idx="22">
                  <c:v>8.2831154409903989E-4</c:v>
                </c:pt>
                <c:pt idx="23">
                  <c:v>8.3292364092533663E-4</c:v>
                </c:pt>
                <c:pt idx="24">
                  <c:v>8.3753573775163326E-4</c:v>
                </c:pt>
                <c:pt idx="25">
                  <c:v>8.4214783457792989E-4</c:v>
                </c:pt>
                <c:pt idx="26">
                  <c:v>8.5598412505681989E-4</c:v>
                </c:pt>
                <c:pt idx="27">
                  <c:v>8.6059622188311652E-4</c:v>
                </c:pt>
                <c:pt idx="28">
                  <c:v>8.6520831870941315E-4</c:v>
                </c:pt>
                <c:pt idx="29">
                  <c:v>8.6982041553570978E-4</c:v>
                </c:pt>
                <c:pt idx="30">
                  <c:v>8.7443251236200641E-4</c:v>
                </c:pt>
                <c:pt idx="31">
                  <c:v>8.8826880284089641E-4</c:v>
                </c:pt>
                <c:pt idx="32">
                  <c:v>8.9288089966719304E-4</c:v>
                </c:pt>
                <c:pt idx="33">
                  <c:v>8.9749299649348967E-4</c:v>
                </c:pt>
                <c:pt idx="34">
                  <c:v>9.0210509331978641E-4</c:v>
                </c:pt>
                <c:pt idx="35">
                  <c:v>9.0671719014608304E-4</c:v>
                </c:pt>
                <c:pt idx="36">
                  <c:v>9.2055348062497293E-4</c:v>
                </c:pt>
                <c:pt idx="37">
                  <c:v>9.2516557745126967E-4</c:v>
                </c:pt>
                <c:pt idx="38">
                  <c:v>9.297776742775663E-4</c:v>
                </c:pt>
                <c:pt idx="39">
                  <c:v>9.5283815840904956E-4</c:v>
                </c:pt>
                <c:pt idx="40">
                  <c:v>9.5745025523534619E-4</c:v>
                </c:pt>
                <c:pt idx="41">
                  <c:v>9.6206235206164293E-4</c:v>
                </c:pt>
                <c:pt idx="42">
                  <c:v>9.7128654571423619E-4</c:v>
                </c:pt>
                <c:pt idx="43">
                  <c:v>9.8512283619312619E-4</c:v>
                </c:pt>
                <c:pt idx="44">
                  <c:v>9.8973493301942272E-4</c:v>
                </c:pt>
                <c:pt idx="45">
                  <c:v>9.9434702984571945E-4</c:v>
                </c:pt>
                <c:pt idx="46">
                  <c:v>9.9895912667201598E-4</c:v>
                </c:pt>
                <c:pt idx="47">
                  <c:v>1.0035712234983127E-3</c:v>
                </c:pt>
                <c:pt idx="48">
                  <c:v>1.0174075139772027E-3</c:v>
                </c:pt>
                <c:pt idx="49">
                  <c:v>1.0220196108034992E-3</c:v>
                </c:pt>
                <c:pt idx="50">
                  <c:v>1.026631707629796E-3</c:v>
                </c:pt>
                <c:pt idx="51">
                  <c:v>1.0312438044560927E-3</c:v>
                </c:pt>
                <c:pt idx="52">
                  <c:v>1.0358559012823892E-3</c:v>
                </c:pt>
                <c:pt idx="53">
                  <c:v>1.0496921917612792E-3</c:v>
                </c:pt>
                <c:pt idx="54">
                  <c:v>1.054304288587576E-3</c:v>
                </c:pt>
                <c:pt idx="55">
                  <c:v>1.0589163854138725E-3</c:v>
                </c:pt>
                <c:pt idx="56">
                  <c:v>1.0635284822401692E-3</c:v>
                </c:pt>
                <c:pt idx="57">
                  <c:v>1.0681405790664658E-3</c:v>
                </c:pt>
                <c:pt idx="58">
                  <c:v>1.0819768695453558E-3</c:v>
                </c:pt>
                <c:pt idx="59">
                  <c:v>1.0865889663716525E-3</c:v>
                </c:pt>
                <c:pt idx="60">
                  <c:v>1.091201063197949E-3</c:v>
                </c:pt>
                <c:pt idx="61">
                  <c:v>1.0958131600242458E-3</c:v>
                </c:pt>
                <c:pt idx="62">
                  <c:v>1.1004252568505425E-3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7.6311745253633198E-4</c:v>
                </c:pt>
                <c:pt idx="1">
                  <c:v>7.6533192304631468E-4</c:v>
                </c:pt>
                <c:pt idx="2">
                  <c:v>7.6621318540946943E-4</c:v>
                </c:pt>
                <c:pt idx="3">
                  <c:v>7.6716600053587094E-4</c:v>
                </c:pt>
                <c:pt idx="4">
                  <c:v>7.6819036842551945E-4</c:v>
                </c:pt>
                <c:pt idx="5">
                  <c:v>7.6928628907841474E-4</c:v>
                </c:pt>
                <c:pt idx="6">
                  <c:v>7.7300336761658211E-4</c:v>
                </c:pt>
                <c:pt idx="7">
                  <c:v>7.7438549932246493E-4</c:v>
                </c:pt>
                <c:pt idx="8">
                  <c:v>7.7583918379159475E-4</c:v>
                </c:pt>
                <c:pt idx="9">
                  <c:v>7.7736442102397134E-4</c:v>
                </c:pt>
                <c:pt idx="10">
                  <c:v>7.7896121101959481E-4</c:v>
                </c:pt>
                <c:pt idx="11">
                  <c:v>7.8418089758594664E-4</c:v>
                </c:pt>
                <c:pt idx="12">
                  <c:v>7.8606389863455765E-4</c:v>
                </c:pt>
                <c:pt idx="13">
                  <c:v>7.8801845244641554E-4</c:v>
                </c:pt>
                <c:pt idx="14">
                  <c:v>7.9004455902152043E-4</c:v>
                </c:pt>
                <c:pt idx="15">
                  <c:v>7.9214221835987209E-4</c:v>
                </c:pt>
                <c:pt idx="16">
                  <c:v>7.9886451295440837E-4</c:v>
                </c:pt>
                <c:pt idx="17">
                  <c:v>8.0124838334574757E-4</c:v>
                </c:pt>
                <c:pt idx="18">
                  <c:v>8.0370380650033376E-4</c:v>
                </c:pt>
                <c:pt idx="19">
                  <c:v>8.0623078241816673E-4</c:v>
                </c:pt>
                <c:pt idx="20">
                  <c:v>8.0882931109924668E-4</c:v>
                </c:pt>
                <c:pt idx="21">
                  <c:v>8.1705421372196742E-4</c:v>
                </c:pt>
                <c:pt idx="22">
                  <c:v>8.1993895345603492E-4</c:v>
                </c:pt>
                <c:pt idx="23">
                  <c:v>8.2289524595334919E-4</c:v>
                </c:pt>
                <c:pt idx="24">
                  <c:v>8.2592309121391023E-4</c:v>
                </c:pt>
                <c:pt idx="25">
                  <c:v>8.2902248923771827E-4</c:v>
                </c:pt>
                <c:pt idx="26">
                  <c:v>8.3874999988862368E-4</c:v>
                </c:pt>
                <c:pt idx="27">
                  <c:v>8.4213560896541926E-4</c:v>
                </c:pt>
                <c:pt idx="28">
                  <c:v>8.4559277080546171E-4</c:v>
                </c:pt>
                <c:pt idx="29">
                  <c:v>8.4912148540875105E-4</c:v>
                </c:pt>
                <c:pt idx="30">
                  <c:v>8.5272175277528717E-4</c:v>
                </c:pt>
                <c:pt idx="31">
                  <c:v>8.6395187145437726E-4</c:v>
                </c:pt>
                <c:pt idx="32">
                  <c:v>8.6783834987390102E-4</c:v>
                </c:pt>
                <c:pt idx="33">
                  <c:v>8.7179638105667155E-4</c:v>
                </c:pt>
                <c:pt idx="34">
                  <c:v>8.7582596500268908E-4</c:v>
                </c:pt>
                <c:pt idx="35">
                  <c:v>8.799271017119535E-4</c:v>
                </c:pt>
                <c:pt idx="36">
                  <c:v>8.9265982841922793E-4</c:v>
                </c:pt>
                <c:pt idx="37">
                  <c:v>8.9704717618147977E-4</c:v>
                </c:pt>
                <c:pt idx="38">
                  <c:v>9.015060767069786E-4</c:v>
                </c:pt>
                <c:pt idx="39">
                  <c:v>9.2487387078317581E-4</c:v>
                </c:pt>
                <c:pt idx="40">
                  <c:v>9.2976208788815584E-4</c:v>
                </c:pt>
                <c:pt idx="41">
                  <c:v>9.3472185775638286E-4</c:v>
                </c:pt>
                <c:pt idx="42">
                  <c:v>9.4485605578257755E-4</c:v>
                </c:pt>
                <c:pt idx="43">
                  <c:v>9.6059399854622101E-4</c:v>
                </c:pt>
                <c:pt idx="44">
                  <c:v>9.6598308499392922E-4</c:v>
                </c:pt>
                <c:pt idx="45">
                  <c:v>9.7144372420488443E-4</c:v>
                </c:pt>
                <c:pt idx="46">
                  <c:v>9.7697591617908631E-4</c:v>
                </c:pt>
                <c:pt idx="47">
                  <c:v>9.8257966091653539E-4</c:v>
                </c:pt>
                <c:pt idx="48">
                  <c:v>9.998202117083633E-4</c:v>
                </c:pt>
                <c:pt idx="49">
                  <c:v>1.0057101674987997E-3</c:v>
                </c:pt>
                <c:pt idx="50">
                  <c:v>1.0116716760524831E-3</c:v>
                </c:pt>
                <c:pt idx="51">
                  <c:v>1.0177047373694133E-3</c:v>
                </c:pt>
                <c:pt idx="52">
                  <c:v>1.0238093514495904E-3</c:v>
                </c:pt>
                <c:pt idx="53">
                  <c:v>1.042552510269603E-3</c:v>
                </c:pt>
                <c:pt idx="54">
                  <c:v>1.0489433354027677E-3</c:v>
                </c:pt>
                <c:pt idx="55">
                  <c:v>1.0554057132991792E-3</c:v>
                </c:pt>
                <c:pt idx="56">
                  <c:v>1.0619396439588375E-3</c:v>
                </c:pt>
                <c:pt idx="57">
                  <c:v>1.0685451273817427E-3</c:v>
                </c:pt>
                <c:pt idx="58">
                  <c:v>1.0887908942299397E-3</c:v>
                </c:pt>
                <c:pt idx="59">
                  <c:v>1.0956825887058325E-3</c:v>
                </c:pt>
                <c:pt idx="60">
                  <c:v>1.1026458359449723E-3</c:v>
                </c:pt>
                <c:pt idx="61">
                  <c:v>1.1096806359473588E-3</c:v>
                </c:pt>
                <c:pt idx="62">
                  <c:v>1.1167869887129922E-3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391616"/>
        <c:axId val="575393152"/>
      </c:lineChart>
      <c:dateAx>
        <c:axId val="5753916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5393152"/>
        <c:crosses val="autoZero"/>
        <c:auto val="1"/>
        <c:lblOffset val="100"/>
        <c:baseTimeUnit val="days"/>
      </c:dateAx>
      <c:valAx>
        <c:axId val="5753931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391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03-Nov-2014</c:v>
                </c:pt>
                <c:pt idx="2">
                  <c:v>Fri, 07-Nov-2014</c:v>
                </c:pt>
                <c:pt idx="3">
                  <c:v>Fri, 14-Nov-2014</c:v>
                </c:pt>
                <c:pt idx="4">
                  <c:v>Fri, 21-Nov-2014</c:v>
                </c:pt>
                <c:pt idx="5">
                  <c:v>Fri, 28-Nov-2014</c:v>
                </c:pt>
                <c:pt idx="6">
                  <c:v>Wed, 31-Dec-2014</c:v>
                </c:pt>
                <c:pt idx="7">
                  <c:v>Fri, 30-Jan-2015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1.3862997661072854E-3</c:v>
                </c:pt>
                <c:pt idx="1">
                  <c:v>1.2783751911922599E-3</c:v>
                </c:pt>
                <c:pt idx="2">
                  <c:v>1.0583751896560464E-3</c:v>
                </c:pt>
                <c:pt idx="3">
                  <c:v>9.9837518660818628E-4</c:v>
                </c:pt>
                <c:pt idx="4">
                  <c:v>9.6837518355976152E-4</c:v>
                </c:pt>
                <c:pt idx="5">
                  <c:v>9.2837519575741424E-4</c:v>
                </c:pt>
                <c:pt idx="6">
                  <c:v>8.6045388216033367E-4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03-Nov-2014</c:v>
                </c:pt>
                <c:pt idx="2">
                  <c:v>Fri, 07-Nov-2014</c:v>
                </c:pt>
                <c:pt idx="3">
                  <c:v>Fri, 14-Nov-2014</c:v>
                </c:pt>
                <c:pt idx="4">
                  <c:v>Fri, 21-Nov-2014</c:v>
                </c:pt>
                <c:pt idx="5">
                  <c:v>Fri, 28-Nov-2014</c:v>
                </c:pt>
                <c:pt idx="6">
                  <c:v>Wed, 31-Dec-2014</c:v>
                </c:pt>
                <c:pt idx="7">
                  <c:v>Fri, 30-Jan-2015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1.1861473997277266E-3</c:v>
                </c:pt>
                <c:pt idx="1">
                  <c:v>1.0873206596481355E-3</c:v>
                </c:pt>
                <c:pt idx="2">
                  <c:v>8.8324186907393228E-4</c:v>
                </c:pt>
                <c:pt idx="3">
                  <c:v>8.3916307698808244E-4</c:v>
                </c:pt>
                <c:pt idx="4">
                  <c:v>8.2508428490166803E-4</c:v>
                </c:pt>
                <c:pt idx="5">
                  <c:v>8.6014143449165525E-4</c:v>
                </c:pt>
                <c:pt idx="6">
                  <c:v>8.6045388216033334E-4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Mon, 03-Nov-2014</c:v>
                </c:pt>
                <c:pt idx="2">
                  <c:v>Fri, 07-Nov-2014</c:v>
                </c:pt>
                <c:pt idx="3">
                  <c:v>Fri, 14-Nov-2014</c:v>
                </c:pt>
                <c:pt idx="4">
                  <c:v>Fri, 21-Nov-2014</c:v>
                </c:pt>
                <c:pt idx="5">
                  <c:v>Fri, 28-Nov-2014</c:v>
                </c:pt>
                <c:pt idx="6">
                  <c:v>Wed, 31-Dec-2014</c:v>
                </c:pt>
                <c:pt idx="7">
                  <c:v>Fri, 30-Jan-2015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1.2616274973602814E-3</c:v>
                </c:pt>
                <c:pt idx="1">
                  <c:v>1.1554177788010965E-3</c:v>
                </c:pt>
                <c:pt idx="2">
                  <c:v>9.3932445743883817E-4</c:v>
                </c:pt>
                <c:pt idx="3">
                  <c:v>8.8438382017559528E-4</c:v>
                </c:pt>
                <c:pt idx="4">
                  <c:v>8.6059586852244984E-4</c:v>
                </c:pt>
                <c:pt idx="5">
                  <c:v>8.6540723531901146E-4</c:v>
                </c:pt>
                <c:pt idx="6">
                  <c:v>8.6045388216033139E-4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530112"/>
        <c:axId val="575531648"/>
      </c:lineChart>
      <c:catAx>
        <c:axId val="575530112"/>
        <c:scaling>
          <c:orientation val="minMax"/>
        </c:scaling>
        <c:delete val="0"/>
        <c:axPos val="b"/>
        <c:numFmt formatCode="[$-409]mmmm\ d\,\ yy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75531648"/>
        <c:crosses val="autoZero"/>
        <c:auto val="1"/>
        <c:lblAlgn val="ctr"/>
        <c:lblOffset val="100"/>
        <c:noMultiLvlLbl val="0"/>
      </c:catAx>
      <c:valAx>
        <c:axId val="57553164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5301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  <c:pt idx="63">
                  <c:v>42037</c:v>
                </c:pt>
                <c:pt idx="64">
                  <c:v>42038</c:v>
                </c:pt>
                <c:pt idx="65">
                  <c:v>42039</c:v>
                </c:pt>
                <c:pt idx="66">
                  <c:v>42040</c:v>
                </c:pt>
                <c:pt idx="67">
                  <c:v>42041</c:v>
                </c:pt>
                <c:pt idx="68">
                  <c:v>42044</c:v>
                </c:pt>
                <c:pt idx="69">
                  <c:v>42045</c:v>
                </c:pt>
                <c:pt idx="70">
                  <c:v>42046</c:v>
                </c:pt>
                <c:pt idx="71">
                  <c:v>42047</c:v>
                </c:pt>
                <c:pt idx="72">
                  <c:v>42048</c:v>
                </c:pt>
                <c:pt idx="73">
                  <c:v>42051</c:v>
                </c:pt>
                <c:pt idx="74">
                  <c:v>42052</c:v>
                </c:pt>
                <c:pt idx="75">
                  <c:v>42053</c:v>
                </c:pt>
                <c:pt idx="76">
                  <c:v>42054</c:v>
                </c:pt>
                <c:pt idx="77">
                  <c:v>42055</c:v>
                </c:pt>
                <c:pt idx="78">
                  <c:v>42058</c:v>
                </c:pt>
                <c:pt idx="79">
                  <c:v>42059</c:v>
                </c:pt>
                <c:pt idx="80">
                  <c:v>42060</c:v>
                </c:pt>
                <c:pt idx="81">
                  <c:v>42061</c:v>
                </c:pt>
                <c:pt idx="82">
                  <c:v>42062</c:v>
                </c:pt>
                <c:pt idx="83">
                  <c:v>42065</c:v>
                </c:pt>
                <c:pt idx="84">
                  <c:v>42066</c:v>
                </c:pt>
                <c:pt idx="85">
                  <c:v>42067</c:v>
                </c:pt>
                <c:pt idx="86">
                  <c:v>42068</c:v>
                </c:pt>
                <c:pt idx="87">
                  <c:v>42069</c:v>
                </c:pt>
                <c:pt idx="88">
                  <c:v>42072</c:v>
                </c:pt>
                <c:pt idx="89">
                  <c:v>42073</c:v>
                </c:pt>
                <c:pt idx="90">
                  <c:v>42074</c:v>
                </c:pt>
                <c:pt idx="91">
                  <c:v>42075</c:v>
                </c:pt>
                <c:pt idx="92">
                  <c:v>42076</c:v>
                </c:pt>
                <c:pt idx="93">
                  <c:v>42079</c:v>
                </c:pt>
                <c:pt idx="94">
                  <c:v>42080</c:v>
                </c:pt>
                <c:pt idx="95">
                  <c:v>42081</c:v>
                </c:pt>
                <c:pt idx="96">
                  <c:v>42082</c:v>
                </c:pt>
                <c:pt idx="97">
                  <c:v>42083</c:v>
                </c:pt>
                <c:pt idx="98">
                  <c:v>42086</c:v>
                </c:pt>
                <c:pt idx="99">
                  <c:v>42087</c:v>
                </c:pt>
                <c:pt idx="100">
                  <c:v>42088</c:v>
                </c:pt>
                <c:pt idx="101">
                  <c:v>42089</c:v>
                </c:pt>
                <c:pt idx="102">
                  <c:v>42090</c:v>
                </c:pt>
                <c:pt idx="103">
                  <c:v>42093</c:v>
                </c:pt>
                <c:pt idx="104">
                  <c:v>42094</c:v>
                </c:pt>
                <c:pt idx="105">
                  <c:v>42095</c:v>
                </c:pt>
                <c:pt idx="106">
                  <c:v>42096</c:v>
                </c:pt>
                <c:pt idx="107">
                  <c:v>42101</c:v>
                </c:pt>
                <c:pt idx="108">
                  <c:v>42102</c:v>
                </c:pt>
                <c:pt idx="109">
                  <c:v>42103</c:v>
                </c:pt>
                <c:pt idx="110">
                  <c:v>42104</c:v>
                </c:pt>
                <c:pt idx="111">
                  <c:v>42107</c:v>
                </c:pt>
                <c:pt idx="112">
                  <c:v>42108</c:v>
                </c:pt>
                <c:pt idx="113">
                  <c:v>42109</c:v>
                </c:pt>
                <c:pt idx="114">
                  <c:v>42110</c:v>
                </c:pt>
                <c:pt idx="115">
                  <c:v>42111</c:v>
                </c:pt>
                <c:pt idx="116">
                  <c:v>42114</c:v>
                </c:pt>
                <c:pt idx="117">
                  <c:v>42115</c:v>
                </c:pt>
                <c:pt idx="118">
                  <c:v>42116</c:v>
                </c:pt>
                <c:pt idx="119">
                  <c:v>42117</c:v>
                </c:pt>
                <c:pt idx="120">
                  <c:v>42118</c:v>
                </c:pt>
                <c:pt idx="121">
                  <c:v>42121</c:v>
                </c:pt>
                <c:pt idx="122">
                  <c:v>42122</c:v>
                </c:pt>
                <c:pt idx="123">
                  <c:v>42123</c:v>
                </c:pt>
                <c:pt idx="124">
                  <c:v>42124</c:v>
                </c:pt>
                <c:pt idx="125">
                  <c:v>42128</c:v>
                </c:pt>
                <c:pt idx="126">
                  <c:v>42129</c:v>
                </c:pt>
                <c:pt idx="127">
                  <c:v>42130</c:v>
                </c:pt>
                <c:pt idx="128">
                  <c:v>42131</c:v>
                </c:pt>
                <c:pt idx="129">
                  <c:v>42132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2.1508333921951258E-3</c:v>
                </c:pt>
                <c:pt idx="1">
                  <c:v>2.1508333921951258E-3</c:v>
                </c:pt>
                <c:pt idx="2">
                  <c:v>2.1508333921951258E-3</c:v>
                </c:pt>
                <c:pt idx="3">
                  <c:v>2.1508333921951258E-3</c:v>
                </c:pt>
                <c:pt idx="4">
                  <c:v>2.1508333921951258E-3</c:v>
                </c:pt>
                <c:pt idx="5">
                  <c:v>2.1508333921951258E-3</c:v>
                </c:pt>
                <c:pt idx="6">
                  <c:v>2.1508333921951258E-3</c:v>
                </c:pt>
                <c:pt idx="7">
                  <c:v>2.1508333921951258E-3</c:v>
                </c:pt>
                <c:pt idx="8">
                  <c:v>2.1508333921951258E-3</c:v>
                </c:pt>
                <c:pt idx="9">
                  <c:v>2.1508333921951258E-3</c:v>
                </c:pt>
                <c:pt idx="10">
                  <c:v>2.1508333921951258E-3</c:v>
                </c:pt>
                <c:pt idx="11">
                  <c:v>2.1508333921951258E-3</c:v>
                </c:pt>
                <c:pt idx="12">
                  <c:v>2.1508333921951258E-3</c:v>
                </c:pt>
                <c:pt idx="13">
                  <c:v>2.1508333921951258E-3</c:v>
                </c:pt>
                <c:pt idx="14">
                  <c:v>2.1508333921951258E-3</c:v>
                </c:pt>
                <c:pt idx="15">
                  <c:v>2.1508333921951258E-3</c:v>
                </c:pt>
                <c:pt idx="16">
                  <c:v>2.1508333921951258E-3</c:v>
                </c:pt>
                <c:pt idx="17">
                  <c:v>2.1508333921951258E-3</c:v>
                </c:pt>
                <c:pt idx="18">
                  <c:v>2.1508333921951258E-3</c:v>
                </c:pt>
                <c:pt idx="19">
                  <c:v>2.1508333921951258E-3</c:v>
                </c:pt>
                <c:pt idx="20">
                  <c:v>2.1508333921951258E-3</c:v>
                </c:pt>
                <c:pt idx="21">
                  <c:v>2.1508333921951258E-3</c:v>
                </c:pt>
                <c:pt idx="22">
                  <c:v>2.1508333921951258E-3</c:v>
                </c:pt>
                <c:pt idx="23">
                  <c:v>2.1508333921951258E-3</c:v>
                </c:pt>
                <c:pt idx="24">
                  <c:v>2.1508333921951258E-3</c:v>
                </c:pt>
                <c:pt idx="25">
                  <c:v>2.1508333921951258E-3</c:v>
                </c:pt>
                <c:pt idx="26">
                  <c:v>2.1508333921951258E-3</c:v>
                </c:pt>
                <c:pt idx="27">
                  <c:v>2.1508333921951258E-3</c:v>
                </c:pt>
                <c:pt idx="28">
                  <c:v>2.1508333921951258E-3</c:v>
                </c:pt>
                <c:pt idx="29">
                  <c:v>2.1508333921951258E-3</c:v>
                </c:pt>
                <c:pt idx="30">
                  <c:v>2.1508333921951258E-3</c:v>
                </c:pt>
                <c:pt idx="31">
                  <c:v>2.1508333921951258E-3</c:v>
                </c:pt>
                <c:pt idx="32">
                  <c:v>2.1508333921951258E-3</c:v>
                </c:pt>
                <c:pt idx="33">
                  <c:v>2.1508333921951258E-3</c:v>
                </c:pt>
                <c:pt idx="34">
                  <c:v>2.1508333921951258E-3</c:v>
                </c:pt>
                <c:pt idx="35">
                  <c:v>2.1508333921951258E-3</c:v>
                </c:pt>
                <c:pt idx="36">
                  <c:v>2.1508333921951258E-3</c:v>
                </c:pt>
                <c:pt idx="37">
                  <c:v>2.1508333921951258E-3</c:v>
                </c:pt>
                <c:pt idx="38">
                  <c:v>2.1508333921951258E-3</c:v>
                </c:pt>
                <c:pt idx="39">
                  <c:v>2.1508333921951258E-3</c:v>
                </c:pt>
                <c:pt idx="40">
                  <c:v>2.1508333921951258E-3</c:v>
                </c:pt>
                <c:pt idx="41">
                  <c:v>2.1508333921951258E-3</c:v>
                </c:pt>
                <c:pt idx="42">
                  <c:v>2.1508333921951258E-3</c:v>
                </c:pt>
                <c:pt idx="43">
                  <c:v>2.1508333921951258E-3</c:v>
                </c:pt>
                <c:pt idx="44">
                  <c:v>2.1508333921951258E-3</c:v>
                </c:pt>
                <c:pt idx="45">
                  <c:v>2.1508333921951258E-3</c:v>
                </c:pt>
                <c:pt idx="46">
                  <c:v>2.1508333921951258E-3</c:v>
                </c:pt>
                <c:pt idx="47">
                  <c:v>2.1508333921951258E-3</c:v>
                </c:pt>
                <c:pt idx="48">
                  <c:v>2.1508333921951258E-3</c:v>
                </c:pt>
                <c:pt idx="49">
                  <c:v>2.1508333921951258E-3</c:v>
                </c:pt>
                <c:pt idx="50">
                  <c:v>2.1508333921951258E-3</c:v>
                </c:pt>
                <c:pt idx="51">
                  <c:v>2.1508333921951258E-3</c:v>
                </c:pt>
                <c:pt idx="52">
                  <c:v>2.1508333921951258E-3</c:v>
                </c:pt>
                <c:pt idx="53">
                  <c:v>2.1508333921951258E-3</c:v>
                </c:pt>
                <c:pt idx="54">
                  <c:v>2.1508333921951258E-3</c:v>
                </c:pt>
                <c:pt idx="55">
                  <c:v>2.1508333921951258E-3</c:v>
                </c:pt>
                <c:pt idx="56">
                  <c:v>2.1508333921951258E-3</c:v>
                </c:pt>
                <c:pt idx="57">
                  <c:v>2.1508333921951258E-3</c:v>
                </c:pt>
                <c:pt idx="58">
                  <c:v>2.1508333921951258E-3</c:v>
                </c:pt>
                <c:pt idx="59">
                  <c:v>2.1508333921951258E-3</c:v>
                </c:pt>
                <c:pt idx="60">
                  <c:v>2.1508333921951258E-3</c:v>
                </c:pt>
                <c:pt idx="61">
                  <c:v>2.1508333921951258E-3</c:v>
                </c:pt>
                <c:pt idx="62">
                  <c:v>2.1508333921951258E-3</c:v>
                </c:pt>
                <c:pt idx="63">
                  <c:v>2.1508333921951258E-3</c:v>
                </c:pt>
                <c:pt idx="64">
                  <c:v>2.1508333921951258E-3</c:v>
                </c:pt>
                <c:pt idx="65">
                  <c:v>2.1508333921951258E-3</c:v>
                </c:pt>
                <c:pt idx="66">
                  <c:v>2.1508333921951258E-3</c:v>
                </c:pt>
                <c:pt idx="67">
                  <c:v>2.1508333921951258E-3</c:v>
                </c:pt>
                <c:pt idx="68">
                  <c:v>2.1508333921951258E-3</c:v>
                </c:pt>
                <c:pt idx="69">
                  <c:v>2.1508333921951258E-3</c:v>
                </c:pt>
                <c:pt idx="70">
                  <c:v>2.1508333921951258E-3</c:v>
                </c:pt>
                <c:pt idx="71">
                  <c:v>2.1508333921951258E-3</c:v>
                </c:pt>
                <c:pt idx="72">
                  <c:v>2.1508333921951258E-3</c:v>
                </c:pt>
                <c:pt idx="73">
                  <c:v>2.1508333921951258E-3</c:v>
                </c:pt>
                <c:pt idx="74">
                  <c:v>2.1508333921951258E-3</c:v>
                </c:pt>
                <c:pt idx="75">
                  <c:v>2.1508333921951258E-3</c:v>
                </c:pt>
                <c:pt idx="76">
                  <c:v>2.1508333921951258E-3</c:v>
                </c:pt>
                <c:pt idx="77">
                  <c:v>2.1508333921951258E-3</c:v>
                </c:pt>
                <c:pt idx="78">
                  <c:v>2.1508333921951258E-3</c:v>
                </c:pt>
                <c:pt idx="79">
                  <c:v>2.1508333921951258E-3</c:v>
                </c:pt>
                <c:pt idx="80">
                  <c:v>2.1508333921951258E-3</c:v>
                </c:pt>
                <c:pt idx="81">
                  <c:v>2.1508333921951258E-3</c:v>
                </c:pt>
                <c:pt idx="82">
                  <c:v>2.1508333921951258E-3</c:v>
                </c:pt>
                <c:pt idx="83">
                  <c:v>2.1508333921951258E-3</c:v>
                </c:pt>
                <c:pt idx="84">
                  <c:v>2.1508333921951258E-3</c:v>
                </c:pt>
                <c:pt idx="85">
                  <c:v>2.1508333921951258E-3</c:v>
                </c:pt>
                <c:pt idx="86">
                  <c:v>2.1508333921951258E-3</c:v>
                </c:pt>
                <c:pt idx="87">
                  <c:v>2.1508333921951258E-3</c:v>
                </c:pt>
                <c:pt idx="88">
                  <c:v>2.1508333921951258E-3</c:v>
                </c:pt>
                <c:pt idx="89">
                  <c:v>2.1508333921951258E-3</c:v>
                </c:pt>
                <c:pt idx="90">
                  <c:v>2.1508333921951258E-3</c:v>
                </c:pt>
                <c:pt idx="91">
                  <c:v>2.1508333921951258E-3</c:v>
                </c:pt>
                <c:pt idx="92">
                  <c:v>2.1508333921951258E-3</c:v>
                </c:pt>
                <c:pt idx="93">
                  <c:v>2.1508333921951258E-3</c:v>
                </c:pt>
                <c:pt idx="94">
                  <c:v>2.1508333921951258E-3</c:v>
                </c:pt>
                <c:pt idx="95">
                  <c:v>2.1508333921951258E-3</c:v>
                </c:pt>
                <c:pt idx="96">
                  <c:v>2.1508333921951258E-3</c:v>
                </c:pt>
                <c:pt idx="97">
                  <c:v>2.1508333921951258E-3</c:v>
                </c:pt>
                <c:pt idx="98">
                  <c:v>2.1508333921951258E-3</c:v>
                </c:pt>
                <c:pt idx="99">
                  <c:v>2.1508333921951258E-3</c:v>
                </c:pt>
                <c:pt idx="100">
                  <c:v>2.1508333921951258E-3</c:v>
                </c:pt>
                <c:pt idx="101">
                  <c:v>2.1508333921951258E-3</c:v>
                </c:pt>
                <c:pt idx="102">
                  <c:v>2.1508333921951258E-3</c:v>
                </c:pt>
                <c:pt idx="103">
                  <c:v>2.1508333921951258E-3</c:v>
                </c:pt>
                <c:pt idx="104">
                  <c:v>2.1508333921951258E-3</c:v>
                </c:pt>
                <c:pt idx="105">
                  <c:v>2.1508333921951258E-3</c:v>
                </c:pt>
                <c:pt idx="106">
                  <c:v>2.1508333921951258E-3</c:v>
                </c:pt>
                <c:pt idx="107">
                  <c:v>2.1508333921951258E-3</c:v>
                </c:pt>
                <c:pt idx="108">
                  <c:v>2.1508333921951258E-3</c:v>
                </c:pt>
                <c:pt idx="109">
                  <c:v>2.1508333921951258E-3</c:v>
                </c:pt>
                <c:pt idx="110">
                  <c:v>2.1508333921951258E-3</c:v>
                </c:pt>
                <c:pt idx="111">
                  <c:v>2.1508333921951258E-3</c:v>
                </c:pt>
                <c:pt idx="112">
                  <c:v>2.1508333921951258E-3</c:v>
                </c:pt>
                <c:pt idx="113">
                  <c:v>2.1508333921951258E-3</c:v>
                </c:pt>
                <c:pt idx="114">
                  <c:v>2.1508333921951258E-3</c:v>
                </c:pt>
                <c:pt idx="115">
                  <c:v>2.1508333921951258E-3</c:v>
                </c:pt>
                <c:pt idx="116">
                  <c:v>2.1508333921951258E-3</c:v>
                </c:pt>
                <c:pt idx="117">
                  <c:v>2.1508333921951258E-3</c:v>
                </c:pt>
                <c:pt idx="118">
                  <c:v>2.1508333921951258E-3</c:v>
                </c:pt>
                <c:pt idx="119">
                  <c:v>2.1508333921951258E-3</c:v>
                </c:pt>
                <c:pt idx="120">
                  <c:v>2.1508333921951258E-3</c:v>
                </c:pt>
                <c:pt idx="121">
                  <c:v>2.1508333921951258E-3</c:v>
                </c:pt>
                <c:pt idx="122">
                  <c:v>2.1508333921951258E-3</c:v>
                </c:pt>
                <c:pt idx="123">
                  <c:v>2.1508333921951258E-3</c:v>
                </c:pt>
                <c:pt idx="124">
                  <c:v>2.1508333921951258E-3</c:v>
                </c:pt>
                <c:pt idx="125">
                  <c:v>2.1508333921951258E-3</c:v>
                </c:pt>
                <c:pt idx="126">
                  <c:v>2.1508333921951258E-3</c:v>
                </c:pt>
                <c:pt idx="127">
                  <c:v>2.1508333921951258E-3</c:v>
                </c:pt>
                <c:pt idx="128">
                  <c:v>2.1508333921951258E-3</c:v>
                </c:pt>
                <c:pt idx="129">
                  <c:v>2.1508333921951258E-3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  <c:pt idx="63">
                  <c:v>42037</c:v>
                </c:pt>
                <c:pt idx="64">
                  <c:v>42038</c:v>
                </c:pt>
                <c:pt idx="65">
                  <c:v>42039</c:v>
                </c:pt>
                <c:pt idx="66">
                  <c:v>42040</c:v>
                </c:pt>
                <c:pt idx="67">
                  <c:v>42041</c:v>
                </c:pt>
                <c:pt idx="68">
                  <c:v>42044</c:v>
                </c:pt>
                <c:pt idx="69">
                  <c:v>42045</c:v>
                </c:pt>
                <c:pt idx="70">
                  <c:v>42046</c:v>
                </c:pt>
                <c:pt idx="71">
                  <c:v>42047</c:v>
                </c:pt>
                <c:pt idx="72">
                  <c:v>42048</c:v>
                </c:pt>
                <c:pt idx="73">
                  <c:v>42051</c:v>
                </c:pt>
                <c:pt idx="74">
                  <c:v>42052</c:v>
                </c:pt>
                <c:pt idx="75">
                  <c:v>42053</c:v>
                </c:pt>
                <c:pt idx="76">
                  <c:v>42054</c:v>
                </c:pt>
                <c:pt idx="77">
                  <c:v>42055</c:v>
                </c:pt>
                <c:pt idx="78">
                  <c:v>42058</c:v>
                </c:pt>
                <c:pt idx="79">
                  <c:v>42059</c:v>
                </c:pt>
                <c:pt idx="80">
                  <c:v>42060</c:v>
                </c:pt>
                <c:pt idx="81">
                  <c:v>42061</c:v>
                </c:pt>
                <c:pt idx="82">
                  <c:v>42062</c:v>
                </c:pt>
                <c:pt idx="83">
                  <c:v>42065</c:v>
                </c:pt>
                <c:pt idx="84">
                  <c:v>42066</c:v>
                </c:pt>
                <c:pt idx="85">
                  <c:v>42067</c:v>
                </c:pt>
                <c:pt idx="86">
                  <c:v>42068</c:v>
                </c:pt>
                <c:pt idx="87">
                  <c:v>42069</c:v>
                </c:pt>
                <c:pt idx="88">
                  <c:v>42072</c:v>
                </c:pt>
                <c:pt idx="89">
                  <c:v>42073</c:v>
                </c:pt>
                <c:pt idx="90">
                  <c:v>42074</c:v>
                </c:pt>
                <c:pt idx="91">
                  <c:v>42075</c:v>
                </c:pt>
                <c:pt idx="92">
                  <c:v>42076</c:v>
                </c:pt>
                <c:pt idx="93">
                  <c:v>42079</c:v>
                </c:pt>
                <c:pt idx="94">
                  <c:v>42080</c:v>
                </c:pt>
                <c:pt idx="95">
                  <c:v>42081</c:v>
                </c:pt>
                <c:pt idx="96">
                  <c:v>42082</c:v>
                </c:pt>
                <c:pt idx="97">
                  <c:v>42083</c:v>
                </c:pt>
                <c:pt idx="98">
                  <c:v>42086</c:v>
                </c:pt>
                <c:pt idx="99">
                  <c:v>42087</c:v>
                </c:pt>
                <c:pt idx="100">
                  <c:v>42088</c:v>
                </c:pt>
                <c:pt idx="101">
                  <c:v>42089</c:v>
                </c:pt>
                <c:pt idx="102">
                  <c:v>42090</c:v>
                </c:pt>
                <c:pt idx="103">
                  <c:v>42093</c:v>
                </c:pt>
                <c:pt idx="104">
                  <c:v>42094</c:v>
                </c:pt>
                <c:pt idx="105">
                  <c:v>42095</c:v>
                </c:pt>
                <c:pt idx="106">
                  <c:v>42096</c:v>
                </c:pt>
                <c:pt idx="107">
                  <c:v>42101</c:v>
                </c:pt>
                <c:pt idx="108">
                  <c:v>42102</c:v>
                </c:pt>
                <c:pt idx="109">
                  <c:v>42103</c:v>
                </c:pt>
                <c:pt idx="110">
                  <c:v>42104</c:v>
                </c:pt>
                <c:pt idx="111">
                  <c:v>42107</c:v>
                </c:pt>
                <c:pt idx="112">
                  <c:v>42108</c:v>
                </c:pt>
                <c:pt idx="113">
                  <c:v>42109</c:v>
                </c:pt>
                <c:pt idx="114">
                  <c:v>42110</c:v>
                </c:pt>
                <c:pt idx="115">
                  <c:v>42111</c:v>
                </c:pt>
                <c:pt idx="116">
                  <c:v>42114</c:v>
                </c:pt>
                <c:pt idx="117">
                  <c:v>42115</c:v>
                </c:pt>
                <c:pt idx="118">
                  <c:v>42116</c:v>
                </c:pt>
                <c:pt idx="119">
                  <c:v>42117</c:v>
                </c:pt>
                <c:pt idx="120">
                  <c:v>42118</c:v>
                </c:pt>
                <c:pt idx="121">
                  <c:v>42121</c:v>
                </c:pt>
                <c:pt idx="122">
                  <c:v>42122</c:v>
                </c:pt>
                <c:pt idx="123">
                  <c:v>42123</c:v>
                </c:pt>
                <c:pt idx="124">
                  <c:v>42124</c:v>
                </c:pt>
                <c:pt idx="125">
                  <c:v>42128</c:v>
                </c:pt>
                <c:pt idx="126">
                  <c:v>42129</c:v>
                </c:pt>
                <c:pt idx="127">
                  <c:v>42130</c:v>
                </c:pt>
                <c:pt idx="128">
                  <c:v>42131</c:v>
                </c:pt>
                <c:pt idx="129">
                  <c:v>42132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1.9595980036797968E-3</c:v>
                </c:pt>
                <c:pt idx="1">
                  <c:v>1.9659372983267137E-3</c:v>
                </c:pt>
                <c:pt idx="2">
                  <c:v>1.9680503965423526E-3</c:v>
                </c:pt>
                <c:pt idx="3">
                  <c:v>1.970163494757992E-3</c:v>
                </c:pt>
                <c:pt idx="4">
                  <c:v>1.9722765929736309E-3</c:v>
                </c:pt>
                <c:pt idx="5">
                  <c:v>1.9743896911892699E-3</c:v>
                </c:pt>
                <c:pt idx="6">
                  <c:v>1.9807289858361867E-3</c:v>
                </c:pt>
                <c:pt idx="7">
                  <c:v>1.9828420840518257E-3</c:v>
                </c:pt>
                <c:pt idx="8">
                  <c:v>1.9849551822674646E-3</c:v>
                </c:pt>
                <c:pt idx="9">
                  <c:v>1.987068280483104E-3</c:v>
                </c:pt>
                <c:pt idx="10">
                  <c:v>1.989181378698743E-3</c:v>
                </c:pt>
                <c:pt idx="11">
                  <c:v>1.9955206733456598E-3</c:v>
                </c:pt>
                <c:pt idx="12">
                  <c:v>1.9976337715612988E-3</c:v>
                </c:pt>
                <c:pt idx="13">
                  <c:v>1.9997468697769377E-3</c:v>
                </c:pt>
                <c:pt idx="14">
                  <c:v>2.0018599679925766E-3</c:v>
                </c:pt>
                <c:pt idx="15">
                  <c:v>2.0039730662082156E-3</c:v>
                </c:pt>
                <c:pt idx="16">
                  <c:v>2.0103123608551329E-3</c:v>
                </c:pt>
                <c:pt idx="17">
                  <c:v>2.0124254590707718E-3</c:v>
                </c:pt>
                <c:pt idx="18">
                  <c:v>2.0145385572864108E-3</c:v>
                </c:pt>
                <c:pt idx="19">
                  <c:v>2.0166516555020497E-3</c:v>
                </c:pt>
                <c:pt idx="20">
                  <c:v>2.0187647537176887E-3</c:v>
                </c:pt>
                <c:pt idx="21">
                  <c:v>2.0251040483646059E-3</c:v>
                </c:pt>
                <c:pt idx="22">
                  <c:v>2.0272171465802449E-3</c:v>
                </c:pt>
                <c:pt idx="23">
                  <c:v>2.0293302447958838E-3</c:v>
                </c:pt>
                <c:pt idx="24">
                  <c:v>2.0314433430115228E-3</c:v>
                </c:pt>
                <c:pt idx="25">
                  <c:v>2.0335564412271617E-3</c:v>
                </c:pt>
                <c:pt idx="26">
                  <c:v>2.0398957358740786E-3</c:v>
                </c:pt>
                <c:pt idx="27">
                  <c:v>2.042008834089718E-3</c:v>
                </c:pt>
                <c:pt idx="28">
                  <c:v>2.0441219323053569E-3</c:v>
                </c:pt>
                <c:pt idx="29">
                  <c:v>2.0462350305209959E-3</c:v>
                </c:pt>
                <c:pt idx="30">
                  <c:v>2.0483481287366348E-3</c:v>
                </c:pt>
                <c:pt idx="31">
                  <c:v>2.0546874233835517E-3</c:v>
                </c:pt>
                <c:pt idx="32">
                  <c:v>2.0568005215991906E-3</c:v>
                </c:pt>
                <c:pt idx="33">
                  <c:v>2.05891361981483E-3</c:v>
                </c:pt>
                <c:pt idx="34">
                  <c:v>2.0610267180304689E-3</c:v>
                </c:pt>
                <c:pt idx="35">
                  <c:v>2.0631398162461079E-3</c:v>
                </c:pt>
                <c:pt idx="36">
                  <c:v>2.0694791108930247E-3</c:v>
                </c:pt>
                <c:pt idx="37">
                  <c:v>2.0715922091086637E-3</c:v>
                </c:pt>
                <c:pt idx="38">
                  <c:v>2.0737053073243026E-3</c:v>
                </c:pt>
                <c:pt idx="39">
                  <c:v>2.0842707984024978E-3</c:v>
                </c:pt>
                <c:pt idx="40">
                  <c:v>2.0863838966181368E-3</c:v>
                </c:pt>
                <c:pt idx="41">
                  <c:v>2.0884969948337757E-3</c:v>
                </c:pt>
                <c:pt idx="42">
                  <c:v>2.0927231912650536E-3</c:v>
                </c:pt>
                <c:pt idx="43">
                  <c:v>2.0990624859119709E-3</c:v>
                </c:pt>
                <c:pt idx="44">
                  <c:v>2.1011755841276098E-3</c:v>
                </c:pt>
                <c:pt idx="45">
                  <c:v>2.1032886823432488E-3</c:v>
                </c:pt>
                <c:pt idx="46">
                  <c:v>2.1054017805588877E-3</c:v>
                </c:pt>
                <c:pt idx="47">
                  <c:v>2.1075148787745267E-3</c:v>
                </c:pt>
                <c:pt idx="48">
                  <c:v>2.113854173421444E-3</c:v>
                </c:pt>
                <c:pt idx="49">
                  <c:v>2.1159672716370829E-3</c:v>
                </c:pt>
                <c:pt idx="50">
                  <c:v>2.1180803698527218E-3</c:v>
                </c:pt>
                <c:pt idx="51">
                  <c:v>2.1201934680683608E-3</c:v>
                </c:pt>
                <c:pt idx="52">
                  <c:v>2.1223065662839997E-3</c:v>
                </c:pt>
                <c:pt idx="53">
                  <c:v>2.1286458609309166E-3</c:v>
                </c:pt>
                <c:pt idx="54">
                  <c:v>2.130758959146556E-3</c:v>
                </c:pt>
                <c:pt idx="55">
                  <c:v>2.1328720573621949E-3</c:v>
                </c:pt>
                <c:pt idx="56">
                  <c:v>2.1349851555778339E-3</c:v>
                </c:pt>
                <c:pt idx="57">
                  <c:v>2.1370982537934728E-3</c:v>
                </c:pt>
                <c:pt idx="58">
                  <c:v>2.1434375484403897E-3</c:v>
                </c:pt>
                <c:pt idx="59">
                  <c:v>2.1455506466560286E-3</c:v>
                </c:pt>
                <c:pt idx="60">
                  <c:v>2.147663744871668E-3</c:v>
                </c:pt>
                <c:pt idx="61">
                  <c:v>2.1497768430873069E-3</c:v>
                </c:pt>
                <c:pt idx="62">
                  <c:v>2.1518899413029459E-3</c:v>
                </c:pt>
                <c:pt idx="63">
                  <c:v>2.1582292359498627E-3</c:v>
                </c:pt>
                <c:pt idx="64">
                  <c:v>2.1603423341655017E-3</c:v>
                </c:pt>
                <c:pt idx="65">
                  <c:v>2.1624554323811406E-3</c:v>
                </c:pt>
                <c:pt idx="66">
                  <c:v>2.1645685305967796E-3</c:v>
                </c:pt>
                <c:pt idx="67">
                  <c:v>2.166681628812419E-3</c:v>
                </c:pt>
                <c:pt idx="68">
                  <c:v>2.1730209234593358E-3</c:v>
                </c:pt>
                <c:pt idx="69">
                  <c:v>2.1751340216749748E-3</c:v>
                </c:pt>
                <c:pt idx="70">
                  <c:v>2.1772471198906137E-3</c:v>
                </c:pt>
                <c:pt idx="71">
                  <c:v>2.1793602181062527E-3</c:v>
                </c:pt>
                <c:pt idx="72">
                  <c:v>2.1814733163218916E-3</c:v>
                </c:pt>
                <c:pt idx="73">
                  <c:v>2.1878126109688089E-3</c:v>
                </c:pt>
                <c:pt idx="74">
                  <c:v>2.1899257091844478E-3</c:v>
                </c:pt>
                <c:pt idx="75">
                  <c:v>2.1920388074000868E-3</c:v>
                </c:pt>
                <c:pt idx="76">
                  <c:v>2.1941519056157257E-3</c:v>
                </c:pt>
                <c:pt idx="77">
                  <c:v>2.1962650038313647E-3</c:v>
                </c:pt>
                <c:pt idx="78">
                  <c:v>2.2026042984782815E-3</c:v>
                </c:pt>
                <c:pt idx="79">
                  <c:v>2.2047173966939209E-3</c:v>
                </c:pt>
                <c:pt idx="80">
                  <c:v>2.2068304949095599E-3</c:v>
                </c:pt>
                <c:pt idx="81">
                  <c:v>2.2089435931251988E-3</c:v>
                </c:pt>
                <c:pt idx="82">
                  <c:v>2.2110566913408377E-3</c:v>
                </c:pt>
                <c:pt idx="83">
                  <c:v>2.2173959859877546E-3</c:v>
                </c:pt>
                <c:pt idx="84">
                  <c:v>2.219509084203394E-3</c:v>
                </c:pt>
                <c:pt idx="85">
                  <c:v>2.2216221824190329E-3</c:v>
                </c:pt>
                <c:pt idx="86">
                  <c:v>2.2237352806346719E-3</c:v>
                </c:pt>
                <c:pt idx="87">
                  <c:v>2.2258483788503108E-3</c:v>
                </c:pt>
                <c:pt idx="88">
                  <c:v>2.2321876734972277E-3</c:v>
                </c:pt>
                <c:pt idx="89">
                  <c:v>2.2343007717128666E-3</c:v>
                </c:pt>
                <c:pt idx="90">
                  <c:v>2.2364138699285056E-3</c:v>
                </c:pt>
                <c:pt idx="91">
                  <c:v>2.2385269681441449E-3</c:v>
                </c:pt>
                <c:pt idx="92">
                  <c:v>2.2406400663597839E-3</c:v>
                </c:pt>
                <c:pt idx="93">
                  <c:v>2.2469793610067007E-3</c:v>
                </c:pt>
                <c:pt idx="94">
                  <c:v>2.2490924592223397E-3</c:v>
                </c:pt>
                <c:pt idx="95">
                  <c:v>2.2512055574379786E-3</c:v>
                </c:pt>
                <c:pt idx="96">
                  <c:v>2.2533186556536176E-3</c:v>
                </c:pt>
                <c:pt idx="97">
                  <c:v>2.2554317538692565E-3</c:v>
                </c:pt>
                <c:pt idx="98">
                  <c:v>2.2617710485161738E-3</c:v>
                </c:pt>
                <c:pt idx="99">
                  <c:v>2.2638841467318128E-3</c:v>
                </c:pt>
                <c:pt idx="100">
                  <c:v>2.2659972449474517E-3</c:v>
                </c:pt>
                <c:pt idx="101">
                  <c:v>2.2681103431630907E-3</c:v>
                </c:pt>
                <c:pt idx="102">
                  <c:v>2.2702234413787296E-3</c:v>
                </c:pt>
                <c:pt idx="103">
                  <c:v>2.2765627360256469E-3</c:v>
                </c:pt>
                <c:pt idx="104">
                  <c:v>2.2786758342412858E-3</c:v>
                </c:pt>
                <c:pt idx="105">
                  <c:v>2.2807889324569248E-3</c:v>
                </c:pt>
                <c:pt idx="106">
                  <c:v>2.2829020306725637E-3</c:v>
                </c:pt>
                <c:pt idx="107">
                  <c:v>2.2934675217507589E-3</c:v>
                </c:pt>
                <c:pt idx="108">
                  <c:v>2.2955806199663979E-3</c:v>
                </c:pt>
                <c:pt idx="109">
                  <c:v>2.2976937181820368E-3</c:v>
                </c:pt>
                <c:pt idx="110">
                  <c:v>2.2998068163976758E-3</c:v>
                </c:pt>
                <c:pt idx="111">
                  <c:v>2.3061461110445926E-3</c:v>
                </c:pt>
                <c:pt idx="112">
                  <c:v>2.3082592092602315E-3</c:v>
                </c:pt>
                <c:pt idx="113">
                  <c:v>2.3103723074758709E-3</c:v>
                </c:pt>
                <c:pt idx="114">
                  <c:v>2.3124854056915099E-3</c:v>
                </c:pt>
                <c:pt idx="115">
                  <c:v>2.3145985039071488E-3</c:v>
                </c:pt>
                <c:pt idx="116">
                  <c:v>2.3209377985540657E-3</c:v>
                </c:pt>
                <c:pt idx="117">
                  <c:v>2.3230508967697046E-3</c:v>
                </c:pt>
                <c:pt idx="118">
                  <c:v>2.3251639949853436E-3</c:v>
                </c:pt>
                <c:pt idx="119">
                  <c:v>2.3272770932009825E-3</c:v>
                </c:pt>
                <c:pt idx="120">
                  <c:v>2.3293901914166219E-3</c:v>
                </c:pt>
                <c:pt idx="121">
                  <c:v>2.3357294860635387E-3</c:v>
                </c:pt>
                <c:pt idx="122">
                  <c:v>2.3378425842791777E-3</c:v>
                </c:pt>
                <c:pt idx="123">
                  <c:v>2.3399556824948166E-3</c:v>
                </c:pt>
                <c:pt idx="124">
                  <c:v>2.3420687807104556E-3</c:v>
                </c:pt>
                <c:pt idx="125">
                  <c:v>2.3505211735730118E-3</c:v>
                </c:pt>
                <c:pt idx="126">
                  <c:v>2.3526342717886508E-3</c:v>
                </c:pt>
                <c:pt idx="127">
                  <c:v>2.3547473700042897E-3</c:v>
                </c:pt>
                <c:pt idx="128">
                  <c:v>2.3568604682199287E-3</c:v>
                </c:pt>
                <c:pt idx="129">
                  <c:v>2.3589735664355676E-3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  <c:pt idx="63">
                  <c:v>42037</c:v>
                </c:pt>
                <c:pt idx="64">
                  <c:v>42038</c:v>
                </c:pt>
                <c:pt idx="65">
                  <c:v>42039</c:v>
                </c:pt>
                <c:pt idx="66">
                  <c:v>42040</c:v>
                </c:pt>
                <c:pt idx="67">
                  <c:v>42041</c:v>
                </c:pt>
                <c:pt idx="68">
                  <c:v>42044</c:v>
                </c:pt>
                <c:pt idx="69">
                  <c:v>42045</c:v>
                </c:pt>
                <c:pt idx="70">
                  <c:v>42046</c:v>
                </c:pt>
                <c:pt idx="71">
                  <c:v>42047</c:v>
                </c:pt>
                <c:pt idx="72">
                  <c:v>42048</c:v>
                </c:pt>
                <c:pt idx="73">
                  <c:v>42051</c:v>
                </c:pt>
                <c:pt idx="74">
                  <c:v>42052</c:v>
                </c:pt>
                <c:pt idx="75">
                  <c:v>42053</c:v>
                </c:pt>
                <c:pt idx="76">
                  <c:v>42054</c:v>
                </c:pt>
                <c:pt idx="77">
                  <c:v>42055</c:v>
                </c:pt>
                <c:pt idx="78">
                  <c:v>42058</c:v>
                </c:pt>
                <c:pt idx="79">
                  <c:v>42059</c:v>
                </c:pt>
                <c:pt idx="80">
                  <c:v>42060</c:v>
                </c:pt>
                <c:pt idx="81">
                  <c:v>42061</c:v>
                </c:pt>
                <c:pt idx="82">
                  <c:v>42062</c:v>
                </c:pt>
                <c:pt idx="83">
                  <c:v>42065</c:v>
                </c:pt>
                <c:pt idx="84">
                  <c:v>42066</c:v>
                </c:pt>
                <c:pt idx="85">
                  <c:v>42067</c:v>
                </c:pt>
                <c:pt idx="86">
                  <c:v>42068</c:v>
                </c:pt>
                <c:pt idx="87">
                  <c:v>42069</c:v>
                </c:pt>
                <c:pt idx="88">
                  <c:v>42072</c:v>
                </c:pt>
                <c:pt idx="89">
                  <c:v>42073</c:v>
                </c:pt>
                <c:pt idx="90">
                  <c:v>42074</c:v>
                </c:pt>
                <c:pt idx="91">
                  <c:v>42075</c:v>
                </c:pt>
                <c:pt idx="92">
                  <c:v>42076</c:v>
                </c:pt>
                <c:pt idx="93">
                  <c:v>42079</c:v>
                </c:pt>
                <c:pt idx="94">
                  <c:v>42080</c:v>
                </c:pt>
                <c:pt idx="95">
                  <c:v>42081</c:v>
                </c:pt>
                <c:pt idx="96">
                  <c:v>42082</c:v>
                </c:pt>
                <c:pt idx="97">
                  <c:v>42083</c:v>
                </c:pt>
                <c:pt idx="98">
                  <c:v>42086</c:v>
                </c:pt>
                <c:pt idx="99">
                  <c:v>42087</c:v>
                </c:pt>
                <c:pt idx="100">
                  <c:v>42088</c:v>
                </c:pt>
                <c:pt idx="101">
                  <c:v>42089</c:v>
                </c:pt>
                <c:pt idx="102">
                  <c:v>42090</c:v>
                </c:pt>
                <c:pt idx="103">
                  <c:v>42093</c:v>
                </c:pt>
                <c:pt idx="104">
                  <c:v>42094</c:v>
                </c:pt>
                <c:pt idx="105">
                  <c:v>42095</c:v>
                </c:pt>
                <c:pt idx="106">
                  <c:v>42096</c:v>
                </c:pt>
                <c:pt idx="107">
                  <c:v>42101</c:v>
                </c:pt>
                <c:pt idx="108">
                  <c:v>42102</c:v>
                </c:pt>
                <c:pt idx="109">
                  <c:v>42103</c:v>
                </c:pt>
                <c:pt idx="110">
                  <c:v>42104</c:v>
                </c:pt>
                <c:pt idx="111">
                  <c:v>42107</c:v>
                </c:pt>
                <c:pt idx="112">
                  <c:v>42108</c:v>
                </c:pt>
                <c:pt idx="113">
                  <c:v>42109</c:v>
                </c:pt>
                <c:pt idx="114">
                  <c:v>42110</c:v>
                </c:pt>
                <c:pt idx="115">
                  <c:v>42111</c:v>
                </c:pt>
                <c:pt idx="116">
                  <c:v>42114</c:v>
                </c:pt>
                <c:pt idx="117">
                  <c:v>42115</c:v>
                </c:pt>
                <c:pt idx="118">
                  <c:v>42116</c:v>
                </c:pt>
                <c:pt idx="119">
                  <c:v>42117</c:v>
                </c:pt>
                <c:pt idx="120">
                  <c:v>42118</c:v>
                </c:pt>
                <c:pt idx="121">
                  <c:v>42121</c:v>
                </c:pt>
                <c:pt idx="122">
                  <c:v>42122</c:v>
                </c:pt>
                <c:pt idx="123">
                  <c:v>42123</c:v>
                </c:pt>
                <c:pt idx="124">
                  <c:v>42124</c:v>
                </c:pt>
                <c:pt idx="125">
                  <c:v>42128</c:v>
                </c:pt>
                <c:pt idx="126">
                  <c:v>42129</c:v>
                </c:pt>
                <c:pt idx="127">
                  <c:v>42130</c:v>
                </c:pt>
                <c:pt idx="128">
                  <c:v>42131</c:v>
                </c:pt>
                <c:pt idx="129">
                  <c:v>42132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2.0838926793032789E-3</c:v>
                </c:pt>
                <c:pt idx="1">
                  <c:v>2.0807185350322577E-3</c:v>
                </c:pt>
                <c:pt idx="2">
                  <c:v>2.0797215993886898E-3</c:v>
                </c:pt>
                <c:pt idx="3">
                  <c:v>2.0787552199685081E-3</c:v>
                </c:pt>
                <c:pt idx="4">
                  <c:v>2.0778193967717121E-3</c:v>
                </c:pt>
                <c:pt idx="5">
                  <c:v>2.0769141297983023E-3</c:v>
                </c:pt>
                <c:pt idx="6">
                  <c:v>2.0743816662183905E-3</c:v>
                </c:pt>
                <c:pt idx="7">
                  <c:v>2.0735986241385254E-3</c:v>
                </c:pt>
                <c:pt idx="8">
                  <c:v>2.072846138282047E-3</c:v>
                </c:pt>
                <c:pt idx="9">
                  <c:v>2.0721242086489543E-3</c:v>
                </c:pt>
                <c:pt idx="10">
                  <c:v>2.0714328352392478E-3</c:v>
                </c:pt>
                <c:pt idx="11">
                  <c:v>2.0695420523504453E-3</c:v>
                </c:pt>
                <c:pt idx="12">
                  <c:v>2.0689729038342835E-3</c:v>
                </c:pt>
                <c:pt idx="13">
                  <c:v>2.0684343115415079E-3</c:v>
                </c:pt>
                <c:pt idx="14">
                  <c:v>2.0679262754721181E-3</c:v>
                </c:pt>
                <c:pt idx="15">
                  <c:v>2.0674487956261148E-3</c:v>
                </c:pt>
                <c:pt idx="16">
                  <c:v>2.0661996934284218E-3</c:v>
                </c:pt>
                <c:pt idx="17">
                  <c:v>2.0658444384759633E-3</c:v>
                </c:pt>
                <c:pt idx="18">
                  <c:v>2.0655197397468905E-3</c:v>
                </c:pt>
                <c:pt idx="19">
                  <c:v>2.0652255972412039E-3</c:v>
                </c:pt>
                <c:pt idx="20">
                  <c:v>2.064962010958904E-3</c:v>
                </c:pt>
                <c:pt idx="21">
                  <c:v>2.0643545894523203E-3</c:v>
                </c:pt>
                <c:pt idx="22">
                  <c:v>2.0642132280635646E-3</c:v>
                </c:pt>
                <c:pt idx="23">
                  <c:v>2.0641024228981947E-3</c:v>
                </c:pt>
                <c:pt idx="24">
                  <c:v>2.0640221739562114E-3</c:v>
                </c:pt>
                <c:pt idx="25">
                  <c:v>2.0639724812376147E-3</c:v>
                </c:pt>
                <c:pt idx="26">
                  <c:v>2.0640067404221404E-3</c:v>
                </c:pt>
                <c:pt idx="27">
                  <c:v>2.0640792725970876E-3</c:v>
                </c:pt>
                <c:pt idx="28">
                  <c:v>2.064182360995421E-3</c:v>
                </c:pt>
                <c:pt idx="29">
                  <c:v>2.0643160056171414E-3</c:v>
                </c:pt>
                <c:pt idx="30">
                  <c:v>2.0644802064622471E-3</c:v>
                </c:pt>
                <c:pt idx="31">
                  <c:v>2.0651561463378822E-3</c:v>
                </c:pt>
                <c:pt idx="32">
                  <c:v>2.0654425720765326E-3</c:v>
                </c:pt>
                <c:pt idx="33">
                  <c:v>2.0657595540385693E-3</c:v>
                </c:pt>
                <c:pt idx="34">
                  <c:v>2.0661070922239925E-3</c:v>
                </c:pt>
                <c:pt idx="35">
                  <c:v>2.0664851866328015E-3</c:v>
                </c:pt>
                <c:pt idx="36">
                  <c:v>2.0678028071995456E-3</c:v>
                </c:pt>
                <c:pt idx="37">
                  <c:v>2.0683031265018993E-3</c:v>
                </c:pt>
                <c:pt idx="38">
                  <c:v>2.0688340020276392E-3</c:v>
                </c:pt>
                <c:pt idx="39">
                  <c:v>2.071946723007131E-3</c:v>
                </c:pt>
                <c:pt idx="40">
                  <c:v>2.0726609358731876E-3</c:v>
                </c:pt>
                <c:pt idx="41">
                  <c:v>2.0734057049626308E-3</c:v>
                </c:pt>
                <c:pt idx="42">
                  <c:v>2.0749869118116752E-3</c:v>
                </c:pt>
                <c:pt idx="43">
                  <c:v>2.0775878937606381E-3</c:v>
                </c:pt>
                <c:pt idx="44">
                  <c:v>2.0785160001903983E-3</c:v>
                </c:pt>
                <c:pt idx="45">
                  <c:v>2.0794746628435444E-3</c:v>
                </c:pt>
                <c:pt idx="46">
                  <c:v>2.0804638817200766E-3</c:v>
                </c:pt>
                <c:pt idx="47">
                  <c:v>2.081483656819995E-3</c:v>
                </c:pt>
                <c:pt idx="48">
                  <c:v>2.0847263194600672E-3</c:v>
                </c:pt>
                <c:pt idx="49">
                  <c:v>2.0858683194535303E-3</c:v>
                </c:pt>
                <c:pt idx="50">
                  <c:v>2.0870408756703796E-3</c:v>
                </c:pt>
                <c:pt idx="51">
                  <c:v>2.0882439881106146E-3</c:v>
                </c:pt>
                <c:pt idx="52">
                  <c:v>2.0894776567742367E-3</c:v>
                </c:pt>
                <c:pt idx="53">
                  <c:v>2.0933620001054179E-3</c:v>
                </c:pt>
                <c:pt idx="54">
                  <c:v>2.0947178936625843E-3</c:v>
                </c:pt>
                <c:pt idx="55">
                  <c:v>2.0961043434431365E-3</c:v>
                </c:pt>
                <c:pt idx="56">
                  <c:v>2.0975213494470748E-3</c:v>
                </c:pt>
                <c:pt idx="57">
                  <c:v>2.0989689116743997E-3</c:v>
                </c:pt>
                <c:pt idx="58">
                  <c:v>2.1034949356966907E-3</c:v>
                </c:pt>
                <c:pt idx="59">
                  <c:v>2.10506472281756E-3</c:v>
                </c:pt>
                <c:pt idx="60">
                  <c:v>2.1066650661618149E-3</c:v>
                </c:pt>
                <c:pt idx="61">
                  <c:v>2.108295965729457E-3</c:v>
                </c:pt>
                <c:pt idx="62">
                  <c:v>2.1099574215204847E-3</c:v>
                </c:pt>
                <c:pt idx="63">
                  <c:v>2.1151251262338851E-3</c:v>
                </c:pt>
                <c:pt idx="64">
                  <c:v>2.1169088069184572E-3</c:v>
                </c:pt>
                <c:pt idx="65">
                  <c:v>2.1187230438264155E-3</c:v>
                </c:pt>
                <c:pt idx="66">
                  <c:v>2.1205678369577608E-3</c:v>
                </c:pt>
                <c:pt idx="67">
                  <c:v>2.1224431863124914E-3</c:v>
                </c:pt>
                <c:pt idx="68">
                  <c:v>2.1282525717170012E-3</c:v>
                </c:pt>
                <c:pt idx="69">
                  <c:v>2.1302501459652765E-3</c:v>
                </c:pt>
                <c:pt idx="70">
                  <c:v>2.1322782764369385E-3</c:v>
                </c:pt>
                <c:pt idx="71">
                  <c:v>2.1343369631319862E-3</c:v>
                </c:pt>
                <c:pt idx="72">
                  <c:v>2.1364262060504201E-3</c:v>
                </c:pt>
                <c:pt idx="73">
                  <c:v>2.1428772721460388E-3</c:v>
                </c:pt>
                <c:pt idx="74">
                  <c:v>2.1450887399580175E-3</c:v>
                </c:pt>
                <c:pt idx="75">
                  <c:v>2.1473307639933827E-3</c:v>
                </c:pt>
                <c:pt idx="76">
                  <c:v>2.1496033442521332E-3</c:v>
                </c:pt>
                <c:pt idx="77">
                  <c:v>2.1519064807342704E-3</c:v>
                </c:pt>
                <c:pt idx="78">
                  <c:v>2.1589992275209986E-3</c:v>
                </c:pt>
                <c:pt idx="79">
                  <c:v>2.1614245888966809E-3</c:v>
                </c:pt>
                <c:pt idx="80">
                  <c:v>2.1638805064957485E-3</c:v>
                </c:pt>
                <c:pt idx="81">
                  <c:v>2.1663669803182023E-3</c:v>
                </c:pt>
                <c:pt idx="82">
                  <c:v>2.1688840103640428E-3</c:v>
                </c:pt>
                <c:pt idx="83">
                  <c:v>2.1766184378418803E-3</c:v>
                </c:pt>
                <c:pt idx="84">
                  <c:v>2.1792576927812651E-3</c:v>
                </c:pt>
                <c:pt idx="85">
                  <c:v>2.181927503944036E-3</c:v>
                </c:pt>
                <c:pt idx="86">
                  <c:v>2.1846278713301935E-3</c:v>
                </c:pt>
                <c:pt idx="87">
                  <c:v>2.1873587949397368E-3</c:v>
                </c:pt>
                <c:pt idx="88">
                  <c:v>2.1957349031086837E-3</c:v>
                </c:pt>
                <c:pt idx="89">
                  <c:v>2.1985880516117717E-3</c:v>
                </c:pt>
                <c:pt idx="90">
                  <c:v>2.2014717563382455E-3</c:v>
                </c:pt>
                <c:pt idx="91">
                  <c:v>2.2043860172881059E-3</c:v>
                </c:pt>
                <c:pt idx="92">
                  <c:v>2.2073308344613524E-3</c:v>
                </c:pt>
                <c:pt idx="93">
                  <c:v>2.2163486233214087E-3</c:v>
                </c:pt>
                <c:pt idx="94">
                  <c:v>2.2194156653881996E-3</c:v>
                </c:pt>
                <c:pt idx="95">
                  <c:v>2.2225132636783771E-3</c:v>
                </c:pt>
                <c:pt idx="96">
                  <c:v>2.2256414181919403E-3</c:v>
                </c:pt>
                <c:pt idx="97">
                  <c:v>2.2288001289288901E-3</c:v>
                </c:pt>
                <c:pt idx="98">
                  <c:v>2.2384595984800558E-3</c:v>
                </c:pt>
                <c:pt idx="99">
                  <c:v>2.2417405341105499E-3</c:v>
                </c:pt>
                <c:pt idx="100">
                  <c:v>2.2450520259644302E-3</c:v>
                </c:pt>
                <c:pt idx="101">
                  <c:v>2.2483940740416967E-3</c:v>
                </c:pt>
                <c:pt idx="102">
                  <c:v>2.2517666783423494E-3</c:v>
                </c:pt>
                <c:pt idx="103">
                  <c:v>2.2620678285846241E-3</c:v>
                </c:pt>
                <c:pt idx="104">
                  <c:v>2.2655626577788215E-3</c:v>
                </c:pt>
                <c:pt idx="105">
                  <c:v>2.2690880431964051E-3</c:v>
                </c:pt>
                <c:pt idx="106">
                  <c:v>2.2726439848373748E-3</c:v>
                </c:pt>
                <c:pt idx="107">
                  <c:v>2.2908820363930151E-3</c:v>
                </c:pt>
                <c:pt idx="108">
                  <c:v>2.2946213153743019E-3</c:v>
                </c:pt>
                <c:pt idx="109">
                  <c:v>2.2983911505789745E-3</c:v>
                </c:pt>
                <c:pt idx="110">
                  <c:v>2.3021915420070333E-3</c:v>
                </c:pt>
                <c:pt idx="111">
                  <c:v>2.3137760536315272E-3</c:v>
                </c:pt>
                <c:pt idx="112">
                  <c:v>2.3176986699531307E-3</c:v>
                </c:pt>
                <c:pt idx="113">
                  <c:v>2.3216518424981204E-3</c:v>
                </c:pt>
                <c:pt idx="114">
                  <c:v>2.3256355712664963E-3</c:v>
                </c:pt>
                <c:pt idx="115">
                  <c:v>2.3296498562582584E-3</c:v>
                </c:pt>
                <c:pt idx="116">
                  <c:v>2.3418760485738612E-3</c:v>
                </c:pt>
                <c:pt idx="117">
                  <c:v>2.346012558459168E-3</c:v>
                </c:pt>
                <c:pt idx="118">
                  <c:v>2.3501796245678605E-3</c:v>
                </c:pt>
                <c:pt idx="119">
                  <c:v>2.3543772468999397E-3</c:v>
                </c:pt>
                <c:pt idx="120">
                  <c:v>2.3586054254554046E-3</c:v>
                </c:pt>
                <c:pt idx="121">
                  <c:v>2.3714732984621168E-3</c:v>
                </c:pt>
                <c:pt idx="122">
                  <c:v>2.3758237019111269E-3</c:v>
                </c:pt>
                <c:pt idx="123">
                  <c:v>2.3802046615835227E-3</c:v>
                </c:pt>
                <c:pt idx="124">
                  <c:v>2.3846161774793047E-3</c:v>
                </c:pt>
                <c:pt idx="125">
                  <c:v>2.4025678032962949E-3</c:v>
                </c:pt>
                <c:pt idx="126">
                  <c:v>2.4071321003090074E-3</c:v>
                </c:pt>
                <c:pt idx="127">
                  <c:v>2.4117269535451069E-3</c:v>
                </c:pt>
                <c:pt idx="128">
                  <c:v>2.4163523630045917E-3</c:v>
                </c:pt>
                <c:pt idx="129">
                  <c:v>2.4210083286874632E-3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127936"/>
        <c:axId val="575129472"/>
      </c:lineChart>
      <c:dateAx>
        <c:axId val="575127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5129472"/>
        <c:crosses val="autoZero"/>
        <c:auto val="1"/>
        <c:lblOffset val="100"/>
        <c:baseTimeUnit val="days"/>
      </c:dateAx>
      <c:valAx>
        <c:axId val="5751294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127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  <c:pt idx="5">
                  <c:v>42004</c:v>
                </c:pt>
                <c:pt idx="6">
                  <c:v>42034</c:v>
                </c:pt>
                <c:pt idx="7">
                  <c:v>42062</c:v>
                </c:pt>
                <c:pt idx="8">
                  <c:v>42094</c:v>
                </c:pt>
                <c:pt idx="9">
                  <c:v>42124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2.6292944914190364E-3</c:v>
                </c:pt>
                <c:pt idx="1">
                  <c:v>2.521369916504011E-3</c:v>
                </c:pt>
                <c:pt idx="2">
                  <c:v>2.3013699149677974E-3</c:v>
                </c:pt>
                <c:pt idx="3">
                  <c:v>2.2413699119199371E-3</c:v>
                </c:pt>
                <c:pt idx="4">
                  <c:v>2.2113699088715123E-3</c:v>
                </c:pt>
                <c:pt idx="5">
                  <c:v>2.1713699210691652E-3</c:v>
                </c:pt>
                <c:pt idx="6">
                  <c:v>2.1034486074720847E-3</c:v>
                </c:pt>
                <c:pt idx="7">
                  <c:v>2.1013699210688324E-3</c:v>
                </c:pt>
                <c:pt idx="8">
                  <c:v>2.1013699210694578E-3</c:v>
                </c:pt>
                <c:pt idx="9">
                  <c:v>2.0613699210689489E-3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  <c:pt idx="5">
                  <c:v>42004</c:v>
                </c:pt>
                <c:pt idx="6">
                  <c:v>42034</c:v>
                </c:pt>
                <c:pt idx="7">
                  <c:v>42062</c:v>
                </c:pt>
                <c:pt idx="8">
                  <c:v>42094</c:v>
                </c:pt>
                <c:pt idx="9">
                  <c:v>42124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2.4438049932571917E-3</c:v>
                </c:pt>
                <c:pt idx="1">
                  <c:v>2.340048721671646E-3</c:v>
                </c:pt>
                <c:pt idx="2">
                  <c:v>2.1273432509620219E-3</c:v>
                </c:pt>
                <c:pt idx="3">
                  <c:v>2.074637778740751E-3</c:v>
                </c:pt>
                <c:pt idx="4">
                  <c:v>2.051932306518916E-3</c:v>
                </c:pt>
                <c:pt idx="5">
                  <c:v>2.046320821184775E-3</c:v>
                </c:pt>
                <c:pt idx="6">
                  <c:v>2.0096617825587919E-3</c:v>
                </c:pt>
                <c:pt idx="7">
                  <c:v>2.0367612194618981E-3</c:v>
                </c:pt>
                <c:pt idx="8">
                  <c:v>2.0701076460983604E-3</c:v>
                </c:pt>
                <c:pt idx="9">
                  <c:v>2.0613699210689494E-3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  <c:pt idx="5">
                  <c:v>42004</c:v>
                </c:pt>
                <c:pt idx="6">
                  <c:v>42034</c:v>
                </c:pt>
                <c:pt idx="7">
                  <c:v>42062</c:v>
                </c:pt>
                <c:pt idx="8">
                  <c:v>42094</c:v>
                </c:pt>
                <c:pt idx="9">
                  <c:v>42124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2.5616828399391378E-3</c:v>
                </c:pt>
                <c:pt idx="1">
                  <c:v>2.4517816611606185E-3</c:v>
                </c:pt>
                <c:pt idx="2">
                  <c:v>2.2287093693072464E-3</c:v>
                </c:pt>
                <c:pt idx="3">
                  <c:v>2.166129324143627E-3</c:v>
                </c:pt>
                <c:pt idx="4">
                  <c:v>2.1340415271808417E-3</c:v>
                </c:pt>
                <c:pt idx="5">
                  <c:v>2.0908293642500457E-3</c:v>
                </c:pt>
                <c:pt idx="6">
                  <c:v>2.0294812496151216E-3</c:v>
                </c:pt>
                <c:pt idx="7">
                  <c:v>2.0416948048187799E-3</c:v>
                </c:pt>
                <c:pt idx="8">
                  <c:v>2.0676728416220559E-3</c:v>
                </c:pt>
                <c:pt idx="9">
                  <c:v>2.0613699210689524E-3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215680"/>
        <c:axId val="576225664"/>
      </c:lineChart>
      <c:dateAx>
        <c:axId val="57621568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76225664"/>
        <c:crosses val="autoZero"/>
        <c:auto val="1"/>
        <c:lblOffset val="100"/>
        <c:baseTimeUnit val="days"/>
      </c:dateAx>
      <c:valAx>
        <c:axId val="5762256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6215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  <c:pt idx="63">
                  <c:v>42037</c:v>
                </c:pt>
                <c:pt idx="64">
                  <c:v>42038</c:v>
                </c:pt>
                <c:pt idx="65">
                  <c:v>42039</c:v>
                </c:pt>
                <c:pt idx="66">
                  <c:v>42040</c:v>
                </c:pt>
                <c:pt idx="67">
                  <c:v>42041</c:v>
                </c:pt>
                <c:pt idx="68">
                  <c:v>42044</c:v>
                </c:pt>
                <c:pt idx="69">
                  <c:v>42045</c:v>
                </c:pt>
                <c:pt idx="70">
                  <c:v>42046</c:v>
                </c:pt>
                <c:pt idx="71">
                  <c:v>42047</c:v>
                </c:pt>
                <c:pt idx="72">
                  <c:v>42048</c:v>
                </c:pt>
                <c:pt idx="73">
                  <c:v>42051</c:v>
                </c:pt>
                <c:pt idx="74">
                  <c:v>42052</c:v>
                </c:pt>
                <c:pt idx="75">
                  <c:v>42053</c:v>
                </c:pt>
                <c:pt idx="76">
                  <c:v>42054</c:v>
                </c:pt>
                <c:pt idx="77">
                  <c:v>42055</c:v>
                </c:pt>
                <c:pt idx="78">
                  <c:v>42058</c:v>
                </c:pt>
                <c:pt idx="79">
                  <c:v>42059</c:v>
                </c:pt>
                <c:pt idx="80">
                  <c:v>42060</c:v>
                </c:pt>
                <c:pt idx="81">
                  <c:v>42061</c:v>
                </c:pt>
                <c:pt idx="82">
                  <c:v>42062</c:v>
                </c:pt>
                <c:pt idx="83">
                  <c:v>42065</c:v>
                </c:pt>
                <c:pt idx="84">
                  <c:v>42066</c:v>
                </c:pt>
                <c:pt idx="85">
                  <c:v>42067</c:v>
                </c:pt>
                <c:pt idx="86">
                  <c:v>42068</c:v>
                </c:pt>
                <c:pt idx="87">
                  <c:v>42069</c:v>
                </c:pt>
                <c:pt idx="88">
                  <c:v>42072</c:v>
                </c:pt>
                <c:pt idx="89">
                  <c:v>42073</c:v>
                </c:pt>
                <c:pt idx="90">
                  <c:v>42074</c:v>
                </c:pt>
                <c:pt idx="91">
                  <c:v>42075</c:v>
                </c:pt>
                <c:pt idx="92">
                  <c:v>42076</c:v>
                </c:pt>
                <c:pt idx="93">
                  <c:v>42079</c:v>
                </c:pt>
                <c:pt idx="94">
                  <c:v>42080</c:v>
                </c:pt>
                <c:pt idx="95">
                  <c:v>42081</c:v>
                </c:pt>
                <c:pt idx="96">
                  <c:v>42082</c:v>
                </c:pt>
                <c:pt idx="97">
                  <c:v>42083</c:v>
                </c:pt>
                <c:pt idx="98">
                  <c:v>42086</c:v>
                </c:pt>
                <c:pt idx="99">
                  <c:v>42087</c:v>
                </c:pt>
                <c:pt idx="100">
                  <c:v>42088</c:v>
                </c:pt>
                <c:pt idx="101">
                  <c:v>42089</c:v>
                </c:pt>
                <c:pt idx="102">
                  <c:v>42090</c:v>
                </c:pt>
                <c:pt idx="103">
                  <c:v>42093</c:v>
                </c:pt>
                <c:pt idx="104">
                  <c:v>42094</c:v>
                </c:pt>
                <c:pt idx="105">
                  <c:v>42095</c:v>
                </c:pt>
                <c:pt idx="106">
                  <c:v>42096</c:v>
                </c:pt>
                <c:pt idx="107">
                  <c:v>42101</c:v>
                </c:pt>
                <c:pt idx="108">
                  <c:v>42102</c:v>
                </c:pt>
                <c:pt idx="109">
                  <c:v>42103</c:v>
                </c:pt>
                <c:pt idx="110">
                  <c:v>42104</c:v>
                </c:pt>
                <c:pt idx="111">
                  <c:v>42107</c:v>
                </c:pt>
                <c:pt idx="112">
                  <c:v>42108</c:v>
                </c:pt>
                <c:pt idx="113">
                  <c:v>42109</c:v>
                </c:pt>
                <c:pt idx="114">
                  <c:v>42110</c:v>
                </c:pt>
                <c:pt idx="115">
                  <c:v>42111</c:v>
                </c:pt>
                <c:pt idx="116">
                  <c:v>42114</c:v>
                </c:pt>
                <c:pt idx="117">
                  <c:v>42115</c:v>
                </c:pt>
                <c:pt idx="118">
                  <c:v>42116</c:v>
                </c:pt>
                <c:pt idx="119">
                  <c:v>42117</c:v>
                </c:pt>
                <c:pt idx="120">
                  <c:v>42118</c:v>
                </c:pt>
                <c:pt idx="121">
                  <c:v>42121</c:v>
                </c:pt>
                <c:pt idx="122">
                  <c:v>42122</c:v>
                </c:pt>
                <c:pt idx="123">
                  <c:v>42123</c:v>
                </c:pt>
                <c:pt idx="124">
                  <c:v>42124</c:v>
                </c:pt>
                <c:pt idx="125">
                  <c:v>42128</c:v>
                </c:pt>
                <c:pt idx="126">
                  <c:v>42129</c:v>
                </c:pt>
                <c:pt idx="127">
                  <c:v>42130</c:v>
                </c:pt>
                <c:pt idx="128">
                  <c:v>42131</c:v>
                </c:pt>
                <c:pt idx="129">
                  <c:v>42132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42142</c:v>
                </c:pt>
                <c:pt idx="136">
                  <c:v>42143</c:v>
                </c:pt>
                <c:pt idx="137">
                  <c:v>42144</c:v>
                </c:pt>
                <c:pt idx="138">
                  <c:v>42145</c:v>
                </c:pt>
                <c:pt idx="139">
                  <c:v>42146</c:v>
                </c:pt>
                <c:pt idx="140">
                  <c:v>42149</c:v>
                </c:pt>
                <c:pt idx="141">
                  <c:v>42150</c:v>
                </c:pt>
                <c:pt idx="142">
                  <c:v>42151</c:v>
                </c:pt>
                <c:pt idx="143">
                  <c:v>42152</c:v>
                </c:pt>
                <c:pt idx="144">
                  <c:v>42153</c:v>
                </c:pt>
                <c:pt idx="145">
                  <c:v>42156</c:v>
                </c:pt>
                <c:pt idx="146">
                  <c:v>42157</c:v>
                </c:pt>
                <c:pt idx="147">
                  <c:v>42158</c:v>
                </c:pt>
                <c:pt idx="148">
                  <c:v>42159</c:v>
                </c:pt>
                <c:pt idx="149">
                  <c:v>42160</c:v>
                </c:pt>
                <c:pt idx="150">
                  <c:v>42163</c:v>
                </c:pt>
                <c:pt idx="151">
                  <c:v>42164</c:v>
                </c:pt>
                <c:pt idx="152">
                  <c:v>42165</c:v>
                </c:pt>
                <c:pt idx="153">
                  <c:v>42166</c:v>
                </c:pt>
                <c:pt idx="154">
                  <c:v>42167</c:v>
                </c:pt>
                <c:pt idx="155">
                  <c:v>42170</c:v>
                </c:pt>
                <c:pt idx="156">
                  <c:v>42171</c:v>
                </c:pt>
                <c:pt idx="157">
                  <c:v>42172</c:v>
                </c:pt>
                <c:pt idx="158">
                  <c:v>42173</c:v>
                </c:pt>
                <c:pt idx="159">
                  <c:v>42174</c:v>
                </c:pt>
                <c:pt idx="160">
                  <c:v>42177</c:v>
                </c:pt>
                <c:pt idx="161">
                  <c:v>42178</c:v>
                </c:pt>
                <c:pt idx="162">
                  <c:v>42179</c:v>
                </c:pt>
                <c:pt idx="163">
                  <c:v>42180</c:v>
                </c:pt>
                <c:pt idx="164">
                  <c:v>42181</c:v>
                </c:pt>
                <c:pt idx="165">
                  <c:v>42184</c:v>
                </c:pt>
                <c:pt idx="166">
                  <c:v>42185</c:v>
                </c:pt>
                <c:pt idx="167">
                  <c:v>42186</c:v>
                </c:pt>
                <c:pt idx="168">
                  <c:v>42187</c:v>
                </c:pt>
                <c:pt idx="169">
                  <c:v>42188</c:v>
                </c:pt>
                <c:pt idx="170">
                  <c:v>42191</c:v>
                </c:pt>
                <c:pt idx="171">
                  <c:v>42192</c:v>
                </c:pt>
                <c:pt idx="172">
                  <c:v>42193</c:v>
                </c:pt>
                <c:pt idx="173">
                  <c:v>42194</c:v>
                </c:pt>
                <c:pt idx="174">
                  <c:v>42195</c:v>
                </c:pt>
                <c:pt idx="175">
                  <c:v>42198</c:v>
                </c:pt>
                <c:pt idx="176">
                  <c:v>42199</c:v>
                </c:pt>
                <c:pt idx="177">
                  <c:v>42200</c:v>
                </c:pt>
                <c:pt idx="178">
                  <c:v>42201</c:v>
                </c:pt>
                <c:pt idx="179">
                  <c:v>42202</c:v>
                </c:pt>
                <c:pt idx="180">
                  <c:v>42205</c:v>
                </c:pt>
                <c:pt idx="181">
                  <c:v>42206</c:v>
                </c:pt>
                <c:pt idx="182">
                  <c:v>42207</c:v>
                </c:pt>
                <c:pt idx="183">
                  <c:v>42208</c:v>
                </c:pt>
                <c:pt idx="184">
                  <c:v>42209</c:v>
                </c:pt>
                <c:pt idx="185">
                  <c:v>42212</c:v>
                </c:pt>
                <c:pt idx="186">
                  <c:v>42213</c:v>
                </c:pt>
                <c:pt idx="187">
                  <c:v>42214</c:v>
                </c:pt>
                <c:pt idx="188">
                  <c:v>42215</c:v>
                </c:pt>
                <c:pt idx="189">
                  <c:v>42216</c:v>
                </c:pt>
                <c:pt idx="190">
                  <c:v>42219</c:v>
                </c:pt>
                <c:pt idx="191">
                  <c:v>42220</c:v>
                </c:pt>
                <c:pt idx="192">
                  <c:v>42221</c:v>
                </c:pt>
                <c:pt idx="193">
                  <c:v>42222</c:v>
                </c:pt>
                <c:pt idx="194">
                  <c:v>42223</c:v>
                </c:pt>
                <c:pt idx="195">
                  <c:v>42226</c:v>
                </c:pt>
                <c:pt idx="196">
                  <c:v>42227</c:v>
                </c:pt>
                <c:pt idx="197">
                  <c:v>42228</c:v>
                </c:pt>
                <c:pt idx="198">
                  <c:v>42229</c:v>
                </c:pt>
                <c:pt idx="199">
                  <c:v>42230</c:v>
                </c:pt>
                <c:pt idx="200">
                  <c:v>42233</c:v>
                </c:pt>
                <c:pt idx="201">
                  <c:v>42234</c:v>
                </c:pt>
                <c:pt idx="202">
                  <c:v>42235</c:v>
                </c:pt>
                <c:pt idx="203">
                  <c:v>42236</c:v>
                </c:pt>
                <c:pt idx="204">
                  <c:v>42237</c:v>
                </c:pt>
                <c:pt idx="205">
                  <c:v>42240</c:v>
                </c:pt>
                <c:pt idx="206">
                  <c:v>42241</c:v>
                </c:pt>
                <c:pt idx="207">
                  <c:v>42242</c:v>
                </c:pt>
                <c:pt idx="208">
                  <c:v>42243</c:v>
                </c:pt>
                <c:pt idx="209">
                  <c:v>42244</c:v>
                </c:pt>
                <c:pt idx="210">
                  <c:v>42247</c:v>
                </c:pt>
                <c:pt idx="211">
                  <c:v>42248</c:v>
                </c:pt>
                <c:pt idx="212">
                  <c:v>42249</c:v>
                </c:pt>
                <c:pt idx="213">
                  <c:v>42250</c:v>
                </c:pt>
                <c:pt idx="214">
                  <c:v>42251</c:v>
                </c:pt>
                <c:pt idx="215">
                  <c:v>42254</c:v>
                </c:pt>
                <c:pt idx="216">
                  <c:v>42255</c:v>
                </c:pt>
                <c:pt idx="217">
                  <c:v>42256</c:v>
                </c:pt>
                <c:pt idx="218">
                  <c:v>42257</c:v>
                </c:pt>
                <c:pt idx="219">
                  <c:v>42258</c:v>
                </c:pt>
                <c:pt idx="220">
                  <c:v>42261</c:v>
                </c:pt>
                <c:pt idx="221">
                  <c:v>42262</c:v>
                </c:pt>
                <c:pt idx="222">
                  <c:v>42263</c:v>
                </c:pt>
                <c:pt idx="223">
                  <c:v>42264</c:v>
                </c:pt>
                <c:pt idx="224">
                  <c:v>42265</c:v>
                </c:pt>
                <c:pt idx="225">
                  <c:v>42268</c:v>
                </c:pt>
                <c:pt idx="226">
                  <c:v>42269</c:v>
                </c:pt>
                <c:pt idx="227">
                  <c:v>42270</c:v>
                </c:pt>
                <c:pt idx="228">
                  <c:v>42271</c:v>
                </c:pt>
                <c:pt idx="229">
                  <c:v>42272</c:v>
                </c:pt>
                <c:pt idx="230">
                  <c:v>42275</c:v>
                </c:pt>
                <c:pt idx="231">
                  <c:v>42276</c:v>
                </c:pt>
                <c:pt idx="232">
                  <c:v>42277</c:v>
                </c:pt>
                <c:pt idx="233">
                  <c:v>42278</c:v>
                </c:pt>
                <c:pt idx="234">
                  <c:v>42279</c:v>
                </c:pt>
                <c:pt idx="235">
                  <c:v>42282</c:v>
                </c:pt>
                <c:pt idx="236">
                  <c:v>42283</c:v>
                </c:pt>
                <c:pt idx="237">
                  <c:v>42284</c:v>
                </c:pt>
                <c:pt idx="238">
                  <c:v>42285</c:v>
                </c:pt>
                <c:pt idx="239">
                  <c:v>42286</c:v>
                </c:pt>
                <c:pt idx="240">
                  <c:v>42289</c:v>
                </c:pt>
                <c:pt idx="241">
                  <c:v>42290</c:v>
                </c:pt>
                <c:pt idx="242">
                  <c:v>42291</c:v>
                </c:pt>
                <c:pt idx="243">
                  <c:v>42292</c:v>
                </c:pt>
                <c:pt idx="244">
                  <c:v>42293</c:v>
                </c:pt>
                <c:pt idx="245">
                  <c:v>42296</c:v>
                </c:pt>
                <c:pt idx="246">
                  <c:v>42297</c:v>
                </c:pt>
                <c:pt idx="247">
                  <c:v>42298</c:v>
                </c:pt>
                <c:pt idx="248">
                  <c:v>42299</c:v>
                </c:pt>
                <c:pt idx="249">
                  <c:v>42300</c:v>
                </c:pt>
                <c:pt idx="250">
                  <c:v>42303</c:v>
                </c:pt>
                <c:pt idx="251">
                  <c:v>42304</c:v>
                </c:pt>
                <c:pt idx="252">
                  <c:v>42305</c:v>
                </c:pt>
                <c:pt idx="253">
                  <c:v>42306</c:v>
                </c:pt>
                <c:pt idx="254">
                  <c:v>42307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3.7281964345528941E-3</c:v>
                </c:pt>
                <c:pt idx="1">
                  <c:v>3.7281964345528941E-3</c:v>
                </c:pt>
                <c:pt idx="2">
                  <c:v>3.7281964345528941E-3</c:v>
                </c:pt>
                <c:pt idx="3">
                  <c:v>3.7281964345528941E-3</c:v>
                </c:pt>
                <c:pt idx="4">
                  <c:v>3.7281964345528941E-3</c:v>
                </c:pt>
                <c:pt idx="5">
                  <c:v>3.7281964345528941E-3</c:v>
                </c:pt>
                <c:pt idx="6">
                  <c:v>3.7281964345528941E-3</c:v>
                </c:pt>
                <c:pt idx="7">
                  <c:v>3.7281964345528941E-3</c:v>
                </c:pt>
                <c:pt idx="8">
                  <c:v>3.7281964345528941E-3</c:v>
                </c:pt>
                <c:pt idx="9">
                  <c:v>3.7281964345528941E-3</c:v>
                </c:pt>
                <c:pt idx="10">
                  <c:v>3.7281964345528941E-3</c:v>
                </c:pt>
                <c:pt idx="11">
                  <c:v>3.7281964345528941E-3</c:v>
                </c:pt>
                <c:pt idx="12">
                  <c:v>3.7281964345528941E-3</c:v>
                </c:pt>
                <c:pt idx="13">
                  <c:v>3.7281964345528941E-3</c:v>
                </c:pt>
                <c:pt idx="14">
                  <c:v>3.7281964345528941E-3</c:v>
                </c:pt>
                <c:pt idx="15">
                  <c:v>3.7281964345528941E-3</c:v>
                </c:pt>
                <c:pt idx="16">
                  <c:v>3.7281964345528941E-3</c:v>
                </c:pt>
                <c:pt idx="17">
                  <c:v>3.7281964345528941E-3</c:v>
                </c:pt>
                <c:pt idx="18">
                  <c:v>3.7281964345528941E-3</c:v>
                </c:pt>
                <c:pt idx="19">
                  <c:v>3.7281964345528941E-3</c:v>
                </c:pt>
                <c:pt idx="20">
                  <c:v>3.7281964345528941E-3</c:v>
                </c:pt>
                <c:pt idx="21">
                  <c:v>3.7281964345528941E-3</c:v>
                </c:pt>
                <c:pt idx="22">
                  <c:v>3.7281964345528941E-3</c:v>
                </c:pt>
                <c:pt idx="23">
                  <c:v>3.7281964345528941E-3</c:v>
                </c:pt>
                <c:pt idx="24">
                  <c:v>3.7281964345528941E-3</c:v>
                </c:pt>
                <c:pt idx="25">
                  <c:v>3.7281964345528941E-3</c:v>
                </c:pt>
                <c:pt idx="26">
                  <c:v>3.7281964345528941E-3</c:v>
                </c:pt>
                <c:pt idx="27">
                  <c:v>3.7281964345528941E-3</c:v>
                </c:pt>
                <c:pt idx="28">
                  <c:v>3.7281964345528941E-3</c:v>
                </c:pt>
                <c:pt idx="29">
                  <c:v>3.7281964345528941E-3</c:v>
                </c:pt>
                <c:pt idx="30">
                  <c:v>3.7281964345528941E-3</c:v>
                </c:pt>
                <c:pt idx="31">
                  <c:v>3.7281964345528941E-3</c:v>
                </c:pt>
                <c:pt idx="32">
                  <c:v>3.7281964345528941E-3</c:v>
                </c:pt>
                <c:pt idx="33">
                  <c:v>3.7281964345528941E-3</c:v>
                </c:pt>
                <c:pt idx="34">
                  <c:v>3.7281964345528941E-3</c:v>
                </c:pt>
                <c:pt idx="35">
                  <c:v>3.7281964345528941E-3</c:v>
                </c:pt>
                <c:pt idx="36">
                  <c:v>3.7281964345528941E-3</c:v>
                </c:pt>
                <c:pt idx="37">
                  <c:v>3.7281964345528941E-3</c:v>
                </c:pt>
                <c:pt idx="38">
                  <c:v>3.7281964345528941E-3</c:v>
                </c:pt>
                <c:pt idx="39">
                  <c:v>3.7281964345528941E-3</c:v>
                </c:pt>
                <c:pt idx="40">
                  <c:v>3.7281964345528941E-3</c:v>
                </c:pt>
                <c:pt idx="41">
                  <c:v>3.7281964345528941E-3</c:v>
                </c:pt>
                <c:pt idx="42">
                  <c:v>3.7281964345528941E-3</c:v>
                </c:pt>
                <c:pt idx="43">
                  <c:v>3.7281964345528941E-3</c:v>
                </c:pt>
                <c:pt idx="44">
                  <c:v>3.7281964345528941E-3</c:v>
                </c:pt>
                <c:pt idx="45">
                  <c:v>3.7281964345528941E-3</c:v>
                </c:pt>
                <c:pt idx="46">
                  <c:v>3.7281964345528941E-3</c:v>
                </c:pt>
                <c:pt idx="47">
                  <c:v>3.7281964345528941E-3</c:v>
                </c:pt>
                <c:pt idx="48">
                  <c:v>3.7281964345528941E-3</c:v>
                </c:pt>
                <c:pt idx="49">
                  <c:v>3.7281964345528941E-3</c:v>
                </c:pt>
                <c:pt idx="50">
                  <c:v>3.7281964345528941E-3</c:v>
                </c:pt>
                <c:pt idx="51">
                  <c:v>3.7281964345528941E-3</c:v>
                </c:pt>
                <c:pt idx="52">
                  <c:v>3.7281964345528941E-3</c:v>
                </c:pt>
                <c:pt idx="53">
                  <c:v>3.7281964345528941E-3</c:v>
                </c:pt>
                <c:pt idx="54">
                  <c:v>3.7281964345528941E-3</c:v>
                </c:pt>
                <c:pt idx="55">
                  <c:v>3.7281964345528941E-3</c:v>
                </c:pt>
                <c:pt idx="56">
                  <c:v>3.7281964345528941E-3</c:v>
                </c:pt>
                <c:pt idx="57">
                  <c:v>3.7281964345528941E-3</c:v>
                </c:pt>
                <c:pt idx="58">
                  <c:v>3.7281964345528941E-3</c:v>
                </c:pt>
                <c:pt idx="59">
                  <c:v>3.7281964345528941E-3</c:v>
                </c:pt>
                <c:pt idx="60">
                  <c:v>3.7281964345528941E-3</c:v>
                </c:pt>
                <c:pt idx="61">
                  <c:v>3.7281964345528941E-3</c:v>
                </c:pt>
                <c:pt idx="62">
                  <c:v>3.7281964345528941E-3</c:v>
                </c:pt>
                <c:pt idx="63">
                  <c:v>3.7281964345528941E-3</c:v>
                </c:pt>
                <c:pt idx="64">
                  <c:v>3.7281964345528941E-3</c:v>
                </c:pt>
                <c:pt idx="65">
                  <c:v>3.7281964345528941E-3</c:v>
                </c:pt>
                <c:pt idx="66">
                  <c:v>3.7281964345528941E-3</c:v>
                </c:pt>
                <c:pt idx="67">
                  <c:v>3.7281964345528941E-3</c:v>
                </c:pt>
                <c:pt idx="68">
                  <c:v>3.7281964345528941E-3</c:v>
                </c:pt>
                <c:pt idx="69">
                  <c:v>3.7281964345528941E-3</c:v>
                </c:pt>
                <c:pt idx="70">
                  <c:v>3.7281964345528941E-3</c:v>
                </c:pt>
                <c:pt idx="71">
                  <c:v>3.7281964345528941E-3</c:v>
                </c:pt>
                <c:pt idx="72">
                  <c:v>3.7281964345528941E-3</c:v>
                </c:pt>
                <c:pt idx="73">
                  <c:v>3.7281964345528941E-3</c:v>
                </c:pt>
                <c:pt idx="74">
                  <c:v>3.7281964345528941E-3</c:v>
                </c:pt>
                <c:pt idx="75">
                  <c:v>3.7281964345528941E-3</c:v>
                </c:pt>
                <c:pt idx="76">
                  <c:v>3.7281964345528941E-3</c:v>
                </c:pt>
                <c:pt idx="77">
                  <c:v>3.7281964345528941E-3</c:v>
                </c:pt>
                <c:pt idx="78">
                  <c:v>3.7281964345528941E-3</c:v>
                </c:pt>
                <c:pt idx="79">
                  <c:v>3.7281964345528941E-3</c:v>
                </c:pt>
                <c:pt idx="80">
                  <c:v>3.7281964345528941E-3</c:v>
                </c:pt>
                <c:pt idx="81">
                  <c:v>3.7281964345528941E-3</c:v>
                </c:pt>
                <c:pt idx="82">
                  <c:v>3.7281964345528941E-3</c:v>
                </c:pt>
                <c:pt idx="83">
                  <c:v>3.7281964345528941E-3</c:v>
                </c:pt>
                <c:pt idx="84">
                  <c:v>3.7281964345528941E-3</c:v>
                </c:pt>
                <c:pt idx="85">
                  <c:v>3.7281964345528941E-3</c:v>
                </c:pt>
                <c:pt idx="86">
                  <c:v>3.7281964345528941E-3</c:v>
                </c:pt>
                <c:pt idx="87">
                  <c:v>3.7281964345528941E-3</c:v>
                </c:pt>
                <c:pt idx="88">
                  <c:v>3.7281964345528941E-3</c:v>
                </c:pt>
                <c:pt idx="89">
                  <c:v>3.7281964345528941E-3</c:v>
                </c:pt>
                <c:pt idx="90">
                  <c:v>3.7281964345528941E-3</c:v>
                </c:pt>
                <c:pt idx="91">
                  <c:v>3.7281964345528941E-3</c:v>
                </c:pt>
                <c:pt idx="92">
                  <c:v>3.7281964345528941E-3</c:v>
                </c:pt>
                <c:pt idx="93">
                  <c:v>3.7281964345528941E-3</c:v>
                </c:pt>
                <c:pt idx="94">
                  <c:v>3.7281964345528941E-3</c:v>
                </c:pt>
                <c:pt idx="95">
                  <c:v>3.7281964345528941E-3</c:v>
                </c:pt>
                <c:pt idx="96">
                  <c:v>3.7281964345528941E-3</c:v>
                </c:pt>
                <c:pt idx="97">
                  <c:v>3.7281964345528941E-3</c:v>
                </c:pt>
                <c:pt idx="98">
                  <c:v>3.7281964345528941E-3</c:v>
                </c:pt>
                <c:pt idx="99">
                  <c:v>3.7281964345528941E-3</c:v>
                </c:pt>
                <c:pt idx="100">
                  <c:v>3.7281964345528941E-3</c:v>
                </c:pt>
                <c:pt idx="101">
                  <c:v>3.7281964345528941E-3</c:v>
                </c:pt>
                <c:pt idx="102">
                  <c:v>3.7281964345528941E-3</c:v>
                </c:pt>
                <c:pt idx="103">
                  <c:v>3.7281964345528941E-3</c:v>
                </c:pt>
                <c:pt idx="104">
                  <c:v>3.7281964345528941E-3</c:v>
                </c:pt>
                <c:pt idx="105">
                  <c:v>3.7281964345528941E-3</c:v>
                </c:pt>
                <c:pt idx="106">
                  <c:v>3.7281964345528941E-3</c:v>
                </c:pt>
                <c:pt idx="107">
                  <c:v>3.7281964345528941E-3</c:v>
                </c:pt>
                <c:pt idx="108">
                  <c:v>3.7281964345528941E-3</c:v>
                </c:pt>
                <c:pt idx="109">
                  <c:v>3.7281964345528941E-3</c:v>
                </c:pt>
                <c:pt idx="110">
                  <c:v>3.7281964345528941E-3</c:v>
                </c:pt>
                <c:pt idx="111">
                  <c:v>3.7281964345528941E-3</c:v>
                </c:pt>
                <c:pt idx="112">
                  <c:v>3.7281964345528941E-3</c:v>
                </c:pt>
                <c:pt idx="113">
                  <c:v>3.7281964345528941E-3</c:v>
                </c:pt>
                <c:pt idx="114">
                  <c:v>3.7281964345528941E-3</c:v>
                </c:pt>
                <c:pt idx="115">
                  <c:v>3.7281964345528941E-3</c:v>
                </c:pt>
                <c:pt idx="116">
                  <c:v>3.7281964345528941E-3</c:v>
                </c:pt>
                <c:pt idx="117">
                  <c:v>3.7281964345528941E-3</c:v>
                </c:pt>
                <c:pt idx="118">
                  <c:v>3.7281964345528941E-3</c:v>
                </c:pt>
                <c:pt idx="119">
                  <c:v>3.7281964345528941E-3</c:v>
                </c:pt>
                <c:pt idx="120">
                  <c:v>3.7281964345528941E-3</c:v>
                </c:pt>
                <c:pt idx="121">
                  <c:v>3.7281964345528941E-3</c:v>
                </c:pt>
                <c:pt idx="122">
                  <c:v>3.7281964345528941E-3</c:v>
                </c:pt>
                <c:pt idx="123">
                  <c:v>3.7281964345528941E-3</c:v>
                </c:pt>
                <c:pt idx="124">
                  <c:v>3.7281964345528941E-3</c:v>
                </c:pt>
                <c:pt idx="125">
                  <c:v>3.7281964345528941E-3</c:v>
                </c:pt>
                <c:pt idx="126">
                  <c:v>3.7281964345528941E-3</c:v>
                </c:pt>
                <c:pt idx="127">
                  <c:v>3.7281964345528941E-3</c:v>
                </c:pt>
                <c:pt idx="128">
                  <c:v>3.7281964345528941E-3</c:v>
                </c:pt>
                <c:pt idx="129">
                  <c:v>3.7281964345528941E-3</c:v>
                </c:pt>
                <c:pt idx="130">
                  <c:v>3.7281964345528941E-3</c:v>
                </c:pt>
                <c:pt idx="131">
                  <c:v>3.7281964345528941E-3</c:v>
                </c:pt>
                <c:pt idx="132">
                  <c:v>3.7281964345528941E-3</c:v>
                </c:pt>
                <c:pt idx="133">
                  <c:v>3.7281964345528941E-3</c:v>
                </c:pt>
                <c:pt idx="134">
                  <c:v>3.7281964345528941E-3</c:v>
                </c:pt>
                <c:pt idx="135">
                  <c:v>3.7281964345528941E-3</c:v>
                </c:pt>
                <c:pt idx="136">
                  <c:v>3.7281964345528941E-3</c:v>
                </c:pt>
                <c:pt idx="137">
                  <c:v>3.7281964345528941E-3</c:v>
                </c:pt>
                <c:pt idx="138">
                  <c:v>3.7281964345528941E-3</c:v>
                </c:pt>
                <c:pt idx="139">
                  <c:v>3.7281964345528941E-3</c:v>
                </c:pt>
                <c:pt idx="140">
                  <c:v>3.7281964345528941E-3</c:v>
                </c:pt>
                <c:pt idx="141">
                  <c:v>3.7281964345528941E-3</c:v>
                </c:pt>
                <c:pt idx="142">
                  <c:v>3.7281964345528941E-3</c:v>
                </c:pt>
                <c:pt idx="143">
                  <c:v>3.7281964345528941E-3</c:v>
                </c:pt>
                <c:pt idx="144">
                  <c:v>3.7281964345528941E-3</c:v>
                </c:pt>
                <c:pt idx="145">
                  <c:v>3.7281964345528941E-3</c:v>
                </c:pt>
                <c:pt idx="146">
                  <c:v>3.7281964345528941E-3</c:v>
                </c:pt>
                <c:pt idx="147">
                  <c:v>3.7281964345528941E-3</c:v>
                </c:pt>
                <c:pt idx="148">
                  <c:v>3.7281964345528941E-3</c:v>
                </c:pt>
                <c:pt idx="149">
                  <c:v>3.7281964345528941E-3</c:v>
                </c:pt>
                <c:pt idx="150">
                  <c:v>3.7281964345528941E-3</c:v>
                </c:pt>
                <c:pt idx="151">
                  <c:v>3.7281964345528941E-3</c:v>
                </c:pt>
                <c:pt idx="152">
                  <c:v>3.7281964345528941E-3</c:v>
                </c:pt>
                <c:pt idx="153">
                  <c:v>3.7281964345528941E-3</c:v>
                </c:pt>
                <c:pt idx="154">
                  <c:v>3.7281964345528941E-3</c:v>
                </c:pt>
                <c:pt idx="155">
                  <c:v>3.7281964345528941E-3</c:v>
                </c:pt>
                <c:pt idx="156">
                  <c:v>3.7281964345528941E-3</c:v>
                </c:pt>
                <c:pt idx="157">
                  <c:v>3.7281964345528941E-3</c:v>
                </c:pt>
                <c:pt idx="158">
                  <c:v>3.7281964345528941E-3</c:v>
                </c:pt>
                <c:pt idx="159">
                  <c:v>3.7281964345528941E-3</c:v>
                </c:pt>
                <c:pt idx="160">
                  <c:v>3.7281964345528941E-3</c:v>
                </c:pt>
                <c:pt idx="161">
                  <c:v>3.7281964345528941E-3</c:v>
                </c:pt>
                <c:pt idx="162">
                  <c:v>3.7281964345528941E-3</c:v>
                </c:pt>
                <c:pt idx="163">
                  <c:v>3.7281964345528941E-3</c:v>
                </c:pt>
                <c:pt idx="164">
                  <c:v>3.7281964345528941E-3</c:v>
                </c:pt>
                <c:pt idx="165">
                  <c:v>3.7281964345528941E-3</c:v>
                </c:pt>
                <c:pt idx="166">
                  <c:v>3.7281964345528941E-3</c:v>
                </c:pt>
                <c:pt idx="167">
                  <c:v>3.7281964345528941E-3</c:v>
                </c:pt>
                <c:pt idx="168">
                  <c:v>3.7281964345528941E-3</c:v>
                </c:pt>
                <c:pt idx="169">
                  <c:v>3.7281964345528941E-3</c:v>
                </c:pt>
                <c:pt idx="170">
                  <c:v>3.7281964345528941E-3</c:v>
                </c:pt>
                <c:pt idx="171">
                  <c:v>3.7281964345528941E-3</c:v>
                </c:pt>
                <c:pt idx="172">
                  <c:v>3.7281964345528941E-3</c:v>
                </c:pt>
                <c:pt idx="173">
                  <c:v>3.7281964345528941E-3</c:v>
                </c:pt>
                <c:pt idx="174">
                  <c:v>3.7281964345528941E-3</c:v>
                </c:pt>
                <c:pt idx="175">
                  <c:v>3.7281964345528941E-3</c:v>
                </c:pt>
                <c:pt idx="176">
                  <c:v>3.7281964345528941E-3</c:v>
                </c:pt>
                <c:pt idx="177">
                  <c:v>3.7281964345528941E-3</c:v>
                </c:pt>
                <c:pt idx="178">
                  <c:v>3.7281964345528941E-3</c:v>
                </c:pt>
                <c:pt idx="179">
                  <c:v>3.7281964345528941E-3</c:v>
                </c:pt>
                <c:pt idx="180">
                  <c:v>3.7281964345528941E-3</c:v>
                </c:pt>
                <c:pt idx="181">
                  <c:v>3.7281964345528941E-3</c:v>
                </c:pt>
                <c:pt idx="182">
                  <c:v>3.7281964345528941E-3</c:v>
                </c:pt>
                <c:pt idx="183">
                  <c:v>3.7281964345528941E-3</c:v>
                </c:pt>
                <c:pt idx="184">
                  <c:v>3.7281964345528941E-3</c:v>
                </c:pt>
                <c:pt idx="185">
                  <c:v>3.7281964345528941E-3</c:v>
                </c:pt>
                <c:pt idx="186">
                  <c:v>3.7281964345528941E-3</c:v>
                </c:pt>
                <c:pt idx="187">
                  <c:v>3.7281964345528941E-3</c:v>
                </c:pt>
                <c:pt idx="188">
                  <c:v>3.7281964345528941E-3</c:v>
                </c:pt>
                <c:pt idx="189">
                  <c:v>3.7281964345528941E-3</c:v>
                </c:pt>
                <c:pt idx="190">
                  <c:v>3.7281964345528941E-3</c:v>
                </c:pt>
                <c:pt idx="191">
                  <c:v>3.7281964345528941E-3</c:v>
                </c:pt>
                <c:pt idx="192">
                  <c:v>3.7281964345528941E-3</c:v>
                </c:pt>
                <c:pt idx="193">
                  <c:v>3.7281964345528941E-3</c:v>
                </c:pt>
                <c:pt idx="194">
                  <c:v>3.7281964345528941E-3</c:v>
                </c:pt>
                <c:pt idx="195">
                  <c:v>3.7281964345528941E-3</c:v>
                </c:pt>
                <c:pt idx="196">
                  <c:v>3.7281964345528941E-3</c:v>
                </c:pt>
                <c:pt idx="197">
                  <c:v>3.7281964345528941E-3</c:v>
                </c:pt>
                <c:pt idx="198">
                  <c:v>3.7281964345528941E-3</c:v>
                </c:pt>
                <c:pt idx="199">
                  <c:v>3.7281964345528941E-3</c:v>
                </c:pt>
                <c:pt idx="200">
                  <c:v>3.7281964345528941E-3</c:v>
                </c:pt>
                <c:pt idx="201">
                  <c:v>3.7281964345528941E-3</c:v>
                </c:pt>
                <c:pt idx="202">
                  <c:v>3.7281964345528941E-3</c:v>
                </c:pt>
                <c:pt idx="203">
                  <c:v>3.7281964345528941E-3</c:v>
                </c:pt>
                <c:pt idx="204">
                  <c:v>3.7281964345528941E-3</c:v>
                </c:pt>
                <c:pt idx="205">
                  <c:v>3.7281964345528941E-3</c:v>
                </c:pt>
                <c:pt idx="206">
                  <c:v>3.7281964345528941E-3</c:v>
                </c:pt>
                <c:pt idx="207">
                  <c:v>3.7281964345528941E-3</c:v>
                </c:pt>
                <c:pt idx="208">
                  <c:v>3.7281964345528941E-3</c:v>
                </c:pt>
                <c:pt idx="209">
                  <c:v>3.7281964345528941E-3</c:v>
                </c:pt>
                <c:pt idx="210">
                  <c:v>3.7281964345528941E-3</c:v>
                </c:pt>
                <c:pt idx="211">
                  <c:v>3.7281964345528941E-3</c:v>
                </c:pt>
                <c:pt idx="212">
                  <c:v>3.7281964345528941E-3</c:v>
                </c:pt>
                <c:pt idx="213">
                  <c:v>3.7281964345528941E-3</c:v>
                </c:pt>
                <c:pt idx="214">
                  <c:v>3.7281964345528941E-3</c:v>
                </c:pt>
                <c:pt idx="215">
                  <c:v>3.7281964345528941E-3</c:v>
                </c:pt>
                <c:pt idx="216">
                  <c:v>3.7281964345528941E-3</c:v>
                </c:pt>
                <c:pt idx="217">
                  <c:v>3.7281964345528941E-3</c:v>
                </c:pt>
                <c:pt idx="218">
                  <c:v>3.7281964345528941E-3</c:v>
                </c:pt>
                <c:pt idx="219">
                  <c:v>3.7281964345528941E-3</c:v>
                </c:pt>
                <c:pt idx="220">
                  <c:v>3.7281964345528941E-3</c:v>
                </c:pt>
                <c:pt idx="221">
                  <c:v>3.7281964345528941E-3</c:v>
                </c:pt>
                <c:pt idx="222">
                  <c:v>3.7281964345528941E-3</c:v>
                </c:pt>
                <c:pt idx="223">
                  <c:v>3.7281964345528941E-3</c:v>
                </c:pt>
                <c:pt idx="224">
                  <c:v>3.7281964345528941E-3</c:v>
                </c:pt>
                <c:pt idx="225">
                  <c:v>3.7281964345528941E-3</c:v>
                </c:pt>
                <c:pt idx="226">
                  <c:v>3.7281964345528941E-3</c:v>
                </c:pt>
                <c:pt idx="227">
                  <c:v>3.7281964345528941E-3</c:v>
                </c:pt>
                <c:pt idx="228">
                  <c:v>3.7281964345528941E-3</c:v>
                </c:pt>
                <c:pt idx="229">
                  <c:v>3.7281964345528941E-3</c:v>
                </c:pt>
                <c:pt idx="230">
                  <c:v>3.7281964345528941E-3</c:v>
                </c:pt>
                <c:pt idx="231">
                  <c:v>3.7281964345528941E-3</c:v>
                </c:pt>
                <c:pt idx="232">
                  <c:v>3.7281964345528941E-3</c:v>
                </c:pt>
                <c:pt idx="233">
                  <c:v>3.7281964345528941E-3</c:v>
                </c:pt>
                <c:pt idx="234">
                  <c:v>3.7281964345528941E-3</c:v>
                </c:pt>
                <c:pt idx="235">
                  <c:v>3.7281964345528941E-3</c:v>
                </c:pt>
                <c:pt idx="236">
                  <c:v>3.7281964345528941E-3</c:v>
                </c:pt>
                <c:pt idx="237">
                  <c:v>3.7281964345528941E-3</c:v>
                </c:pt>
                <c:pt idx="238">
                  <c:v>3.7281964345528941E-3</c:v>
                </c:pt>
                <c:pt idx="239">
                  <c:v>3.7281964345528941E-3</c:v>
                </c:pt>
                <c:pt idx="240">
                  <c:v>3.7281964345528941E-3</c:v>
                </c:pt>
                <c:pt idx="241">
                  <c:v>3.7281964345528941E-3</c:v>
                </c:pt>
                <c:pt idx="242">
                  <c:v>3.7281964345528941E-3</c:v>
                </c:pt>
                <c:pt idx="243">
                  <c:v>3.7281964345528941E-3</c:v>
                </c:pt>
                <c:pt idx="244">
                  <c:v>3.7281964345528941E-3</c:v>
                </c:pt>
                <c:pt idx="245">
                  <c:v>3.7281964345528941E-3</c:v>
                </c:pt>
                <c:pt idx="246">
                  <c:v>3.7281964345528941E-3</c:v>
                </c:pt>
                <c:pt idx="247">
                  <c:v>3.7281964345528941E-3</c:v>
                </c:pt>
                <c:pt idx="248">
                  <c:v>3.7281964345528941E-3</c:v>
                </c:pt>
                <c:pt idx="249">
                  <c:v>3.7281964345528941E-3</c:v>
                </c:pt>
                <c:pt idx="250">
                  <c:v>3.7281964345528941E-3</c:v>
                </c:pt>
                <c:pt idx="251">
                  <c:v>3.7281964345528941E-3</c:v>
                </c:pt>
                <c:pt idx="252">
                  <c:v>3.7281964345528941E-3</c:v>
                </c:pt>
                <c:pt idx="253">
                  <c:v>3.7281964345528941E-3</c:v>
                </c:pt>
                <c:pt idx="254">
                  <c:v>3.7281964345528941E-3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  <c:pt idx="63">
                  <c:v>42037</c:v>
                </c:pt>
                <c:pt idx="64">
                  <c:v>42038</c:v>
                </c:pt>
                <c:pt idx="65">
                  <c:v>42039</c:v>
                </c:pt>
                <c:pt idx="66">
                  <c:v>42040</c:v>
                </c:pt>
                <c:pt idx="67">
                  <c:v>42041</c:v>
                </c:pt>
                <c:pt idx="68">
                  <c:v>42044</c:v>
                </c:pt>
                <c:pt idx="69">
                  <c:v>42045</c:v>
                </c:pt>
                <c:pt idx="70">
                  <c:v>42046</c:v>
                </c:pt>
                <c:pt idx="71">
                  <c:v>42047</c:v>
                </c:pt>
                <c:pt idx="72">
                  <c:v>42048</c:v>
                </c:pt>
                <c:pt idx="73">
                  <c:v>42051</c:v>
                </c:pt>
                <c:pt idx="74">
                  <c:v>42052</c:v>
                </c:pt>
                <c:pt idx="75">
                  <c:v>42053</c:v>
                </c:pt>
                <c:pt idx="76">
                  <c:v>42054</c:v>
                </c:pt>
                <c:pt idx="77">
                  <c:v>42055</c:v>
                </c:pt>
                <c:pt idx="78">
                  <c:v>42058</c:v>
                </c:pt>
                <c:pt idx="79">
                  <c:v>42059</c:v>
                </c:pt>
                <c:pt idx="80">
                  <c:v>42060</c:v>
                </c:pt>
                <c:pt idx="81">
                  <c:v>42061</c:v>
                </c:pt>
                <c:pt idx="82">
                  <c:v>42062</c:v>
                </c:pt>
                <c:pt idx="83">
                  <c:v>42065</c:v>
                </c:pt>
                <c:pt idx="84">
                  <c:v>42066</c:v>
                </c:pt>
                <c:pt idx="85">
                  <c:v>42067</c:v>
                </c:pt>
                <c:pt idx="86">
                  <c:v>42068</c:v>
                </c:pt>
                <c:pt idx="87">
                  <c:v>42069</c:v>
                </c:pt>
                <c:pt idx="88">
                  <c:v>42072</c:v>
                </c:pt>
                <c:pt idx="89">
                  <c:v>42073</c:v>
                </c:pt>
                <c:pt idx="90">
                  <c:v>42074</c:v>
                </c:pt>
                <c:pt idx="91">
                  <c:v>42075</c:v>
                </c:pt>
                <c:pt idx="92">
                  <c:v>42076</c:v>
                </c:pt>
                <c:pt idx="93">
                  <c:v>42079</c:v>
                </c:pt>
                <c:pt idx="94">
                  <c:v>42080</c:v>
                </c:pt>
                <c:pt idx="95">
                  <c:v>42081</c:v>
                </c:pt>
                <c:pt idx="96">
                  <c:v>42082</c:v>
                </c:pt>
                <c:pt idx="97">
                  <c:v>42083</c:v>
                </c:pt>
                <c:pt idx="98">
                  <c:v>42086</c:v>
                </c:pt>
                <c:pt idx="99">
                  <c:v>42087</c:v>
                </c:pt>
                <c:pt idx="100">
                  <c:v>42088</c:v>
                </c:pt>
                <c:pt idx="101">
                  <c:v>42089</c:v>
                </c:pt>
                <c:pt idx="102">
                  <c:v>42090</c:v>
                </c:pt>
                <c:pt idx="103">
                  <c:v>42093</c:v>
                </c:pt>
                <c:pt idx="104">
                  <c:v>42094</c:v>
                </c:pt>
                <c:pt idx="105">
                  <c:v>42095</c:v>
                </c:pt>
                <c:pt idx="106">
                  <c:v>42096</c:v>
                </c:pt>
                <c:pt idx="107">
                  <c:v>42101</c:v>
                </c:pt>
                <c:pt idx="108">
                  <c:v>42102</c:v>
                </c:pt>
                <c:pt idx="109">
                  <c:v>42103</c:v>
                </c:pt>
                <c:pt idx="110">
                  <c:v>42104</c:v>
                </c:pt>
                <c:pt idx="111">
                  <c:v>42107</c:v>
                </c:pt>
                <c:pt idx="112">
                  <c:v>42108</c:v>
                </c:pt>
                <c:pt idx="113">
                  <c:v>42109</c:v>
                </c:pt>
                <c:pt idx="114">
                  <c:v>42110</c:v>
                </c:pt>
                <c:pt idx="115">
                  <c:v>42111</c:v>
                </c:pt>
                <c:pt idx="116">
                  <c:v>42114</c:v>
                </c:pt>
                <c:pt idx="117">
                  <c:v>42115</c:v>
                </c:pt>
                <c:pt idx="118">
                  <c:v>42116</c:v>
                </c:pt>
                <c:pt idx="119">
                  <c:v>42117</c:v>
                </c:pt>
                <c:pt idx="120">
                  <c:v>42118</c:v>
                </c:pt>
                <c:pt idx="121">
                  <c:v>42121</c:v>
                </c:pt>
                <c:pt idx="122">
                  <c:v>42122</c:v>
                </c:pt>
                <c:pt idx="123">
                  <c:v>42123</c:v>
                </c:pt>
                <c:pt idx="124">
                  <c:v>42124</c:v>
                </c:pt>
                <c:pt idx="125">
                  <c:v>42128</c:v>
                </c:pt>
                <c:pt idx="126">
                  <c:v>42129</c:v>
                </c:pt>
                <c:pt idx="127">
                  <c:v>42130</c:v>
                </c:pt>
                <c:pt idx="128">
                  <c:v>42131</c:v>
                </c:pt>
                <c:pt idx="129">
                  <c:v>42132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42142</c:v>
                </c:pt>
                <c:pt idx="136">
                  <c:v>42143</c:v>
                </c:pt>
                <c:pt idx="137">
                  <c:v>42144</c:v>
                </c:pt>
                <c:pt idx="138">
                  <c:v>42145</c:v>
                </c:pt>
                <c:pt idx="139">
                  <c:v>42146</c:v>
                </c:pt>
                <c:pt idx="140">
                  <c:v>42149</c:v>
                </c:pt>
                <c:pt idx="141">
                  <c:v>42150</c:v>
                </c:pt>
                <c:pt idx="142">
                  <c:v>42151</c:v>
                </c:pt>
                <c:pt idx="143">
                  <c:v>42152</c:v>
                </c:pt>
                <c:pt idx="144">
                  <c:v>42153</c:v>
                </c:pt>
                <c:pt idx="145">
                  <c:v>42156</c:v>
                </c:pt>
                <c:pt idx="146">
                  <c:v>42157</c:v>
                </c:pt>
                <c:pt idx="147">
                  <c:v>42158</c:v>
                </c:pt>
                <c:pt idx="148">
                  <c:v>42159</c:v>
                </c:pt>
                <c:pt idx="149">
                  <c:v>42160</c:v>
                </c:pt>
                <c:pt idx="150">
                  <c:v>42163</c:v>
                </c:pt>
                <c:pt idx="151">
                  <c:v>42164</c:v>
                </c:pt>
                <c:pt idx="152">
                  <c:v>42165</c:v>
                </c:pt>
                <c:pt idx="153">
                  <c:v>42166</c:v>
                </c:pt>
                <c:pt idx="154">
                  <c:v>42167</c:v>
                </c:pt>
                <c:pt idx="155">
                  <c:v>42170</c:v>
                </c:pt>
                <c:pt idx="156">
                  <c:v>42171</c:v>
                </c:pt>
                <c:pt idx="157">
                  <c:v>42172</c:v>
                </c:pt>
                <c:pt idx="158">
                  <c:v>42173</c:v>
                </c:pt>
                <c:pt idx="159">
                  <c:v>42174</c:v>
                </c:pt>
                <c:pt idx="160">
                  <c:v>42177</c:v>
                </c:pt>
                <c:pt idx="161">
                  <c:v>42178</c:v>
                </c:pt>
                <c:pt idx="162">
                  <c:v>42179</c:v>
                </c:pt>
                <c:pt idx="163">
                  <c:v>42180</c:v>
                </c:pt>
                <c:pt idx="164">
                  <c:v>42181</c:v>
                </c:pt>
                <c:pt idx="165">
                  <c:v>42184</c:v>
                </c:pt>
                <c:pt idx="166">
                  <c:v>42185</c:v>
                </c:pt>
                <c:pt idx="167">
                  <c:v>42186</c:v>
                </c:pt>
                <c:pt idx="168">
                  <c:v>42187</c:v>
                </c:pt>
                <c:pt idx="169">
                  <c:v>42188</c:v>
                </c:pt>
                <c:pt idx="170">
                  <c:v>42191</c:v>
                </c:pt>
                <c:pt idx="171">
                  <c:v>42192</c:v>
                </c:pt>
                <c:pt idx="172">
                  <c:v>42193</c:v>
                </c:pt>
                <c:pt idx="173">
                  <c:v>42194</c:v>
                </c:pt>
                <c:pt idx="174">
                  <c:v>42195</c:v>
                </c:pt>
                <c:pt idx="175">
                  <c:v>42198</c:v>
                </c:pt>
                <c:pt idx="176">
                  <c:v>42199</c:v>
                </c:pt>
                <c:pt idx="177">
                  <c:v>42200</c:v>
                </c:pt>
                <c:pt idx="178">
                  <c:v>42201</c:v>
                </c:pt>
                <c:pt idx="179">
                  <c:v>42202</c:v>
                </c:pt>
                <c:pt idx="180">
                  <c:v>42205</c:v>
                </c:pt>
                <c:pt idx="181">
                  <c:v>42206</c:v>
                </c:pt>
                <c:pt idx="182">
                  <c:v>42207</c:v>
                </c:pt>
                <c:pt idx="183">
                  <c:v>42208</c:v>
                </c:pt>
                <c:pt idx="184">
                  <c:v>42209</c:v>
                </c:pt>
                <c:pt idx="185">
                  <c:v>42212</c:v>
                </c:pt>
                <c:pt idx="186">
                  <c:v>42213</c:v>
                </c:pt>
                <c:pt idx="187">
                  <c:v>42214</c:v>
                </c:pt>
                <c:pt idx="188">
                  <c:v>42215</c:v>
                </c:pt>
                <c:pt idx="189">
                  <c:v>42216</c:v>
                </c:pt>
                <c:pt idx="190">
                  <c:v>42219</c:v>
                </c:pt>
                <c:pt idx="191">
                  <c:v>42220</c:v>
                </c:pt>
                <c:pt idx="192">
                  <c:v>42221</c:v>
                </c:pt>
                <c:pt idx="193">
                  <c:v>42222</c:v>
                </c:pt>
                <c:pt idx="194">
                  <c:v>42223</c:v>
                </c:pt>
                <c:pt idx="195">
                  <c:v>42226</c:v>
                </c:pt>
                <c:pt idx="196">
                  <c:v>42227</c:v>
                </c:pt>
                <c:pt idx="197">
                  <c:v>42228</c:v>
                </c:pt>
                <c:pt idx="198">
                  <c:v>42229</c:v>
                </c:pt>
                <c:pt idx="199">
                  <c:v>42230</c:v>
                </c:pt>
                <c:pt idx="200">
                  <c:v>42233</c:v>
                </c:pt>
                <c:pt idx="201">
                  <c:v>42234</c:v>
                </c:pt>
                <c:pt idx="202">
                  <c:v>42235</c:v>
                </c:pt>
                <c:pt idx="203">
                  <c:v>42236</c:v>
                </c:pt>
                <c:pt idx="204">
                  <c:v>42237</c:v>
                </c:pt>
                <c:pt idx="205">
                  <c:v>42240</c:v>
                </c:pt>
                <c:pt idx="206">
                  <c:v>42241</c:v>
                </c:pt>
                <c:pt idx="207">
                  <c:v>42242</c:v>
                </c:pt>
                <c:pt idx="208">
                  <c:v>42243</c:v>
                </c:pt>
                <c:pt idx="209">
                  <c:v>42244</c:v>
                </c:pt>
                <c:pt idx="210">
                  <c:v>42247</c:v>
                </c:pt>
                <c:pt idx="211">
                  <c:v>42248</c:v>
                </c:pt>
                <c:pt idx="212">
                  <c:v>42249</c:v>
                </c:pt>
                <c:pt idx="213">
                  <c:v>42250</c:v>
                </c:pt>
                <c:pt idx="214">
                  <c:v>42251</c:v>
                </c:pt>
                <c:pt idx="215">
                  <c:v>42254</c:v>
                </c:pt>
                <c:pt idx="216">
                  <c:v>42255</c:v>
                </c:pt>
                <c:pt idx="217">
                  <c:v>42256</c:v>
                </c:pt>
                <c:pt idx="218">
                  <c:v>42257</c:v>
                </c:pt>
                <c:pt idx="219">
                  <c:v>42258</c:v>
                </c:pt>
                <c:pt idx="220">
                  <c:v>42261</c:v>
                </c:pt>
                <c:pt idx="221">
                  <c:v>42262</c:v>
                </c:pt>
                <c:pt idx="222">
                  <c:v>42263</c:v>
                </c:pt>
                <c:pt idx="223">
                  <c:v>42264</c:v>
                </c:pt>
                <c:pt idx="224">
                  <c:v>42265</c:v>
                </c:pt>
                <c:pt idx="225">
                  <c:v>42268</c:v>
                </c:pt>
                <c:pt idx="226">
                  <c:v>42269</c:v>
                </c:pt>
                <c:pt idx="227">
                  <c:v>42270</c:v>
                </c:pt>
                <c:pt idx="228">
                  <c:v>42271</c:v>
                </c:pt>
                <c:pt idx="229">
                  <c:v>42272</c:v>
                </c:pt>
                <c:pt idx="230">
                  <c:v>42275</c:v>
                </c:pt>
                <c:pt idx="231">
                  <c:v>42276</c:v>
                </c:pt>
                <c:pt idx="232">
                  <c:v>42277</c:v>
                </c:pt>
                <c:pt idx="233">
                  <c:v>42278</c:v>
                </c:pt>
                <c:pt idx="234">
                  <c:v>42279</c:v>
                </c:pt>
                <c:pt idx="235">
                  <c:v>42282</c:v>
                </c:pt>
                <c:pt idx="236">
                  <c:v>42283</c:v>
                </c:pt>
                <c:pt idx="237">
                  <c:v>42284</c:v>
                </c:pt>
                <c:pt idx="238">
                  <c:v>42285</c:v>
                </c:pt>
                <c:pt idx="239">
                  <c:v>42286</c:v>
                </c:pt>
                <c:pt idx="240">
                  <c:v>42289</c:v>
                </c:pt>
                <c:pt idx="241">
                  <c:v>42290</c:v>
                </c:pt>
                <c:pt idx="242">
                  <c:v>42291</c:v>
                </c:pt>
                <c:pt idx="243">
                  <c:v>42292</c:v>
                </c:pt>
                <c:pt idx="244">
                  <c:v>42293</c:v>
                </c:pt>
                <c:pt idx="245">
                  <c:v>42296</c:v>
                </c:pt>
                <c:pt idx="246">
                  <c:v>42297</c:v>
                </c:pt>
                <c:pt idx="247">
                  <c:v>42298</c:v>
                </c:pt>
                <c:pt idx="248">
                  <c:v>42299</c:v>
                </c:pt>
                <c:pt idx="249">
                  <c:v>42300</c:v>
                </c:pt>
                <c:pt idx="250">
                  <c:v>42303</c:v>
                </c:pt>
                <c:pt idx="251">
                  <c:v>42304</c:v>
                </c:pt>
                <c:pt idx="252">
                  <c:v>42305</c:v>
                </c:pt>
                <c:pt idx="253">
                  <c:v>42306</c:v>
                </c:pt>
                <c:pt idx="254">
                  <c:v>42307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3.4474196486735508E-3</c:v>
                </c:pt>
                <c:pt idx="1">
                  <c:v>3.4520478374517817E-3</c:v>
                </c:pt>
                <c:pt idx="2">
                  <c:v>3.4535905670445254E-3</c:v>
                </c:pt>
                <c:pt idx="3">
                  <c:v>3.455133296637269E-3</c:v>
                </c:pt>
                <c:pt idx="4">
                  <c:v>3.4566760262300126E-3</c:v>
                </c:pt>
                <c:pt idx="5">
                  <c:v>3.4582187558227563E-3</c:v>
                </c:pt>
                <c:pt idx="6">
                  <c:v>3.4628469446009872E-3</c:v>
                </c:pt>
                <c:pt idx="7">
                  <c:v>3.4643896741937308E-3</c:v>
                </c:pt>
                <c:pt idx="8">
                  <c:v>3.4659324037864744E-3</c:v>
                </c:pt>
                <c:pt idx="9">
                  <c:v>3.4674751333792181E-3</c:v>
                </c:pt>
                <c:pt idx="10">
                  <c:v>3.4690178629719617E-3</c:v>
                </c:pt>
                <c:pt idx="11">
                  <c:v>3.4736460517501926E-3</c:v>
                </c:pt>
                <c:pt idx="12">
                  <c:v>3.4751887813429362E-3</c:v>
                </c:pt>
                <c:pt idx="13">
                  <c:v>3.4767315109356799E-3</c:v>
                </c:pt>
                <c:pt idx="14">
                  <c:v>3.4782742405284235E-3</c:v>
                </c:pt>
                <c:pt idx="15">
                  <c:v>3.4798169701211672E-3</c:v>
                </c:pt>
                <c:pt idx="16">
                  <c:v>3.4844451588993981E-3</c:v>
                </c:pt>
                <c:pt idx="17">
                  <c:v>3.4859878884921417E-3</c:v>
                </c:pt>
                <c:pt idx="18">
                  <c:v>3.4875306180848853E-3</c:v>
                </c:pt>
                <c:pt idx="19">
                  <c:v>3.489073347677629E-3</c:v>
                </c:pt>
                <c:pt idx="20">
                  <c:v>3.4906160772703726E-3</c:v>
                </c:pt>
                <c:pt idx="21">
                  <c:v>3.4952442660486035E-3</c:v>
                </c:pt>
                <c:pt idx="22">
                  <c:v>3.4967869956413471E-3</c:v>
                </c:pt>
                <c:pt idx="23">
                  <c:v>3.4983297252340908E-3</c:v>
                </c:pt>
                <c:pt idx="24">
                  <c:v>3.4998724548268344E-3</c:v>
                </c:pt>
                <c:pt idx="25">
                  <c:v>3.501415184419578E-3</c:v>
                </c:pt>
                <c:pt idx="26">
                  <c:v>3.5060433731978089E-3</c:v>
                </c:pt>
                <c:pt idx="27">
                  <c:v>3.5075861027905526E-3</c:v>
                </c:pt>
                <c:pt idx="28">
                  <c:v>3.5091288323832962E-3</c:v>
                </c:pt>
                <c:pt idx="29">
                  <c:v>3.5106715619760399E-3</c:v>
                </c:pt>
                <c:pt idx="30">
                  <c:v>3.5122142915687835E-3</c:v>
                </c:pt>
                <c:pt idx="31">
                  <c:v>3.5168424803470144E-3</c:v>
                </c:pt>
                <c:pt idx="32">
                  <c:v>3.518385209939758E-3</c:v>
                </c:pt>
                <c:pt idx="33">
                  <c:v>3.5199279395325017E-3</c:v>
                </c:pt>
                <c:pt idx="34">
                  <c:v>3.5214706691252453E-3</c:v>
                </c:pt>
                <c:pt idx="35">
                  <c:v>3.5230133987179889E-3</c:v>
                </c:pt>
                <c:pt idx="36">
                  <c:v>3.5276415874962198E-3</c:v>
                </c:pt>
                <c:pt idx="37">
                  <c:v>3.5291843170889635E-3</c:v>
                </c:pt>
                <c:pt idx="38">
                  <c:v>3.5307270466817071E-3</c:v>
                </c:pt>
                <c:pt idx="39">
                  <c:v>3.5384406946454257E-3</c:v>
                </c:pt>
                <c:pt idx="40">
                  <c:v>3.5399834242381689E-3</c:v>
                </c:pt>
                <c:pt idx="41">
                  <c:v>3.541526153830913E-3</c:v>
                </c:pt>
                <c:pt idx="42">
                  <c:v>3.5446116130164003E-3</c:v>
                </c:pt>
                <c:pt idx="43">
                  <c:v>3.5492398017946312E-3</c:v>
                </c:pt>
                <c:pt idx="44">
                  <c:v>3.5507825313873748E-3</c:v>
                </c:pt>
                <c:pt idx="45">
                  <c:v>3.5523252609801184E-3</c:v>
                </c:pt>
                <c:pt idx="46">
                  <c:v>3.5538679905728621E-3</c:v>
                </c:pt>
                <c:pt idx="47">
                  <c:v>3.5554107201656057E-3</c:v>
                </c:pt>
                <c:pt idx="48">
                  <c:v>3.5600389089438366E-3</c:v>
                </c:pt>
                <c:pt idx="49">
                  <c:v>3.5615816385365802E-3</c:v>
                </c:pt>
                <c:pt idx="50">
                  <c:v>3.5631243681293239E-3</c:v>
                </c:pt>
                <c:pt idx="51">
                  <c:v>3.5646670977220675E-3</c:v>
                </c:pt>
                <c:pt idx="52">
                  <c:v>3.5662098273148111E-3</c:v>
                </c:pt>
                <c:pt idx="53">
                  <c:v>3.5708380160930421E-3</c:v>
                </c:pt>
                <c:pt idx="54">
                  <c:v>3.5723807456857857E-3</c:v>
                </c:pt>
                <c:pt idx="55">
                  <c:v>3.5739234752785293E-3</c:v>
                </c:pt>
                <c:pt idx="56">
                  <c:v>3.575466204871273E-3</c:v>
                </c:pt>
                <c:pt idx="57">
                  <c:v>3.5770089344640166E-3</c:v>
                </c:pt>
                <c:pt idx="58">
                  <c:v>3.5816371232422475E-3</c:v>
                </c:pt>
                <c:pt idx="59">
                  <c:v>3.5831798528349911E-3</c:v>
                </c:pt>
                <c:pt idx="60">
                  <c:v>3.5847225824277348E-3</c:v>
                </c:pt>
                <c:pt idx="61">
                  <c:v>3.5862653120204784E-3</c:v>
                </c:pt>
                <c:pt idx="62">
                  <c:v>3.587808041613222E-3</c:v>
                </c:pt>
                <c:pt idx="63">
                  <c:v>3.5924362303914529E-3</c:v>
                </c:pt>
                <c:pt idx="64">
                  <c:v>3.5939789599841966E-3</c:v>
                </c:pt>
                <c:pt idx="65">
                  <c:v>3.5955216895769402E-3</c:v>
                </c:pt>
                <c:pt idx="66">
                  <c:v>3.5970644191696838E-3</c:v>
                </c:pt>
                <c:pt idx="67">
                  <c:v>3.5986071487624275E-3</c:v>
                </c:pt>
                <c:pt idx="68">
                  <c:v>3.6032353375406584E-3</c:v>
                </c:pt>
                <c:pt idx="69">
                  <c:v>3.604778067133402E-3</c:v>
                </c:pt>
                <c:pt idx="70">
                  <c:v>3.6063207967261457E-3</c:v>
                </c:pt>
                <c:pt idx="71">
                  <c:v>3.6078635263188893E-3</c:v>
                </c:pt>
                <c:pt idx="72">
                  <c:v>3.6094062559116329E-3</c:v>
                </c:pt>
                <c:pt idx="73">
                  <c:v>3.6140344446898638E-3</c:v>
                </c:pt>
                <c:pt idx="74">
                  <c:v>3.6155771742826075E-3</c:v>
                </c:pt>
                <c:pt idx="75">
                  <c:v>3.6171199038753511E-3</c:v>
                </c:pt>
                <c:pt idx="76">
                  <c:v>3.6186626334680947E-3</c:v>
                </c:pt>
                <c:pt idx="77">
                  <c:v>3.6202053630608384E-3</c:v>
                </c:pt>
                <c:pt idx="78">
                  <c:v>3.6248335518390693E-3</c:v>
                </c:pt>
                <c:pt idx="79">
                  <c:v>3.6263762814318129E-3</c:v>
                </c:pt>
                <c:pt idx="80">
                  <c:v>3.6279190110245566E-3</c:v>
                </c:pt>
                <c:pt idx="81">
                  <c:v>3.6294617406173002E-3</c:v>
                </c:pt>
                <c:pt idx="82">
                  <c:v>3.6310044702100438E-3</c:v>
                </c:pt>
                <c:pt idx="83">
                  <c:v>3.6356326589882747E-3</c:v>
                </c:pt>
                <c:pt idx="84">
                  <c:v>3.6371753885810184E-3</c:v>
                </c:pt>
                <c:pt idx="85">
                  <c:v>3.638718118173762E-3</c:v>
                </c:pt>
                <c:pt idx="86">
                  <c:v>3.6402608477665056E-3</c:v>
                </c:pt>
                <c:pt idx="87">
                  <c:v>3.6418035773592493E-3</c:v>
                </c:pt>
                <c:pt idx="88">
                  <c:v>3.6464317661374802E-3</c:v>
                </c:pt>
                <c:pt idx="89">
                  <c:v>3.6479744957302238E-3</c:v>
                </c:pt>
                <c:pt idx="90">
                  <c:v>3.6495172253229674E-3</c:v>
                </c:pt>
                <c:pt idx="91">
                  <c:v>3.6510599549157111E-3</c:v>
                </c:pt>
                <c:pt idx="92">
                  <c:v>3.6526026845084547E-3</c:v>
                </c:pt>
                <c:pt idx="93">
                  <c:v>3.6572308732866856E-3</c:v>
                </c:pt>
                <c:pt idx="94">
                  <c:v>3.6587736028794293E-3</c:v>
                </c:pt>
                <c:pt idx="95">
                  <c:v>3.6603163324721729E-3</c:v>
                </c:pt>
                <c:pt idx="96">
                  <c:v>3.6618590620649165E-3</c:v>
                </c:pt>
                <c:pt idx="97">
                  <c:v>3.6634017916576602E-3</c:v>
                </c:pt>
                <c:pt idx="98">
                  <c:v>3.6680299804358911E-3</c:v>
                </c:pt>
                <c:pt idx="99">
                  <c:v>3.6695727100286347E-3</c:v>
                </c:pt>
                <c:pt idx="100">
                  <c:v>3.6711154396213783E-3</c:v>
                </c:pt>
                <c:pt idx="101">
                  <c:v>3.672658169214122E-3</c:v>
                </c:pt>
                <c:pt idx="102">
                  <c:v>3.6742008988068656E-3</c:v>
                </c:pt>
                <c:pt idx="103">
                  <c:v>3.6788290875850965E-3</c:v>
                </c:pt>
                <c:pt idx="104">
                  <c:v>3.6803718171778401E-3</c:v>
                </c:pt>
                <c:pt idx="105">
                  <c:v>3.6819145467705838E-3</c:v>
                </c:pt>
                <c:pt idx="106">
                  <c:v>3.6834572763633274E-3</c:v>
                </c:pt>
                <c:pt idx="107">
                  <c:v>3.6911709243270456E-3</c:v>
                </c:pt>
                <c:pt idx="108">
                  <c:v>3.6927136539197892E-3</c:v>
                </c:pt>
                <c:pt idx="109">
                  <c:v>3.6942563835125329E-3</c:v>
                </c:pt>
                <c:pt idx="110">
                  <c:v>3.6957991131052765E-3</c:v>
                </c:pt>
                <c:pt idx="111">
                  <c:v>3.7004273018835074E-3</c:v>
                </c:pt>
                <c:pt idx="112">
                  <c:v>3.701970031476251E-3</c:v>
                </c:pt>
                <c:pt idx="113">
                  <c:v>3.7035127610689947E-3</c:v>
                </c:pt>
                <c:pt idx="114">
                  <c:v>3.7050554906617383E-3</c:v>
                </c:pt>
                <c:pt idx="115">
                  <c:v>3.7065982202544819E-3</c:v>
                </c:pt>
                <c:pt idx="116">
                  <c:v>3.7112264090327128E-3</c:v>
                </c:pt>
                <c:pt idx="117">
                  <c:v>3.7127691386254565E-3</c:v>
                </c:pt>
                <c:pt idx="118">
                  <c:v>3.7143118682182001E-3</c:v>
                </c:pt>
                <c:pt idx="119">
                  <c:v>3.7158545978109437E-3</c:v>
                </c:pt>
                <c:pt idx="120">
                  <c:v>3.7173973274036874E-3</c:v>
                </c:pt>
                <c:pt idx="121">
                  <c:v>3.7220255161819187E-3</c:v>
                </c:pt>
                <c:pt idx="122">
                  <c:v>3.7235682457746619E-3</c:v>
                </c:pt>
                <c:pt idx="123">
                  <c:v>3.725110975367406E-3</c:v>
                </c:pt>
                <c:pt idx="124">
                  <c:v>3.7266537049601492E-3</c:v>
                </c:pt>
                <c:pt idx="125">
                  <c:v>3.7328246233311237E-3</c:v>
                </c:pt>
                <c:pt idx="126">
                  <c:v>3.7343673529238678E-3</c:v>
                </c:pt>
                <c:pt idx="127">
                  <c:v>3.735910082516611E-3</c:v>
                </c:pt>
                <c:pt idx="128">
                  <c:v>3.7374528121093551E-3</c:v>
                </c:pt>
                <c:pt idx="129">
                  <c:v>3.7389955417020983E-3</c:v>
                </c:pt>
                <c:pt idx="130">
                  <c:v>3.7436237304803296E-3</c:v>
                </c:pt>
                <c:pt idx="131">
                  <c:v>3.7451664600730732E-3</c:v>
                </c:pt>
                <c:pt idx="132">
                  <c:v>3.7467091896658169E-3</c:v>
                </c:pt>
                <c:pt idx="133">
                  <c:v>3.7482519192585605E-3</c:v>
                </c:pt>
                <c:pt idx="134">
                  <c:v>3.7497946488513042E-3</c:v>
                </c:pt>
                <c:pt idx="135">
                  <c:v>3.7544228376295351E-3</c:v>
                </c:pt>
                <c:pt idx="136">
                  <c:v>3.7559655672222787E-3</c:v>
                </c:pt>
                <c:pt idx="137">
                  <c:v>3.7575082968150223E-3</c:v>
                </c:pt>
                <c:pt idx="138">
                  <c:v>3.759051026407766E-3</c:v>
                </c:pt>
                <c:pt idx="139">
                  <c:v>3.7605937560005096E-3</c:v>
                </c:pt>
                <c:pt idx="140">
                  <c:v>3.7652219447787405E-3</c:v>
                </c:pt>
                <c:pt idx="141">
                  <c:v>3.7667646743714841E-3</c:v>
                </c:pt>
                <c:pt idx="142">
                  <c:v>3.7683074039642278E-3</c:v>
                </c:pt>
                <c:pt idx="143">
                  <c:v>3.7698501335569714E-3</c:v>
                </c:pt>
                <c:pt idx="144">
                  <c:v>3.771392863149715E-3</c:v>
                </c:pt>
                <c:pt idx="145">
                  <c:v>3.7760210519279459E-3</c:v>
                </c:pt>
                <c:pt idx="146">
                  <c:v>3.7775637815206896E-3</c:v>
                </c:pt>
                <c:pt idx="147">
                  <c:v>3.7791065111134332E-3</c:v>
                </c:pt>
                <c:pt idx="148">
                  <c:v>3.7806492407061769E-3</c:v>
                </c:pt>
                <c:pt idx="149">
                  <c:v>3.7821919702989205E-3</c:v>
                </c:pt>
                <c:pt idx="150">
                  <c:v>3.7868201590771514E-3</c:v>
                </c:pt>
                <c:pt idx="151">
                  <c:v>3.788362888669895E-3</c:v>
                </c:pt>
                <c:pt idx="152">
                  <c:v>3.7899056182626387E-3</c:v>
                </c:pt>
                <c:pt idx="153">
                  <c:v>3.7914483478553823E-3</c:v>
                </c:pt>
                <c:pt idx="154">
                  <c:v>3.7929910774481259E-3</c:v>
                </c:pt>
                <c:pt idx="155">
                  <c:v>3.7976192662263568E-3</c:v>
                </c:pt>
                <c:pt idx="156">
                  <c:v>3.7991619958191005E-3</c:v>
                </c:pt>
                <c:pt idx="157">
                  <c:v>3.8007047254118441E-3</c:v>
                </c:pt>
                <c:pt idx="158">
                  <c:v>3.8022474550045877E-3</c:v>
                </c:pt>
                <c:pt idx="159">
                  <c:v>3.8037901845973314E-3</c:v>
                </c:pt>
                <c:pt idx="160">
                  <c:v>3.8084183733755623E-3</c:v>
                </c:pt>
                <c:pt idx="161">
                  <c:v>3.8099611029683059E-3</c:v>
                </c:pt>
                <c:pt idx="162">
                  <c:v>3.8115038325610496E-3</c:v>
                </c:pt>
                <c:pt idx="163">
                  <c:v>3.8130465621537932E-3</c:v>
                </c:pt>
                <c:pt idx="164">
                  <c:v>3.8145892917465368E-3</c:v>
                </c:pt>
                <c:pt idx="165">
                  <c:v>3.8192174805247677E-3</c:v>
                </c:pt>
                <c:pt idx="166">
                  <c:v>3.8207602101175114E-3</c:v>
                </c:pt>
                <c:pt idx="167">
                  <c:v>3.822302939710255E-3</c:v>
                </c:pt>
                <c:pt idx="168">
                  <c:v>3.8238456693029986E-3</c:v>
                </c:pt>
                <c:pt idx="169">
                  <c:v>3.8253883988957423E-3</c:v>
                </c:pt>
                <c:pt idx="170">
                  <c:v>3.8300165876739732E-3</c:v>
                </c:pt>
                <c:pt idx="171">
                  <c:v>3.8315593172667168E-3</c:v>
                </c:pt>
                <c:pt idx="172">
                  <c:v>3.8331020468594604E-3</c:v>
                </c:pt>
                <c:pt idx="173">
                  <c:v>3.8346447764522041E-3</c:v>
                </c:pt>
                <c:pt idx="174">
                  <c:v>3.8361875060449477E-3</c:v>
                </c:pt>
                <c:pt idx="175">
                  <c:v>3.8408156948231786E-3</c:v>
                </c:pt>
                <c:pt idx="176">
                  <c:v>3.8423584244159223E-3</c:v>
                </c:pt>
                <c:pt idx="177">
                  <c:v>3.8439011540086659E-3</c:v>
                </c:pt>
                <c:pt idx="178">
                  <c:v>3.8454438836014095E-3</c:v>
                </c:pt>
                <c:pt idx="179">
                  <c:v>3.8469866131941532E-3</c:v>
                </c:pt>
                <c:pt idx="180">
                  <c:v>3.8516148019723841E-3</c:v>
                </c:pt>
                <c:pt idx="181">
                  <c:v>3.8531575315651277E-3</c:v>
                </c:pt>
                <c:pt idx="182">
                  <c:v>3.8547002611578713E-3</c:v>
                </c:pt>
                <c:pt idx="183">
                  <c:v>3.856242990750615E-3</c:v>
                </c:pt>
                <c:pt idx="184">
                  <c:v>3.8577857203433586E-3</c:v>
                </c:pt>
                <c:pt idx="185">
                  <c:v>3.8624139091215895E-3</c:v>
                </c:pt>
                <c:pt idx="186">
                  <c:v>3.8639566387143331E-3</c:v>
                </c:pt>
                <c:pt idx="187">
                  <c:v>3.8654993683070768E-3</c:v>
                </c:pt>
                <c:pt idx="188">
                  <c:v>3.8670420978998204E-3</c:v>
                </c:pt>
                <c:pt idx="189">
                  <c:v>3.8685848274925641E-3</c:v>
                </c:pt>
                <c:pt idx="190">
                  <c:v>3.873213016270795E-3</c:v>
                </c:pt>
                <c:pt idx="191">
                  <c:v>3.8747557458635386E-3</c:v>
                </c:pt>
                <c:pt idx="192">
                  <c:v>3.8762984754562822E-3</c:v>
                </c:pt>
                <c:pt idx="193">
                  <c:v>3.8778412050490259E-3</c:v>
                </c:pt>
                <c:pt idx="194">
                  <c:v>3.8793839346417695E-3</c:v>
                </c:pt>
                <c:pt idx="195">
                  <c:v>3.8840121234200004E-3</c:v>
                </c:pt>
                <c:pt idx="196">
                  <c:v>3.885554853012744E-3</c:v>
                </c:pt>
                <c:pt idx="197">
                  <c:v>3.8870975826054877E-3</c:v>
                </c:pt>
                <c:pt idx="198">
                  <c:v>3.8886403121982313E-3</c:v>
                </c:pt>
                <c:pt idx="199">
                  <c:v>3.8901830417909749E-3</c:v>
                </c:pt>
                <c:pt idx="200">
                  <c:v>3.8948112305692058E-3</c:v>
                </c:pt>
                <c:pt idx="201">
                  <c:v>3.8963539601619495E-3</c:v>
                </c:pt>
                <c:pt idx="202">
                  <c:v>3.8978966897546931E-3</c:v>
                </c:pt>
                <c:pt idx="203">
                  <c:v>3.8994394193474372E-3</c:v>
                </c:pt>
                <c:pt idx="204">
                  <c:v>3.9009821489401804E-3</c:v>
                </c:pt>
                <c:pt idx="205">
                  <c:v>3.9056103377184113E-3</c:v>
                </c:pt>
                <c:pt idx="206">
                  <c:v>3.9071530673111549E-3</c:v>
                </c:pt>
                <c:pt idx="207">
                  <c:v>3.908695796903899E-3</c:v>
                </c:pt>
                <c:pt idx="208">
                  <c:v>3.9102385264966422E-3</c:v>
                </c:pt>
                <c:pt idx="209">
                  <c:v>3.9117812560893863E-3</c:v>
                </c:pt>
                <c:pt idx="210">
                  <c:v>3.9164094448676167E-3</c:v>
                </c:pt>
                <c:pt idx="211">
                  <c:v>3.9179521744603608E-3</c:v>
                </c:pt>
                <c:pt idx="212">
                  <c:v>3.919494904053104E-3</c:v>
                </c:pt>
                <c:pt idx="213">
                  <c:v>3.9210376336458481E-3</c:v>
                </c:pt>
                <c:pt idx="214">
                  <c:v>3.9225803632385913E-3</c:v>
                </c:pt>
                <c:pt idx="215">
                  <c:v>3.9272085520168226E-3</c:v>
                </c:pt>
                <c:pt idx="216">
                  <c:v>3.9287512816095658E-3</c:v>
                </c:pt>
                <c:pt idx="217">
                  <c:v>3.9302940112023099E-3</c:v>
                </c:pt>
                <c:pt idx="218">
                  <c:v>3.9318367407950531E-3</c:v>
                </c:pt>
                <c:pt idx="219">
                  <c:v>3.9333794703877972E-3</c:v>
                </c:pt>
                <c:pt idx="220">
                  <c:v>3.9380076591660276E-3</c:v>
                </c:pt>
                <c:pt idx="221">
                  <c:v>3.9395503887587717E-3</c:v>
                </c:pt>
                <c:pt idx="222">
                  <c:v>3.9410931183515149E-3</c:v>
                </c:pt>
                <c:pt idx="223">
                  <c:v>3.942635847944259E-3</c:v>
                </c:pt>
                <c:pt idx="224">
                  <c:v>3.9441785775370022E-3</c:v>
                </c:pt>
                <c:pt idx="225">
                  <c:v>3.9488067663152335E-3</c:v>
                </c:pt>
                <c:pt idx="226">
                  <c:v>3.9503494959079767E-3</c:v>
                </c:pt>
                <c:pt idx="227">
                  <c:v>3.9518922255007208E-3</c:v>
                </c:pt>
                <c:pt idx="228">
                  <c:v>3.953434955093464E-3</c:v>
                </c:pt>
                <c:pt idx="229">
                  <c:v>3.954977684686208E-3</c:v>
                </c:pt>
                <c:pt idx="230">
                  <c:v>3.9596058734644385E-3</c:v>
                </c:pt>
                <c:pt idx="231">
                  <c:v>3.9611486030571826E-3</c:v>
                </c:pt>
                <c:pt idx="232">
                  <c:v>3.9626913326499258E-3</c:v>
                </c:pt>
                <c:pt idx="233">
                  <c:v>3.9642340622426699E-3</c:v>
                </c:pt>
                <c:pt idx="234">
                  <c:v>3.9657767918354131E-3</c:v>
                </c:pt>
                <c:pt idx="235">
                  <c:v>3.9704049806136444E-3</c:v>
                </c:pt>
                <c:pt idx="236">
                  <c:v>3.9719477102063876E-3</c:v>
                </c:pt>
                <c:pt idx="237">
                  <c:v>3.9734904397991317E-3</c:v>
                </c:pt>
                <c:pt idx="238">
                  <c:v>3.9750331693918749E-3</c:v>
                </c:pt>
                <c:pt idx="239">
                  <c:v>3.9765758989846189E-3</c:v>
                </c:pt>
                <c:pt idx="240">
                  <c:v>3.9812040877628494E-3</c:v>
                </c:pt>
                <c:pt idx="241">
                  <c:v>3.9827468173555935E-3</c:v>
                </c:pt>
                <c:pt idx="242">
                  <c:v>3.9842895469483367E-3</c:v>
                </c:pt>
                <c:pt idx="243">
                  <c:v>3.9858322765410808E-3</c:v>
                </c:pt>
                <c:pt idx="244">
                  <c:v>3.987375006133824E-3</c:v>
                </c:pt>
                <c:pt idx="245">
                  <c:v>3.9920031949120553E-3</c:v>
                </c:pt>
                <c:pt idx="246">
                  <c:v>3.9935459245047985E-3</c:v>
                </c:pt>
                <c:pt idx="247">
                  <c:v>3.9950886540975426E-3</c:v>
                </c:pt>
                <c:pt idx="248">
                  <c:v>3.9966313836902866E-3</c:v>
                </c:pt>
                <c:pt idx="249">
                  <c:v>3.9981741132830298E-3</c:v>
                </c:pt>
                <c:pt idx="250">
                  <c:v>4.0028023020612612E-3</c:v>
                </c:pt>
                <c:pt idx="251">
                  <c:v>4.0043450316540044E-3</c:v>
                </c:pt>
                <c:pt idx="252">
                  <c:v>4.0058877612467476E-3</c:v>
                </c:pt>
                <c:pt idx="253">
                  <c:v>4.0074304908394916E-3</c:v>
                </c:pt>
                <c:pt idx="254">
                  <c:v>4.0089732204322357E-3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41943</c:v>
                </c:pt>
                <c:pt idx="1">
                  <c:v>41946</c:v>
                </c:pt>
                <c:pt idx="2">
                  <c:v>41947</c:v>
                </c:pt>
                <c:pt idx="3">
                  <c:v>41948</c:v>
                </c:pt>
                <c:pt idx="4">
                  <c:v>41949</c:v>
                </c:pt>
                <c:pt idx="5">
                  <c:v>41950</c:v>
                </c:pt>
                <c:pt idx="6">
                  <c:v>41953</c:v>
                </c:pt>
                <c:pt idx="7">
                  <c:v>41954</c:v>
                </c:pt>
                <c:pt idx="8">
                  <c:v>41955</c:v>
                </c:pt>
                <c:pt idx="9">
                  <c:v>41956</c:v>
                </c:pt>
                <c:pt idx="10">
                  <c:v>41957</c:v>
                </c:pt>
                <c:pt idx="11">
                  <c:v>41960</c:v>
                </c:pt>
                <c:pt idx="12">
                  <c:v>41961</c:v>
                </c:pt>
                <c:pt idx="13">
                  <c:v>41962</c:v>
                </c:pt>
                <c:pt idx="14">
                  <c:v>41963</c:v>
                </c:pt>
                <c:pt idx="15">
                  <c:v>41964</c:v>
                </c:pt>
                <c:pt idx="16">
                  <c:v>41967</c:v>
                </c:pt>
                <c:pt idx="17">
                  <c:v>41968</c:v>
                </c:pt>
                <c:pt idx="18">
                  <c:v>41969</c:v>
                </c:pt>
                <c:pt idx="19">
                  <c:v>41970</c:v>
                </c:pt>
                <c:pt idx="20">
                  <c:v>41971</c:v>
                </c:pt>
                <c:pt idx="21">
                  <c:v>41974</c:v>
                </c:pt>
                <c:pt idx="22">
                  <c:v>41975</c:v>
                </c:pt>
                <c:pt idx="23">
                  <c:v>41976</c:v>
                </c:pt>
                <c:pt idx="24">
                  <c:v>41977</c:v>
                </c:pt>
                <c:pt idx="25">
                  <c:v>41978</c:v>
                </c:pt>
                <c:pt idx="26">
                  <c:v>41981</c:v>
                </c:pt>
                <c:pt idx="27">
                  <c:v>41982</c:v>
                </c:pt>
                <c:pt idx="28">
                  <c:v>41983</c:v>
                </c:pt>
                <c:pt idx="29">
                  <c:v>41984</c:v>
                </c:pt>
                <c:pt idx="30">
                  <c:v>41985</c:v>
                </c:pt>
                <c:pt idx="31">
                  <c:v>41988</c:v>
                </c:pt>
                <c:pt idx="32">
                  <c:v>41989</c:v>
                </c:pt>
                <c:pt idx="33">
                  <c:v>41990</c:v>
                </c:pt>
                <c:pt idx="34">
                  <c:v>41991</c:v>
                </c:pt>
                <c:pt idx="35">
                  <c:v>41992</c:v>
                </c:pt>
                <c:pt idx="36">
                  <c:v>41995</c:v>
                </c:pt>
                <c:pt idx="37">
                  <c:v>41996</c:v>
                </c:pt>
                <c:pt idx="38">
                  <c:v>41997</c:v>
                </c:pt>
                <c:pt idx="39">
                  <c:v>42002</c:v>
                </c:pt>
                <c:pt idx="40">
                  <c:v>42003</c:v>
                </c:pt>
                <c:pt idx="41">
                  <c:v>42004</c:v>
                </c:pt>
                <c:pt idx="42">
                  <c:v>42006</c:v>
                </c:pt>
                <c:pt idx="43">
                  <c:v>42009</c:v>
                </c:pt>
                <c:pt idx="44">
                  <c:v>42010</c:v>
                </c:pt>
                <c:pt idx="45">
                  <c:v>42011</c:v>
                </c:pt>
                <c:pt idx="46">
                  <c:v>42012</c:v>
                </c:pt>
                <c:pt idx="47">
                  <c:v>42013</c:v>
                </c:pt>
                <c:pt idx="48">
                  <c:v>42016</c:v>
                </c:pt>
                <c:pt idx="49">
                  <c:v>42017</c:v>
                </c:pt>
                <c:pt idx="50">
                  <c:v>42018</c:v>
                </c:pt>
                <c:pt idx="51">
                  <c:v>42019</c:v>
                </c:pt>
                <c:pt idx="52">
                  <c:v>42020</c:v>
                </c:pt>
                <c:pt idx="53">
                  <c:v>42023</c:v>
                </c:pt>
                <c:pt idx="54">
                  <c:v>42024</c:v>
                </c:pt>
                <c:pt idx="55">
                  <c:v>42025</c:v>
                </c:pt>
                <c:pt idx="56">
                  <c:v>42026</c:v>
                </c:pt>
                <c:pt idx="57">
                  <c:v>42027</c:v>
                </c:pt>
                <c:pt idx="58">
                  <c:v>42030</c:v>
                </c:pt>
                <c:pt idx="59">
                  <c:v>42031</c:v>
                </c:pt>
                <c:pt idx="60">
                  <c:v>42032</c:v>
                </c:pt>
                <c:pt idx="61">
                  <c:v>42033</c:v>
                </c:pt>
                <c:pt idx="62">
                  <c:v>42034</c:v>
                </c:pt>
                <c:pt idx="63">
                  <c:v>42037</c:v>
                </c:pt>
                <c:pt idx="64">
                  <c:v>42038</c:v>
                </c:pt>
                <c:pt idx="65">
                  <c:v>42039</c:v>
                </c:pt>
                <c:pt idx="66">
                  <c:v>42040</c:v>
                </c:pt>
                <c:pt idx="67">
                  <c:v>42041</c:v>
                </c:pt>
                <c:pt idx="68">
                  <c:v>42044</c:v>
                </c:pt>
                <c:pt idx="69">
                  <c:v>42045</c:v>
                </c:pt>
                <c:pt idx="70">
                  <c:v>42046</c:v>
                </c:pt>
                <c:pt idx="71">
                  <c:v>42047</c:v>
                </c:pt>
                <c:pt idx="72">
                  <c:v>42048</c:v>
                </c:pt>
                <c:pt idx="73">
                  <c:v>42051</c:v>
                </c:pt>
                <c:pt idx="74">
                  <c:v>42052</c:v>
                </c:pt>
                <c:pt idx="75">
                  <c:v>42053</c:v>
                </c:pt>
                <c:pt idx="76">
                  <c:v>42054</c:v>
                </c:pt>
                <c:pt idx="77">
                  <c:v>42055</c:v>
                </c:pt>
                <c:pt idx="78">
                  <c:v>42058</c:v>
                </c:pt>
                <c:pt idx="79">
                  <c:v>42059</c:v>
                </c:pt>
                <c:pt idx="80">
                  <c:v>42060</c:v>
                </c:pt>
                <c:pt idx="81">
                  <c:v>42061</c:v>
                </c:pt>
                <c:pt idx="82">
                  <c:v>42062</c:v>
                </c:pt>
                <c:pt idx="83">
                  <c:v>42065</c:v>
                </c:pt>
                <c:pt idx="84">
                  <c:v>42066</c:v>
                </c:pt>
                <c:pt idx="85">
                  <c:v>42067</c:v>
                </c:pt>
                <c:pt idx="86">
                  <c:v>42068</c:v>
                </c:pt>
                <c:pt idx="87">
                  <c:v>42069</c:v>
                </c:pt>
                <c:pt idx="88">
                  <c:v>42072</c:v>
                </c:pt>
                <c:pt idx="89">
                  <c:v>42073</c:v>
                </c:pt>
                <c:pt idx="90">
                  <c:v>42074</c:v>
                </c:pt>
                <c:pt idx="91">
                  <c:v>42075</c:v>
                </c:pt>
                <c:pt idx="92">
                  <c:v>42076</c:v>
                </c:pt>
                <c:pt idx="93">
                  <c:v>42079</c:v>
                </c:pt>
                <c:pt idx="94">
                  <c:v>42080</c:v>
                </c:pt>
                <c:pt idx="95">
                  <c:v>42081</c:v>
                </c:pt>
                <c:pt idx="96">
                  <c:v>42082</c:v>
                </c:pt>
                <c:pt idx="97">
                  <c:v>42083</c:v>
                </c:pt>
                <c:pt idx="98">
                  <c:v>42086</c:v>
                </c:pt>
                <c:pt idx="99">
                  <c:v>42087</c:v>
                </c:pt>
                <c:pt idx="100">
                  <c:v>42088</c:v>
                </c:pt>
                <c:pt idx="101">
                  <c:v>42089</c:v>
                </c:pt>
                <c:pt idx="102">
                  <c:v>42090</c:v>
                </c:pt>
                <c:pt idx="103">
                  <c:v>42093</c:v>
                </c:pt>
                <c:pt idx="104">
                  <c:v>42094</c:v>
                </c:pt>
                <c:pt idx="105">
                  <c:v>42095</c:v>
                </c:pt>
                <c:pt idx="106">
                  <c:v>42096</c:v>
                </c:pt>
                <c:pt idx="107">
                  <c:v>42101</c:v>
                </c:pt>
                <c:pt idx="108">
                  <c:v>42102</c:v>
                </c:pt>
                <c:pt idx="109">
                  <c:v>42103</c:v>
                </c:pt>
                <c:pt idx="110">
                  <c:v>42104</c:v>
                </c:pt>
                <c:pt idx="111">
                  <c:v>42107</c:v>
                </c:pt>
                <c:pt idx="112">
                  <c:v>42108</c:v>
                </c:pt>
                <c:pt idx="113">
                  <c:v>42109</c:v>
                </c:pt>
                <c:pt idx="114">
                  <c:v>42110</c:v>
                </c:pt>
                <c:pt idx="115">
                  <c:v>42111</c:v>
                </c:pt>
                <c:pt idx="116">
                  <c:v>42114</c:v>
                </c:pt>
                <c:pt idx="117">
                  <c:v>42115</c:v>
                </c:pt>
                <c:pt idx="118">
                  <c:v>42116</c:v>
                </c:pt>
                <c:pt idx="119">
                  <c:v>42117</c:v>
                </c:pt>
                <c:pt idx="120">
                  <c:v>42118</c:v>
                </c:pt>
                <c:pt idx="121">
                  <c:v>42121</c:v>
                </c:pt>
                <c:pt idx="122">
                  <c:v>42122</c:v>
                </c:pt>
                <c:pt idx="123">
                  <c:v>42123</c:v>
                </c:pt>
                <c:pt idx="124">
                  <c:v>42124</c:v>
                </c:pt>
                <c:pt idx="125">
                  <c:v>42128</c:v>
                </c:pt>
                <c:pt idx="126">
                  <c:v>42129</c:v>
                </c:pt>
                <c:pt idx="127">
                  <c:v>42130</c:v>
                </c:pt>
                <c:pt idx="128">
                  <c:v>42131</c:v>
                </c:pt>
                <c:pt idx="129">
                  <c:v>42132</c:v>
                </c:pt>
                <c:pt idx="130">
                  <c:v>42135</c:v>
                </c:pt>
                <c:pt idx="131">
                  <c:v>42136</c:v>
                </c:pt>
                <c:pt idx="132">
                  <c:v>42137</c:v>
                </c:pt>
                <c:pt idx="133">
                  <c:v>42138</c:v>
                </c:pt>
                <c:pt idx="134">
                  <c:v>42139</c:v>
                </c:pt>
                <c:pt idx="135">
                  <c:v>42142</c:v>
                </c:pt>
                <c:pt idx="136">
                  <c:v>42143</c:v>
                </c:pt>
                <c:pt idx="137">
                  <c:v>42144</c:v>
                </c:pt>
                <c:pt idx="138">
                  <c:v>42145</c:v>
                </c:pt>
                <c:pt idx="139">
                  <c:v>42146</c:v>
                </c:pt>
                <c:pt idx="140">
                  <c:v>42149</c:v>
                </c:pt>
                <c:pt idx="141">
                  <c:v>42150</c:v>
                </c:pt>
                <c:pt idx="142">
                  <c:v>42151</c:v>
                </c:pt>
                <c:pt idx="143">
                  <c:v>42152</c:v>
                </c:pt>
                <c:pt idx="144">
                  <c:v>42153</c:v>
                </c:pt>
                <c:pt idx="145">
                  <c:v>42156</c:v>
                </c:pt>
                <c:pt idx="146">
                  <c:v>42157</c:v>
                </c:pt>
                <c:pt idx="147">
                  <c:v>42158</c:v>
                </c:pt>
                <c:pt idx="148">
                  <c:v>42159</c:v>
                </c:pt>
                <c:pt idx="149">
                  <c:v>42160</c:v>
                </c:pt>
                <c:pt idx="150">
                  <c:v>42163</c:v>
                </c:pt>
                <c:pt idx="151">
                  <c:v>42164</c:v>
                </c:pt>
                <c:pt idx="152">
                  <c:v>42165</c:v>
                </c:pt>
                <c:pt idx="153">
                  <c:v>42166</c:v>
                </c:pt>
                <c:pt idx="154">
                  <c:v>42167</c:v>
                </c:pt>
                <c:pt idx="155">
                  <c:v>42170</c:v>
                </c:pt>
                <c:pt idx="156">
                  <c:v>42171</c:v>
                </c:pt>
                <c:pt idx="157">
                  <c:v>42172</c:v>
                </c:pt>
                <c:pt idx="158">
                  <c:v>42173</c:v>
                </c:pt>
                <c:pt idx="159">
                  <c:v>42174</c:v>
                </c:pt>
                <c:pt idx="160">
                  <c:v>42177</c:v>
                </c:pt>
                <c:pt idx="161">
                  <c:v>42178</c:v>
                </c:pt>
                <c:pt idx="162">
                  <c:v>42179</c:v>
                </c:pt>
                <c:pt idx="163">
                  <c:v>42180</c:v>
                </c:pt>
                <c:pt idx="164">
                  <c:v>42181</c:v>
                </c:pt>
                <c:pt idx="165">
                  <c:v>42184</c:v>
                </c:pt>
                <c:pt idx="166">
                  <c:v>42185</c:v>
                </c:pt>
                <c:pt idx="167">
                  <c:v>42186</c:v>
                </c:pt>
                <c:pt idx="168">
                  <c:v>42187</c:v>
                </c:pt>
                <c:pt idx="169">
                  <c:v>42188</c:v>
                </c:pt>
                <c:pt idx="170">
                  <c:v>42191</c:v>
                </c:pt>
                <c:pt idx="171">
                  <c:v>42192</c:v>
                </c:pt>
                <c:pt idx="172">
                  <c:v>42193</c:v>
                </c:pt>
                <c:pt idx="173">
                  <c:v>42194</c:v>
                </c:pt>
                <c:pt idx="174">
                  <c:v>42195</c:v>
                </c:pt>
                <c:pt idx="175">
                  <c:v>42198</c:v>
                </c:pt>
                <c:pt idx="176">
                  <c:v>42199</c:v>
                </c:pt>
                <c:pt idx="177">
                  <c:v>42200</c:v>
                </c:pt>
                <c:pt idx="178">
                  <c:v>42201</c:v>
                </c:pt>
                <c:pt idx="179">
                  <c:v>42202</c:v>
                </c:pt>
                <c:pt idx="180">
                  <c:v>42205</c:v>
                </c:pt>
                <c:pt idx="181">
                  <c:v>42206</c:v>
                </c:pt>
                <c:pt idx="182">
                  <c:v>42207</c:v>
                </c:pt>
                <c:pt idx="183">
                  <c:v>42208</c:v>
                </c:pt>
                <c:pt idx="184">
                  <c:v>42209</c:v>
                </c:pt>
                <c:pt idx="185">
                  <c:v>42212</c:v>
                </c:pt>
                <c:pt idx="186">
                  <c:v>42213</c:v>
                </c:pt>
                <c:pt idx="187">
                  <c:v>42214</c:v>
                </c:pt>
                <c:pt idx="188">
                  <c:v>42215</c:v>
                </c:pt>
                <c:pt idx="189">
                  <c:v>42216</c:v>
                </c:pt>
                <c:pt idx="190">
                  <c:v>42219</c:v>
                </c:pt>
                <c:pt idx="191">
                  <c:v>42220</c:v>
                </c:pt>
                <c:pt idx="192">
                  <c:v>42221</c:v>
                </c:pt>
                <c:pt idx="193">
                  <c:v>42222</c:v>
                </c:pt>
                <c:pt idx="194">
                  <c:v>42223</c:v>
                </c:pt>
                <c:pt idx="195">
                  <c:v>42226</c:v>
                </c:pt>
                <c:pt idx="196">
                  <c:v>42227</c:v>
                </c:pt>
                <c:pt idx="197">
                  <c:v>42228</c:v>
                </c:pt>
                <c:pt idx="198">
                  <c:v>42229</c:v>
                </c:pt>
                <c:pt idx="199">
                  <c:v>42230</c:v>
                </c:pt>
                <c:pt idx="200">
                  <c:v>42233</c:v>
                </c:pt>
                <c:pt idx="201">
                  <c:v>42234</c:v>
                </c:pt>
                <c:pt idx="202">
                  <c:v>42235</c:v>
                </c:pt>
                <c:pt idx="203">
                  <c:v>42236</c:v>
                </c:pt>
                <c:pt idx="204">
                  <c:v>42237</c:v>
                </c:pt>
                <c:pt idx="205">
                  <c:v>42240</c:v>
                </c:pt>
                <c:pt idx="206">
                  <c:v>42241</c:v>
                </c:pt>
                <c:pt idx="207">
                  <c:v>42242</c:v>
                </c:pt>
                <c:pt idx="208">
                  <c:v>42243</c:v>
                </c:pt>
                <c:pt idx="209">
                  <c:v>42244</c:v>
                </c:pt>
                <c:pt idx="210">
                  <c:v>42247</c:v>
                </c:pt>
                <c:pt idx="211">
                  <c:v>42248</c:v>
                </c:pt>
                <c:pt idx="212">
                  <c:v>42249</c:v>
                </c:pt>
                <c:pt idx="213">
                  <c:v>42250</c:v>
                </c:pt>
                <c:pt idx="214">
                  <c:v>42251</c:v>
                </c:pt>
                <c:pt idx="215">
                  <c:v>42254</c:v>
                </c:pt>
                <c:pt idx="216">
                  <c:v>42255</c:v>
                </c:pt>
                <c:pt idx="217">
                  <c:v>42256</c:v>
                </c:pt>
                <c:pt idx="218">
                  <c:v>42257</c:v>
                </c:pt>
                <c:pt idx="219">
                  <c:v>42258</c:v>
                </c:pt>
                <c:pt idx="220">
                  <c:v>42261</c:v>
                </c:pt>
                <c:pt idx="221">
                  <c:v>42262</c:v>
                </c:pt>
                <c:pt idx="222">
                  <c:v>42263</c:v>
                </c:pt>
                <c:pt idx="223">
                  <c:v>42264</c:v>
                </c:pt>
                <c:pt idx="224">
                  <c:v>42265</c:v>
                </c:pt>
                <c:pt idx="225">
                  <c:v>42268</c:v>
                </c:pt>
                <c:pt idx="226">
                  <c:v>42269</c:v>
                </c:pt>
                <c:pt idx="227">
                  <c:v>42270</c:v>
                </c:pt>
                <c:pt idx="228">
                  <c:v>42271</c:v>
                </c:pt>
                <c:pt idx="229">
                  <c:v>42272</c:v>
                </c:pt>
                <c:pt idx="230">
                  <c:v>42275</c:v>
                </c:pt>
                <c:pt idx="231">
                  <c:v>42276</c:v>
                </c:pt>
                <c:pt idx="232">
                  <c:v>42277</c:v>
                </c:pt>
                <c:pt idx="233">
                  <c:v>42278</c:v>
                </c:pt>
                <c:pt idx="234">
                  <c:v>42279</c:v>
                </c:pt>
                <c:pt idx="235">
                  <c:v>42282</c:v>
                </c:pt>
                <c:pt idx="236">
                  <c:v>42283</c:v>
                </c:pt>
                <c:pt idx="237">
                  <c:v>42284</c:v>
                </c:pt>
                <c:pt idx="238">
                  <c:v>42285</c:v>
                </c:pt>
                <c:pt idx="239">
                  <c:v>42286</c:v>
                </c:pt>
                <c:pt idx="240">
                  <c:v>42289</c:v>
                </c:pt>
                <c:pt idx="241">
                  <c:v>42290</c:v>
                </c:pt>
                <c:pt idx="242">
                  <c:v>42291</c:v>
                </c:pt>
                <c:pt idx="243">
                  <c:v>42292</c:v>
                </c:pt>
                <c:pt idx="244">
                  <c:v>42293</c:v>
                </c:pt>
                <c:pt idx="245">
                  <c:v>42296</c:v>
                </c:pt>
                <c:pt idx="246">
                  <c:v>42297</c:v>
                </c:pt>
                <c:pt idx="247">
                  <c:v>42298</c:v>
                </c:pt>
                <c:pt idx="248">
                  <c:v>42299</c:v>
                </c:pt>
                <c:pt idx="249">
                  <c:v>42300</c:v>
                </c:pt>
                <c:pt idx="250">
                  <c:v>42303</c:v>
                </c:pt>
                <c:pt idx="251">
                  <c:v>42304</c:v>
                </c:pt>
                <c:pt idx="252">
                  <c:v>42305</c:v>
                </c:pt>
                <c:pt idx="253">
                  <c:v>42306</c:v>
                </c:pt>
                <c:pt idx="254">
                  <c:v>42307</c:v>
                </c:pt>
              </c:numCache>
            </c:numRef>
          </c:cat>
          <c:val>
            <c:numRef>
              <c:f>'1YSynthDepo'!$AJ$3:$AJ$132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817600"/>
        <c:axId val="575819136"/>
      </c:lineChart>
      <c:dateAx>
        <c:axId val="5758176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5819136"/>
        <c:crosses val="autoZero"/>
        <c:auto val="1"/>
        <c:lblOffset val="100"/>
        <c:baseTimeUnit val="days"/>
      </c:dateAx>
      <c:valAx>
        <c:axId val="5758191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817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'1YSynthDepo'!$F$18:$F$33</c:f>
              <c:numCache>
                <c:formatCode>ddd\,\ dd\-mmm\-yyyy</c:formatCode>
                <c:ptCount val="16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  <c:pt idx="5">
                  <c:v>42004</c:v>
                </c:pt>
                <c:pt idx="6">
                  <c:v>42034</c:v>
                </c:pt>
                <c:pt idx="7">
                  <c:v>42062</c:v>
                </c:pt>
                <c:pt idx="8">
                  <c:v>42094</c:v>
                </c:pt>
                <c:pt idx="9">
                  <c:v>42124</c:v>
                </c:pt>
                <c:pt idx="10">
                  <c:v>42153</c:v>
                </c:pt>
                <c:pt idx="11">
                  <c:v>42185</c:v>
                </c:pt>
                <c:pt idx="12">
                  <c:v>42216</c:v>
                </c:pt>
                <c:pt idx="13">
                  <c:v>42247</c:v>
                </c:pt>
                <c:pt idx="14">
                  <c:v>42277</c:v>
                </c:pt>
                <c:pt idx="15">
                  <c:v>42307</c:v>
                </c:pt>
              </c:numCache>
            </c:numRef>
          </c:cat>
          <c:val>
            <c:numRef>
              <c:f>'1YSynthDepo'!$M$18:$M$33</c:f>
              <c:numCache>
                <c:formatCode>0.0000%</c:formatCode>
                <c:ptCount val="16"/>
                <c:pt idx="0">
                  <c:v>4.1850498208677945E-3</c:v>
                </c:pt>
                <c:pt idx="1">
                  <c:v>4.0771252459527695E-3</c:v>
                </c:pt>
                <c:pt idx="2">
                  <c:v>3.8571252444165554E-3</c:v>
                </c:pt>
                <c:pt idx="3">
                  <c:v>3.7971252413686947E-3</c:v>
                </c:pt>
                <c:pt idx="4">
                  <c:v>3.7671252383202707E-3</c:v>
                </c:pt>
                <c:pt idx="5">
                  <c:v>3.7271252505179228E-3</c:v>
                </c:pt>
                <c:pt idx="6">
                  <c:v>3.6592039369208423E-3</c:v>
                </c:pt>
                <c:pt idx="7">
                  <c:v>3.6571252505175904E-3</c:v>
                </c:pt>
                <c:pt idx="8">
                  <c:v>3.6571252505182158E-3</c:v>
                </c:pt>
                <c:pt idx="9">
                  <c:v>3.617125250517707E-3</c:v>
                </c:pt>
                <c:pt idx="10">
                  <c:v>3.5671252505185343E-3</c:v>
                </c:pt>
                <c:pt idx="11">
                  <c:v>3.5271252505182614E-3</c:v>
                </c:pt>
                <c:pt idx="12">
                  <c:v>3.4871252505178645E-3</c:v>
                </c:pt>
                <c:pt idx="13">
                  <c:v>3.4571252505183748E-3</c:v>
                </c:pt>
                <c:pt idx="14">
                  <c:v>3.4271252505182E-3</c:v>
                </c:pt>
                <c:pt idx="15">
                  <c:v>3.4000000000000002E-3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'1YSynthDepo'!$F$18:$F$33</c:f>
              <c:numCache>
                <c:formatCode>ddd\,\ dd\-mmm\-yyyy</c:formatCode>
                <c:ptCount val="16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  <c:pt idx="5">
                  <c:v>42004</c:v>
                </c:pt>
                <c:pt idx="6">
                  <c:v>42034</c:v>
                </c:pt>
                <c:pt idx="7">
                  <c:v>42062</c:v>
                </c:pt>
                <c:pt idx="8">
                  <c:v>42094</c:v>
                </c:pt>
                <c:pt idx="9">
                  <c:v>42124</c:v>
                </c:pt>
                <c:pt idx="10">
                  <c:v>42153</c:v>
                </c:pt>
                <c:pt idx="11">
                  <c:v>42185</c:v>
                </c:pt>
                <c:pt idx="12">
                  <c:v>42216</c:v>
                </c:pt>
                <c:pt idx="13">
                  <c:v>42247</c:v>
                </c:pt>
                <c:pt idx="14">
                  <c:v>42277</c:v>
                </c:pt>
                <c:pt idx="15">
                  <c:v>42307</c:v>
                </c:pt>
              </c:numCache>
            </c:numRef>
          </c:cat>
          <c:val>
            <c:numRef>
              <c:f>'1YSynthDepo'!$N$18:$N$33</c:f>
              <c:numCache>
                <c:formatCode>0.0000%</c:formatCode>
                <c:ptCount val="16"/>
                <c:pt idx="0">
                  <c:v>3.9104016867952405E-3</c:v>
                </c:pt>
                <c:pt idx="1">
                  <c:v>3.8055203045015179E-3</c:v>
                </c:pt>
                <c:pt idx="2">
                  <c:v>3.5908458900525838E-3</c:v>
                </c:pt>
                <c:pt idx="3">
                  <c:v>3.5361714740920025E-3</c:v>
                </c:pt>
                <c:pt idx="4">
                  <c:v>3.5114970581308575E-3</c:v>
                </c:pt>
                <c:pt idx="5">
                  <c:v>3.4966034094542561E-3</c:v>
                </c:pt>
                <c:pt idx="6">
                  <c:v>3.451506040516944E-3</c:v>
                </c:pt>
                <c:pt idx="7">
                  <c:v>3.4707297024628094E-3</c:v>
                </c:pt>
                <c:pt idx="8">
                  <c:v>3.4950752434338554E-3</c:v>
                </c:pt>
                <c:pt idx="9">
                  <c:v>3.4778991880931157E-3</c:v>
                </c:pt>
                <c:pt idx="10">
                  <c:v>3.4499623345983859E-3</c:v>
                </c:pt>
                <c:pt idx="11">
                  <c:v>3.4343078755685336E-3</c:v>
                </c:pt>
                <c:pt idx="12">
                  <c:v>3.417892618383231E-3</c:v>
                </c:pt>
                <c:pt idx="13">
                  <c:v>3.411477361198836E-3</c:v>
                </c:pt>
                <c:pt idx="14">
                  <c:v>3.4043013058584299E-3</c:v>
                </c:pt>
                <c:pt idx="15">
                  <c:v>3.3999999999999989E-3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'1YSynthDepo'!$O$17</c:f>
              <c:strCache>
                <c:ptCount val="1"/>
                <c:pt idx="0">
                  <c:v>quad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'1YSynthDepo'!$F$18:$F$33</c:f>
              <c:numCache>
                <c:formatCode>ddd\,\ dd\-mmm\-yyyy</c:formatCode>
                <c:ptCount val="16"/>
                <c:pt idx="0">
                  <c:v>41946</c:v>
                </c:pt>
                <c:pt idx="1">
                  <c:v>41950</c:v>
                </c:pt>
                <c:pt idx="2">
                  <c:v>41957</c:v>
                </c:pt>
                <c:pt idx="3">
                  <c:v>41964</c:v>
                </c:pt>
                <c:pt idx="4">
                  <c:v>41971</c:v>
                </c:pt>
                <c:pt idx="5">
                  <c:v>42004</c:v>
                </c:pt>
                <c:pt idx="6">
                  <c:v>42034</c:v>
                </c:pt>
                <c:pt idx="7">
                  <c:v>42062</c:v>
                </c:pt>
                <c:pt idx="8">
                  <c:v>42094</c:v>
                </c:pt>
                <c:pt idx="9">
                  <c:v>42124</c:v>
                </c:pt>
                <c:pt idx="10">
                  <c:v>42153</c:v>
                </c:pt>
                <c:pt idx="11">
                  <c:v>42185</c:v>
                </c:pt>
                <c:pt idx="12">
                  <c:v>42216</c:v>
                </c:pt>
                <c:pt idx="13">
                  <c:v>42247</c:v>
                </c:pt>
                <c:pt idx="14">
                  <c:v>42277</c:v>
                </c:pt>
                <c:pt idx="15">
                  <c:v>42307</c:v>
                </c:pt>
              </c:numCache>
            </c:numRef>
          </c:cat>
          <c:val>
            <c:numRef>
              <c:f>'1YSynthDepo'!$O$18:$O$33</c:f>
              <c:numCache>
                <c:formatCode>0.0000%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68000"/>
        <c:axId val="575969536"/>
      </c:lineChart>
      <c:dateAx>
        <c:axId val="57596800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575969536"/>
        <c:crosses val="autoZero"/>
        <c:auto val="1"/>
        <c:lblOffset val="100"/>
        <c:baseTimeUnit val="days"/>
      </c:dateAx>
      <c:valAx>
        <c:axId val="5759695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968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41943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8.7999999999999992E-4</c:v>
                </c:pt>
                <c:pt idx="1">
                  <c:v>9.5000000000000639E-4</c:v>
                </c:pt>
                <c:pt idx="2">
                  <c:v>1.0750000000000481E-3</c:v>
                </c:pt>
                <c:pt idx="3">
                  <c:v>1.0249999999999426E-3</c:v>
                </c:pt>
                <c:pt idx="4">
                  <c:v>9.7499999999994813E-4</c:v>
                </c:pt>
                <c:pt idx="5">
                  <c:v>1.0750000000000481E-3</c:v>
                </c:pt>
                <c:pt idx="6">
                  <c:v>1.2750000000000261E-3</c:v>
                </c:pt>
                <c:pt idx="7">
                  <c:v>1.5249999999999986E-3</c:v>
                </c:pt>
                <c:pt idx="8">
                  <c:v>1.7750000000000821E-3</c:v>
                </c:pt>
                <c:pt idx="9">
                  <c:v>2.1250000000000435E-3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41943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-1.7921313597080646E-5</c:v>
                </c:pt>
                <c:pt idx="1">
                  <c:v>-1.7079085402894456E-5</c:v>
                </c:pt>
                <c:pt idx="2">
                  <c:v>-5.7386363456313205E-5</c:v>
                </c:pt>
                <c:pt idx="3">
                  <c:v>-3.3001569891746006E-4</c:v>
                </c:pt>
                <c:pt idx="4">
                  <c:v>-5.0966677868254399E-4</c:v>
                </c:pt>
                <c:pt idx="5">
                  <c:v>-5.1342458632102999E-4</c:v>
                </c:pt>
                <c:pt idx="6">
                  <c:v>-2.9939233663882087E-4</c:v>
                </c:pt>
                <c:pt idx="7">
                  <c:v>-2.9479899952036939E-4</c:v>
                </c:pt>
                <c:pt idx="8">
                  <c:v>1.9246442135675231E-5</c:v>
                </c:pt>
                <c:pt idx="9">
                  <c:v>2.5116484539474722E-4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41943</c:v>
                </c:pt>
                <c:pt idx="1">
                  <c:v>41962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8.9792131359708058E-4</c:v>
                </c:pt>
                <c:pt idx="1">
                  <c:v>9.6707908540290082E-4</c:v>
                </c:pt>
                <c:pt idx="2">
                  <c:v>1.1323863634563613E-3</c:v>
                </c:pt>
                <c:pt idx="3">
                  <c:v>1.3550156989174027E-3</c:v>
                </c:pt>
                <c:pt idx="4">
                  <c:v>1.4846667786824921E-3</c:v>
                </c:pt>
                <c:pt idx="5">
                  <c:v>1.5884245863210782E-3</c:v>
                </c:pt>
                <c:pt idx="6">
                  <c:v>1.574392336638847E-3</c:v>
                </c:pt>
                <c:pt idx="7">
                  <c:v>1.819798999520368E-3</c:v>
                </c:pt>
                <c:pt idx="8">
                  <c:v>1.7557535578644069E-3</c:v>
                </c:pt>
                <c:pt idx="9">
                  <c:v>1.8738351546052964E-3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78016"/>
        <c:axId val="577079552"/>
      </c:scatterChart>
      <c:valAx>
        <c:axId val="5770780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7079552"/>
        <c:crosses val="autoZero"/>
        <c:crossBetween val="midCat"/>
      </c:valAx>
      <c:valAx>
        <c:axId val="577079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70780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497703900884199"/>
          <c:y val="0.64563858896988224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41943</c:v>
                </c:pt>
                <c:pt idx="1">
                  <c:v>41974</c:v>
                </c:pt>
                <c:pt idx="2">
                  <c:v>42006</c:v>
                </c:pt>
                <c:pt idx="3">
                  <c:v>42037</c:v>
                </c:pt>
                <c:pt idx="4">
                  <c:v>42065</c:v>
                </c:pt>
                <c:pt idx="5">
                  <c:v>42096</c:v>
                </c:pt>
                <c:pt idx="6">
                  <c:v>42128</c:v>
                </c:pt>
                <c:pt idx="7">
                  <c:v>42159</c:v>
                </c:pt>
                <c:pt idx="8">
                  <c:v>42191</c:v>
                </c:pt>
                <c:pt idx="9">
                  <c:v>42222</c:v>
                </c:pt>
                <c:pt idx="10">
                  <c:v>42254</c:v>
                </c:pt>
                <c:pt idx="11">
                  <c:v>42284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42411</c:v>
                </c:pt>
                <c:pt idx="16">
                  <c:v>42440</c:v>
                </c:pt>
                <c:pt idx="17">
                  <c:v>42471</c:v>
                </c:pt>
                <c:pt idx="18">
                  <c:v>42501</c:v>
                </c:pt>
                <c:pt idx="19">
                  <c:v>42534</c:v>
                </c:pt>
                <c:pt idx="20">
                  <c:v>42564</c:v>
                </c:pt>
                <c:pt idx="21">
                  <c:v>42597</c:v>
                </c:pt>
                <c:pt idx="22">
                  <c:v>42628</c:v>
                </c:pt>
                <c:pt idx="23">
                  <c:v>42660</c:v>
                </c:pt>
                <c:pt idx="24">
                  <c:v>42691</c:v>
                </c:pt>
                <c:pt idx="25">
                  <c:v>42723</c:v>
                </c:pt>
                <c:pt idx="26">
                  <c:v>42754</c:v>
                </c:pt>
                <c:pt idx="27">
                  <c:v>42786</c:v>
                </c:pt>
                <c:pt idx="28">
                  <c:v>42814</c:v>
                </c:pt>
                <c:pt idx="29">
                  <c:v>42845</c:v>
                </c:pt>
                <c:pt idx="30">
                  <c:v>42877</c:v>
                </c:pt>
                <c:pt idx="31">
                  <c:v>42908</c:v>
                </c:pt>
                <c:pt idx="32">
                  <c:v>42940</c:v>
                </c:pt>
                <c:pt idx="33">
                  <c:v>42971</c:v>
                </c:pt>
                <c:pt idx="34">
                  <c:v>43003</c:v>
                </c:pt>
                <c:pt idx="35">
                  <c:v>43033</c:v>
                </c:pt>
                <c:pt idx="36">
                  <c:v>43066</c:v>
                </c:pt>
                <c:pt idx="37">
                  <c:v>43096</c:v>
                </c:pt>
                <c:pt idx="38">
                  <c:v>43129</c:v>
                </c:pt>
                <c:pt idx="39">
                  <c:v>43159</c:v>
                </c:pt>
                <c:pt idx="40">
                  <c:v>43187</c:v>
                </c:pt>
                <c:pt idx="41">
                  <c:v>43220</c:v>
                </c:pt>
                <c:pt idx="42">
                  <c:v>43250</c:v>
                </c:pt>
                <c:pt idx="43">
                  <c:v>43283</c:v>
                </c:pt>
                <c:pt idx="44">
                  <c:v>43314</c:v>
                </c:pt>
                <c:pt idx="45">
                  <c:v>43346</c:v>
                </c:pt>
                <c:pt idx="46">
                  <c:v>43376</c:v>
                </c:pt>
                <c:pt idx="47">
                  <c:v>43409</c:v>
                </c:pt>
                <c:pt idx="48">
                  <c:v>43439</c:v>
                </c:pt>
                <c:pt idx="49">
                  <c:v>43472</c:v>
                </c:pt>
                <c:pt idx="50">
                  <c:v>43503</c:v>
                </c:pt>
                <c:pt idx="51">
                  <c:v>43531</c:v>
                </c:pt>
                <c:pt idx="52">
                  <c:v>43563</c:v>
                </c:pt>
                <c:pt idx="53">
                  <c:v>43593</c:v>
                </c:pt>
                <c:pt idx="54">
                  <c:v>43626</c:v>
                </c:pt>
                <c:pt idx="55">
                  <c:v>43656</c:v>
                </c:pt>
                <c:pt idx="56">
                  <c:v>43689</c:v>
                </c:pt>
                <c:pt idx="57">
                  <c:v>43720</c:v>
                </c:pt>
                <c:pt idx="58">
                  <c:v>43752</c:v>
                </c:pt>
                <c:pt idx="59">
                  <c:v>43783</c:v>
                </c:pt>
                <c:pt idx="60">
                  <c:v>43815</c:v>
                </c:pt>
                <c:pt idx="61">
                  <c:v>43846</c:v>
                </c:pt>
                <c:pt idx="62">
                  <c:v>43878</c:v>
                </c:pt>
                <c:pt idx="63">
                  <c:v>43907</c:v>
                </c:pt>
                <c:pt idx="64">
                  <c:v>43938</c:v>
                </c:pt>
                <c:pt idx="65">
                  <c:v>43969</c:v>
                </c:pt>
                <c:pt idx="66">
                  <c:v>44000</c:v>
                </c:pt>
                <c:pt idx="67">
                  <c:v>44032</c:v>
                </c:pt>
                <c:pt idx="68">
                  <c:v>44063</c:v>
                </c:pt>
                <c:pt idx="69">
                  <c:v>44095</c:v>
                </c:pt>
                <c:pt idx="70">
                  <c:v>44125</c:v>
                </c:pt>
                <c:pt idx="71">
                  <c:v>44158</c:v>
                </c:pt>
                <c:pt idx="72">
                  <c:v>44188</c:v>
                </c:pt>
                <c:pt idx="73">
                  <c:v>44221</c:v>
                </c:pt>
                <c:pt idx="74">
                  <c:v>44252</c:v>
                </c:pt>
                <c:pt idx="75">
                  <c:v>44280</c:v>
                </c:pt>
                <c:pt idx="76">
                  <c:v>44312</c:v>
                </c:pt>
                <c:pt idx="77">
                  <c:v>44342</c:v>
                </c:pt>
                <c:pt idx="78">
                  <c:v>44375</c:v>
                </c:pt>
                <c:pt idx="79">
                  <c:v>44405</c:v>
                </c:pt>
                <c:pt idx="80">
                  <c:v>44438</c:v>
                </c:pt>
                <c:pt idx="81">
                  <c:v>44469</c:v>
                </c:pt>
                <c:pt idx="82">
                  <c:v>44501</c:v>
                </c:pt>
                <c:pt idx="83">
                  <c:v>44531</c:v>
                </c:pt>
                <c:pt idx="84">
                  <c:v>44564</c:v>
                </c:pt>
                <c:pt idx="85">
                  <c:v>44595</c:v>
                </c:pt>
                <c:pt idx="86">
                  <c:v>44623</c:v>
                </c:pt>
                <c:pt idx="87">
                  <c:v>44655</c:v>
                </c:pt>
                <c:pt idx="88">
                  <c:v>44685</c:v>
                </c:pt>
                <c:pt idx="89">
                  <c:v>44718</c:v>
                </c:pt>
                <c:pt idx="90">
                  <c:v>44748</c:v>
                </c:pt>
                <c:pt idx="91">
                  <c:v>44781</c:v>
                </c:pt>
                <c:pt idx="92">
                  <c:v>44812</c:v>
                </c:pt>
                <c:pt idx="93">
                  <c:v>44844</c:v>
                </c:pt>
                <c:pt idx="94">
                  <c:v>44875</c:v>
                </c:pt>
                <c:pt idx="95">
                  <c:v>44907</c:v>
                </c:pt>
                <c:pt idx="96">
                  <c:v>44938</c:v>
                </c:pt>
                <c:pt idx="97">
                  <c:v>44970</c:v>
                </c:pt>
                <c:pt idx="98">
                  <c:v>44998</c:v>
                </c:pt>
                <c:pt idx="99">
                  <c:v>45029</c:v>
                </c:pt>
                <c:pt idx="100">
                  <c:v>45061</c:v>
                </c:pt>
                <c:pt idx="101">
                  <c:v>45092</c:v>
                </c:pt>
                <c:pt idx="102">
                  <c:v>45124</c:v>
                </c:pt>
                <c:pt idx="103">
                  <c:v>45155</c:v>
                </c:pt>
                <c:pt idx="104">
                  <c:v>45187</c:v>
                </c:pt>
                <c:pt idx="105">
                  <c:v>45217</c:v>
                </c:pt>
                <c:pt idx="106">
                  <c:v>45250</c:v>
                </c:pt>
                <c:pt idx="107">
                  <c:v>45280</c:v>
                </c:pt>
                <c:pt idx="108">
                  <c:v>45313</c:v>
                </c:pt>
                <c:pt idx="109">
                  <c:v>45344</c:v>
                </c:pt>
                <c:pt idx="110">
                  <c:v>45373</c:v>
                </c:pt>
                <c:pt idx="111">
                  <c:v>45404</c:v>
                </c:pt>
                <c:pt idx="112">
                  <c:v>45434</c:v>
                </c:pt>
                <c:pt idx="113">
                  <c:v>45467</c:v>
                </c:pt>
                <c:pt idx="114">
                  <c:v>45497</c:v>
                </c:pt>
                <c:pt idx="115">
                  <c:v>45530</c:v>
                </c:pt>
                <c:pt idx="116">
                  <c:v>45561</c:v>
                </c:pt>
                <c:pt idx="117">
                  <c:v>45593</c:v>
                </c:pt>
                <c:pt idx="118">
                  <c:v>45624</c:v>
                </c:pt>
                <c:pt idx="119">
                  <c:v>45656</c:v>
                </c:pt>
                <c:pt idx="120">
                  <c:v>45687</c:v>
                </c:pt>
                <c:pt idx="121">
                  <c:v>45716</c:v>
                </c:pt>
                <c:pt idx="122">
                  <c:v>45744</c:v>
                </c:pt>
                <c:pt idx="123">
                  <c:v>45775</c:v>
                </c:pt>
                <c:pt idx="124">
                  <c:v>45805</c:v>
                </c:pt>
                <c:pt idx="125">
                  <c:v>45838</c:v>
                </c:pt>
                <c:pt idx="126">
                  <c:v>45868</c:v>
                </c:pt>
                <c:pt idx="127">
                  <c:v>45901</c:v>
                </c:pt>
                <c:pt idx="128">
                  <c:v>45931</c:v>
                </c:pt>
                <c:pt idx="129">
                  <c:v>45964</c:v>
                </c:pt>
                <c:pt idx="130">
                  <c:v>45994</c:v>
                </c:pt>
                <c:pt idx="131">
                  <c:v>46027</c:v>
                </c:pt>
                <c:pt idx="132">
                  <c:v>46058</c:v>
                </c:pt>
                <c:pt idx="133">
                  <c:v>46086</c:v>
                </c:pt>
                <c:pt idx="134">
                  <c:v>46119</c:v>
                </c:pt>
                <c:pt idx="135">
                  <c:v>46149</c:v>
                </c:pt>
                <c:pt idx="136">
                  <c:v>46181</c:v>
                </c:pt>
                <c:pt idx="137">
                  <c:v>46211</c:v>
                </c:pt>
                <c:pt idx="138">
                  <c:v>46244</c:v>
                </c:pt>
                <c:pt idx="139">
                  <c:v>46275</c:v>
                </c:pt>
                <c:pt idx="140">
                  <c:v>46307</c:v>
                </c:pt>
                <c:pt idx="141">
                  <c:v>46338</c:v>
                </c:pt>
                <c:pt idx="142">
                  <c:v>46370</c:v>
                </c:pt>
                <c:pt idx="143">
                  <c:v>46401</c:v>
                </c:pt>
                <c:pt idx="144">
                  <c:v>46433</c:v>
                </c:pt>
                <c:pt idx="145">
                  <c:v>46461</c:v>
                </c:pt>
                <c:pt idx="146">
                  <c:v>46492</c:v>
                </c:pt>
                <c:pt idx="147">
                  <c:v>46524</c:v>
                </c:pt>
                <c:pt idx="148">
                  <c:v>46555</c:v>
                </c:pt>
                <c:pt idx="149">
                  <c:v>46587</c:v>
                </c:pt>
                <c:pt idx="150">
                  <c:v>46618</c:v>
                </c:pt>
                <c:pt idx="151">
                  <c:v>46650</c:v>
                </c:pt>
                <c:pt idx="152">
                  <c:v>46680</c:v>
                </c:pt>
                <c:pt idx="153">
                  <c:v>46713</c:v>
                </c:pt>
                <c:pt idx="154">
                  <c:v>46743</c:v>
                </c:pt>
                <c:pt idx="155">
                  <c:v>46776</c:v>
                </c:pt>
                <c:pt idx="156">
                  <c:v>46807</c:v>
                </c:pt>
                <c:pt idx="157">
                  <c:v>46836</c:v>
                </c:pt>
                <c:pt idx="158">
                  <c:v>46867</c:v>
                </c:pt>
                <c:pt idx="159">
                  <c:v>46897</c:v>
                </c:pt>
                <c:pt idx="160">
                  <c:v>46930</c:v>
                </c:pt>
                <c:pt idx="161">
                  <c:v>46960</c:v>
                </c:pt>
                <c:pt idx="162">
                  <c:v>46993</c:v>
                </c:pt>
                <c:pt idx="163">
                  <c:v>47024</c:v>
                </c:pt>
                <c:pt idx="164">
                  <c:v>47056</c:v>
                </c:pt>
                <c:pt idx="165">
                  <c:v>47087</c:v>
                </c:pt>
                <c:pt idx="166">
                  <c:v>47120</c:v>
                </c:pt>
                <c:pt idx="167">
                  <c:v>47151</c:v>
                </c:pt>
                <c:pt idx="168">
                  <c:v>47179</c:v>
                </c:pt>
                <c:pt idx="169">
                  <c:v>47211</c:v>
                </c:pt>
                <c:pt idx="170">
                  <c:v>47241</c:v>
                </c:pt>
                <c:pt idx="171">
                  <c:v>47273</c:v>
                </c:pt>
                <c:pt idx="172">
                  <c:v>47303</c:v>
                </c:pt>
                <c:pt idx="173">
                  <c:v>47336</c:v>
                </c:pt>
                <c:pt idx="174">
                  <c:v>47367</c:v>
                </c:pt>
                <c:pt idx="175">
                  <c:v>47399</c:v>
                </c:pt>
                <c:pt idx="176">
                  <c:v>47430</c:v>
                </c:pt>
                <c:pt idx="177">
                  <c:v>47462</c:v>
                </c:pt>
                <c:pt idx="178">
                  <c:v>47493</c:v>
                </c:pt>
                <c:pt idx="179">
                  <c:v>47525</c:v>
                </c:pt>
                <c:pt idx="180">
                  <c:v>47553</c:v>
                </c:pt>
                <c:pt idx="181">
                  <c:v>47584</c:v>
                </c:pt>
                <c:pt idx="182">
                  <c:v>47616</c:v>
                </c:pt>
                <c:pt idx="183">
                  <c:v>47647</c:v>
                </c:pt>
                <c:pt idx="184">
                  <c:v>47679</c:v>
                </c:pt>
                <c:pt idx="185">
                  <c:v>47710</c:v>
                </c:pt>
                <c:pt idx="186">
                  <c:v>47742</c:v>
                </c:pt>
                <c:pt idx="187">
                  <c:v>47772</c:v>
                </c:pt>
                <c:pt idx="188">
                  <c:v>47805</c:v>
                </c:pt>
                <c:pt idx="189">
                  <c:v>47835</c:v>
                </c:pt>
                <c:pt idx="190">
                  <c:v>47868</c:v>
                </c:pt>
                <c:pt idx="191">
                  <c:v>47899</c:v>
                </c:pt>
                <c:pt idx="192">
                  <c:v>47927</c:v>
                </c:pt>
                <c:pt idx="193">
                  <c:v>47959</c:v>
                </c:pt>
                <c:pt idx="194">
                  <c:v>47989</c:v>
                </c:pt>
                <c:pt idx="195">
                  <c:v>48022</c:v>
                </c:pt>
                <c:pt idx="196">
                  <c:v>48052</c:v>
                </c:pt>
                <c:pt idx="197">
                  <c:v>48085</c:v>
                </c:pt>
                <c:pt idx="198">
                  <c:v>48116</c:v>
                </c:pt>
                <c:pt idx="199">
                  <c:v>48148</c:v>
                </c:pt>
                <c:pt idx="200">
                  <c:v>48179</c:v>
                </c:pt>
                <c:pt idx="201">
                  <c:v>48211</c:v>
                </c:pt>
                <c:pt idx="202">
                  <c:v>48242</c:v>
                </c:pt>
                <c:pt idx="203">
                  <c:v>48274</c:v>
                </c:pt>
                <c:pt idx="204">
                  <c:v>48305</c:v>
                </c:pt>
                <c:pt idx="205">
                  <c:v>48337</c:v>
                </c:pt>
                <c:pt idx="206">
                  <c:v>48368</c:v>
                </c:pt>
                <c:pt idx="207">
                  <c:v>48400</c:v>
                </c:pt>
                <c:pt idx="208">
                  <c:v>48431</c:v>
                </c:pt>
                <c:pt idx="209">
                  <c:v>48463</c:v>
                </c:pt>
                <c:pt idx="210">
                  <c:v>48493</c:v>
                </c:pt>
                <c:pt idx="211">
                  <c:v>48526</c:v>
                </c:pt>
                <c:pt idx="212">
                  <c:v>48556</c:v>
                </c:pt>
                <c:pt idx="213">
                  <c:v>48589</c:v>
                </c:pt>
                <c:pt idx="214">
                  <c:v>48620</c:v>
                </c:pt>
                <c:pt idx="215">
                  <c:v>48648</c:v>
                </c:pt>
                <c:pt idx="216">
                  <c:v>48680</c:v>
                </c:pt>
                <c:pt idx="217">
                  <c:v>48710</c:v>
                </c:pt>
                <c:pt idx="218">
                  <c:v>48743</c:v>
                </c:pt>
                <c:pt idx="219">
                  <c:v>48773</c:v>
                </c:pt>
                <c:pt idx="220">
                  <c:v>48806</c:v>
                </c:pt>
                <c:pt idx="221">
                  <c:v>48837</c:v>
                </c:pt>
                <c:pt idx="222">
                  <c:v>48869</c:v>
                </c:pt>
                <c:pt idx="223">
                  <c:v>48900</c:v>
                </c:pt>
                <c:pt idx="224">
                  <c:v>48932</c:v>
                </c:pt>
                <c:pt idx="225">
                  <c:v>48963</c:v>
                </c:pt>
                <c:pt idx="226">
                  <c:v>48995</c:v>
                </c:pt>
                <c:pt idx="227">
                  <c:v>49023</c:v>
                </c:pt>
                <c:pt idx="228">
                  <c:v>49054</c:v>
                </c:pt>
                <c:pt idx="229">
                  <c:v>49086</c:v>
                </c:pt>
                <c:pt idx="230">
                  <c:v>49117</c:v>
                </c:pt>
                <c:pt idx="231">
                  <c:v>49149</c:v>
                </c:pt>
                <c:pt idx="232">
                  <c:v>49180</c:v>
                </c:pt>
                <c:pt idx="233">
                  <c:v>49212</c:v>
                </c:pt>
                <c:pt idx="234">
                  <c:v>49242</c:v>
                </c:pt>
                <c:pt idx="235">
                  <c:v>49275</c:v>
                </c:pt>
                <c:pt idx="236">
                  <c:v>49305</c:v>
                </c:pt>
                <c:pt idx="237">
                  <c:v>49338</c:v>
                </c:pt>
                <c:pt idx="238">
                  <c:v>49368</c:v>
                </c:pt>
                <c:pt idx="239">
                  <c:v>49396</c:v>
                </c:pt>
                <c:pt idx="240">
                  <c:v>49429</c:v>
                </c:pt>
                <c:pt idx="241">
                  <c:v>49459</c:v>
                </c:pt>
                <c:pt idx="242">
                  <c:v>49492</c:v>
                </c:pt>
                <c:pt idx="243">
                  <c:v>49523</c:v>
                </c:pt>
                <c:pt idx="244">
                  <c:v>49555</c:v>
                </c:pt>
                <c:pt idx="245">
                  <c:v>49585</c:v>
                </c:pt>
                <c:pt idx="246">
                  <c:v>49618</c:v>
                </c:pt>
                <c:pt idx="247">
                  <c:v>49648</c:v>
                </c:pt>
                <c:pt idx="248">
                  <c:v>49681</c:v>
                </c:pt>
                <c:pt idx="249">
                  <c:v>49712</c:v>
                </c:pt>
                <c:pt idx="250">
                  <c:v>49741</c:v>
                </c:pt>
                <c:pt idx="251">
                  <c:v>49772</c:v>
                </c:pt>
                <c:pt idx="252">
                  <c:v>49802</c:v>
                </c:pt>
                <c:pt idx="253">
                  <c:v>49835</c:v>
                </c:pt>
                <c:pt idx="254">
                  <c:v>49865</c:v>
                </c:pt>
                <c:pt idx="255">
                  <c:v>49898</c:v>
                </c:pt>
                <c:pt idx="256">
                  <c:v>49929</c:v>
                </c:pt>
                <c:pt idx="257">
                  <c:v>49961</c:v>
                </c:pt>
                <c:pt idx="258">
                  <c:v>49992</c:v>
                </c:pt>
                <c:pt idx="259">
                  <c:v>50024</c:v>
                </c:pt>
                <c:pt idx="260">
                  <c:v>50055</c:v>
                </c:pt>
                <c:pt idx="261">
                  <c:v>50087</c:v>
                </c:pt>
                <c:pt idx="262">
                  <c:v>50115</c:v>
                </c:pt>
                <c:pt idx="263">
                  <c:v>50146</c:v>
                </c:pt>
                <c:pt idx="264">
                  <c:v>50178</c:v>
                </c:pt>
                <c:pt idx="265">
                  <c:v>50209</c:v>
                </c:pt>
                <c:pt idx="266">
                  <c:v>50241</c:v>
                </c:pt>
                <c:pt idx="267">
                  <c:v>50272</c:v>
                </c:pt>
                <c:pt idx="268">
                  <c:v>50304</c:v>
                </c:pt>
                <c:pt idx="269">
                  <c:v>50334</c:v>
                </c:pt>
                <c:pt idx="270">
                  <c:v>50367</c:v>
                </c:pt>
                <c:pt idx="271">
                  <c:v>50397</c:v>
                </c:pt>
                <c:pt idx="272">
                  <c:v>50430</c:v>
                </c:pt>
                <c:pt idx="273">
                  <c:v>50461</c:v>
                </c:pt>
                <c:pt idx="274">
                  <c:v>50489</c:v>
                </c:pt>
                <c:pt idx="275">
                  <c:v>50522</c:v>
                </c:pt>
                <c:pt idx="276">
                  <c:v>50552</c:v>
                </c:pt>
                <c:pt idx="277">
                  <c:v>50584</c:v>
                </c:pt>
                <c:pt idx="278">
                  <c:v>50614</c:v>
                </c:pt>
                <c:pt idx="279">
                  <c:v>50647</c:v>
                </c:pt>
                <c:pt idx="280">
                  <c:v>50678</c:v>
                </c:pt>
                <c:pt idx="281">
                  <c:v>50710</c:v>
                </c:pt>
                <c:pt idx="282">
                  <c:v>50740</c:v>
                </c:pt>
                <c:pt idx="283">
                  <c:v>50773</c:v>
                </c:pt>
                <c:pt idx="284">
                  <c:v>50804</c:v>
                </c:pt>
                <c:pt idx="285">
                  <c:v>50832</c:v>
                </c:pt>
                <c:pt idx="286">
                  <c:v>50864</c:v>
                </c:pt>
                <c:pt idx="287">
                  <c:v>50894</c:v>
                </c:pt>
                <c:pt idx="288">
                  <c:v>50927</c:v>
                </c:pt>
                <c:pt idx="289">
                  <c:v>50957</c:v>
                </c:pt>
                <c:pt idx="290">
                  <c:v>50990</c:v>
                </c:pt>
                <c:pt idx="291">
                  <c:v>51021</c:v>
                </c:pt>
                <c:pt idx="292">
                  <c:v>51053</c:v>
                </c:pt>
                <c:pt idx="293">
                  <c:v>51084</c:v>
                </c:pt>
                <c:pt idx="294">
                  <c:v>51116</c:v>
                </c:pt>
                <c:pt idx="295">
                  <c:v>51147</c:v>
                </c:pt>
                <c:pt idx="296">
                  <c:v>51179</c:v>
                </c:pt>
                <c:pt idx="297">
                  <c:v>51208</c:v>
                </c:pt>
                <c:pt idx="298">
                  <c:v>51239</c:v>
                </c:pt>
                <c:pt idx="299">
                  <c:v>51270</c:v>
                </c:pt>
                <c:pt idx="300">
                  <c:v>51301</c:v>
                </c:pt>
                <c:pt idx="301">
                  <c:v>51333</c:v>
                </c:pt>
                <c:pt idx="302">
                  <c:v>51364</c:v>
                </c:pt>
                <c:pt idx="303">
                  <c:v>51396</c:v>
                </c:pt>
                <c:pt idx="304">
                  <c:v>51426</c:v>
                </c:pt>
                <c:pt idx="305">
                  <c:v>51459</c:v>
                </c:pt>
                <c:pt idx="306">
                  <c:v>51489</c:v>
                </c:pt>
                <c:pt idx="307">
                  <c:v>51522</c:v>
                </c:pt>
                <c:pt idx="308">
                  <c:v>51553</c:v>
                </c:pt>
                <c:pt idx="309">
                  <c:v>51581</c:v>
                </c:pt>
                <c:pt idx="310">
                  <c:v>51614</c:v>
                </c:pt>
                <c:pt idx="311">
                  <c:v>51644</c:v>
                </c:pt>
                <c:pt idx="312">
                  <c:v>51676</c:v>
                </c:pt>
                <c:pt idx="313">
                  <c:v>51706</c:v>
                </c:pt>
                <c:pt idx="314">
                  <c:v>51739</c:v>
                </c:pt>
                <c:pt idx="315">
                  <c:v>51770</c:v>
                </c:pt>
                <c:pt idx="316">
                  <c:v>51802</c:v>
                </c:pt>
                <c:pt idx="317">
                  <c:v>51833</c:v>
                </c:pt>
                <c:pt idx="318">
                  <c:v>51865</c:v>
                </c:pt>
                <c:pt idx="319">
                  <c:v>51896</c:v>
                </c:pt>
                <c:pt idx="320">
                  <c:v>51925</c:v>
                </c:pt>
                <c:pt idx="321">
                  <c:v>51953</c:v>
                </c:pt>
                <c:pt idx="322">
                  <c:v>51984</c:v>
                </c:pt>
                <c:pt idx="323">
                  <c:v>52014</c:v>
                </c:pt>
                <c:pt idx="324">
                  <c:v>52047</c:v>
                </c:pt>
                <c:pt idx="325">
                  <c:v>52077</c:v>
                </c:pt>
                <c:pt idx="326">
                  <c:v>52110</c:v>
                </c:pt>
                <c:pt idx="327">
                  <c:v>52140</c:v>
                </c:pt>
                <c:pt idx="328">
                  <c:v>52173</c:v>
                </c:pt>
                <c:pt idx="329">
                  <c:v>52203</c:v>
                </c:pt>
                <c:pt idx="330">
                  <c:v>52236</c:v>
                </c:pt>
                <c:pt idx="331">
                  <c:v>52267</c:v>
                </c:pt>
                <c:pt idx="332">
                  <c:v>52295</c:v>
                </c:pt>
                <c:pt idx="333">
                  <c:v>52327</c:v>
                </c:pt>
                <c:pt idx="334">
                  <c:v>52357</c:v>
                </c:pt>
                <c:pt idx="335">
                  <c:v>52390</c:v>
                </c:pt>
                <c:pt idx="336">
                  <c:v>52420</c:v>
                </c:pt>
                <c:pt idx="337">
                  <c:v>52453</c:v>
                </c:pt>
                <c:pt idx="338">
                  <c:v>52484</c:v>
                </c:pt>
                <c:pt idx="339">
                  <c:v>52516</c:v>
                </c:pt>
                <c:pt idx="340">
                  <c:v>52547</c:v>
                </c:pt>
                <c:pt idx="341">
                  <c:v>52579</c:v>
                </c:pt>
                <c:pt idx="342">
                  <c:v>52610</c:v>
                </c:pt>
                <c:pt idx="343">
                  <c:v>52642</c:v>
                </c:pt>
                <c:pt idx="344">
                  <c:v>52671</c:v>
                </c:pt>
                <c:pt idx="345">
                  <c:v>52706</c:v>
                </c:pt>
                <c:pt idx="346">
                  <c:v>52736</c:v>
                </c:pt>
                <c:pt idx="347">
                  <c:v>52768</c:v>
                </c:pt>
                <c:pt idx="348">
                  <c:v>52798</c:v>
                </c:pt>
                <c:pt idx="349">
                  <c:v>52831</c:v>
                </c:pt>
                <c:pt idx="350">
                  <c:v>52862</c:v>
                </c:pt>
                <c:pt idx="351">
                  <c:v>52894</c:v>
                </c:pt>
                <c:pt idx="352">
                  <c:v>52925</c:v>
                </c:pt>
                <c:pt idx="353">
                  <c:v>52958</c:v>
                </c:pt>
                <c:pt idx="354">
                  <c:v>52989</c:v>
                </c:pt>
                <c:pt idx="355">
                  <c:v>53020</c:v>
                </c:pt>
                <c:pt idx="356">
                  <c:v>53048</c:v>
                </c:pt>
                <c:pt idx="357">
                  <c:v>53079</c:v>
                </c:pt>
                <c:pt idx="358">
                  <c:v>53111</c:v>
                </c:pt>
                <c:pt idx="359">
                  <c:v>53142</c:v>
                </c:pt>
                <c:pt idx="360">
                  <c:v>53174</c:v>
                </c:pt>
                <c:pt idx="361">
                  <c:v>53205</c:v>
                </c:pt>
                <c:pt idx="362">
                  <c:v>53237</c:v>
                </c:pt>
                <c:pt idx="363">
                  <c:v>53268</c:v>
                </c:pt>
                <c:pt idx="364">
                  <c:v>53300</c:v>
                </c:pt>
                <c:pt idx="365">
                  <c:v>53331</c:v>
                </c:pt>
                <c:pt idx="366">
                  <c:v>53363</c:v>
                </c:pt>
                <c:pt idx="367">
                  <c:v>53391</c:v>
                </c:pt>
                <c:pt idx="368">
                  <c:v>53422</c:v>
                </c:pt>
                <c:pt idx="369">
                  <c:v>53454</c:v>
                </c:pt>
                <c:pt idx="370">
                  <c:v>53485</c:v>
                </c:pt>
                <c:pt idx="371">
                  <c:v>53517</c:v>
                </c:pt>
                <c:pt idx="372">
                  <c:v>53548</c:v>
                </c:pt>
                <c:pt idx="373">
                  <c:v>53580</c:v>
                </c:pt>
                <c:pt idx="374">
                  <c:v>53610</c:v>
                </c:pt>
                <c:pt idx="375">
                  <c:v>53643</c:v>
                </c:pt>
                <c:pt idx="376">
                  <c:v>53673</c:v>
                </c:pt>
                <c:pt idx="377">
                  <c:v>53706</c:v>
                </c:pt>
                <c:pt idx="378">
                  <c:v>53737</c:v>
                </c:pt>
                <c:pt idx="379">
                  <c:v>53765</c:v>
                </c:pt>
                <c:pt idx="380">
                  <c:v>53798</c:v>
                </c:pt>
                <c:pt idx="381">
                  <c:v>53828</c:v>
                </c:pt>
                <c:pt idx="382">
                  <c:v>53860</c:v>
                </c:pt>
                <c:pt idx="383">
                  <c:v>53890</c:v>
                </c:pt>
                <c:pt idx="384">
                  <c:v>53923</c:v>
                </c:pt>
                <c:pt idx="385">
                  <c:v>53954</c:v>
                </c:pt>
                <c:pt idx="386">
                  <c:v>53986</c:v>
                </c:pt>
                <c:pt idx="387">
                  <c:v>54017</c:v>
                </c:pt>
                <c:pt idx="388">
                  <c:v>54049</c:v>
                </c:pt>
                <c:pt idx="389">
                  <c:v>54080</c:v>
                </c:pt>
                <c:pt idx="390">
                  <c:v>54112</c:v>
                </c:pt>
                <c:pt idx="391">
                  <c:v>54141</c:v>
                </c:pt>
                <c:pt idx="392">
                  <c:v>54172</c:v>
                </c:pt>
                <c:pt idx="393">
                  <c:v>54203</c:v>
                </c:pt>
                <c:pt idx="394">
                  <c:v>54234</c:v>
                </c:pt>
                <c:pt idx="395">
                  <c:v>54266</c:v>
                </c:pt>
                <c:pt idx="396">
                  <c:v>54297</c:v>
                </c:pt>
                <c:pt idx="397">
                  <c:v>54329</c:v>
                </c:pt>
                <c:pt idx="398">
                  <c:v>54359</c:v>
                </c:pt>
                <c:pt idx="399">
                  <c:v>54392</c:v>
                </c:pt>
                <c:pt idx="400">
                  <c:v>54422</c:v>
                </c:pt>
                <c:pt idx="401">
                  <c:v>54455</c:v>
                </c:pt>
                <c:pt idx="402">
                  <c:v>54483</c:v>
                </c:pt>
                <c:pt idx="403">
                  <c:v>54514</c:v>
                </c:pt>
                <c:pt idx="404">
                  <c:v>54546</c:v>
                </c:pt>
                <c:pt idx="405">
                  <c:v>54577</c:v>
                </c:pt>
                <c:pt idx="406">
                  <c:v>54609</c:v>
                </c:pt>
                <c:pt idx="407">
                  <c:v>54640</c:v>
                </c:pt>
                <c:pt idx="408">
                  <c:v>54672</c:v>
                </c:pt>
                <c:pt idx="409">
                  <c:v>54702</c:v>
                </c:pt>
                <c:pt idx="410">
                  <c:v>54735</c:v>
                </c:pt>
                <c:pt idx="411">
                  <c:v>54765</c:v>
                </c:pt>
                <c:pt idx="412">
                  <c:v>54798</c:v>
                </c:pt>
                <c:pt idx="413">
                  <c:v>54829</c:v>
                </c:pt>
                <c:pt idx="414">
                  <c:v>54857</c:v>
                </c:pt>
                <c:pt idx="415">
                  <c:v>54890</c:v>
                </c:pt>
                <c:pt idx="416">
                  <c:v>54920</c:v>
                </c:pt>
                <c:pt idx="417">
                  <c:v>54952</c:v>
                </c:pt>
                <c:pt idx="418">
                  <c:v>54982</c:v>
                </c:pt>
                <c:pt idx="419">
                  <c:v>55015</c:v>
                </c:pt>
                <c:pt idx="420">
                  <c:v>55046</c:v>
                </c:pt>
                <c:pt idx="421">
                  <c:v>55078</c:v>
                </c:pt>
                <c:pt idx="422">
                  <c:v>55109</c:v>
                </c:pt>
                <c:pt idx="423">
                  <c:v>55141</c:v>
                </c:pt>
                <c:pt idx="424">
                  <c:v>55172</c:v>
                </c:pt>
                <c:pt idx="425">
                  <c:v>55204</c:v>
                </c:pt>
                <c:pt idx="426">
                  <c:v>55232</c:v>
                </c:pt>
                <c:pt idx="427">
                  <c:v>55263</c:v>
                </c:pt>
                <c:pt idx="428">
                  <c:v>55295</c:v>
                </c:pt>
                <c:pt idx="429">
                  <c:v>55326</c:v>
                </c:pt>
                <c:pt idx="430">
                  <c:v>55358</c:v>
                </c:pt>
                <c:pt idx="431">
                  <c:v>55389</c:v>
                </c:pt>
                <c:pt idx="432">
                  <c:v>55421</c:v>
                </c:pt>
                <c:pt idx="433">
                  <c:v>55451</c:v>
                </c:pt>
                <c:pt idx="434">
                  <c:v>55484</c:v>
                </c:pt>
                <c:pt idx="435">
                  <c:v>55514</c:v>
                </c:pt>
                <c:pt idx="436">
                  <c:v>55547</c:v>
                </c:pt>
                <c:pt idx="437">
                  <c:v>55578</c:v>
                </c:pt>
                <c:pt idx="438">
                  <c:v>55607</c:v>
                </c:pt>
                <c:pt idx="439">
                  <c:v>55638</c:v>
                </c:pt>
                <c:pt idx="440">
                  <c:v>55668</c:v>
                </c:pt>
                <c:pt idx="441">
                  <c:v>55701</c:v>
                </c:pt>
                <c:pt idx="442">
                  <c:v>55732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55857</c:v>
                </c:pt>
                <c:pt idx="447">
                  <c:v>55890</c:v>
                </c:pt>
                <c:pt idx="448">
                  <c:v>55921</c:v>
                </c:pt>
                <c:pt idx="449">
                  <c:v>55949</c:v>
                </c:pt>
                <c:pt idx="450">
                  <c:v>55982</c:v>
                </c:pt>
                <c:pt idx="451">
                  <c:v>56012</c:v>
                </c:pt>
                <c:pt idx="452">
                  <c:v>56044</c:v>
                </c:pt>
                <c:pt idx="453">
                  <c:v>56074</c:v>
                </c:pt>
                <c:pt idx="454">
                  <c:v>56107</c:v>
                </c:pt>
                <c:pt idx="455">
                  <c:v>56138</c:v>
                </c:pt>
                <c:pt idx="456">
                  <c:v>56170</c:v>
                </c:pt>
                <c:pt idx="457">
                  <c:v>56201</c:v>
                </c:pt>
                <c:pt idx="458">
                  <c:v>56233</c:v>
                </c:pt>
                <c:pt idx="459">
                  <c:v>56264</c:v>
                </c:pt>
                <c:pt idx="460">
                  <c:v>56296</c:v>
                </c:pt>
                <c:pt idx="461">
                  <c:v>56324</c:v>
                </c:pt>
                <c:pt idx="462">
                  <c:v>56355</c:v>
                </c:pt>
                <c:pt idx="463">
                  <c:v>56387</c:v>
                </c:pt>
                <c:pt idx="464">
                  <c:v>56418</c:v>
                </c:pt>
                <c:pt idx="465">
                  <c:v>56450</c:v>
                </c:pt>
                <c:pt idx="466">
                  <c:v>56481</c:v>
                </c:pt>
                <c:pt idx="467">
                  <c:v>56513</c:v>
                </c:pt>
                <c:pt idx="468">
                  <c:v>56543</c:v>
                </c:pt>
                <c:pt idx="469">
                  <c:v>56576</c:v>
                </c:pt>
                <c:pt idx="470">
                  <c:v>56606</c:v>
                </c:pt>
                <c:pt idx="471">
                  <c:v>56639</c:v>
                </c:pt>
                <c:pt idx="472">
                  <c:v>56670</c:v>
                </c:pt>
                <c:pt idx="473">
                  <c:v>56698</c:v>
                </c:pt>
                <c:pt idx="474">
                  <c:v>56730</c:v>
                </c:pt>
                <c:pt idx="475">
                  <c:v>56760</c:v>
                </c:pt>
                <c:pt idx="476">
                  <c:v>56793</c:v>
                </c:pt>
                <c:pt idx="477">
                  <c:v>56823</c:v>
                </c:pt>
                <c:pt idx="478">
                  <c:v>56856</c:v>
                </c:pt>
                <c:pt idx="479">
                  <c:v>56887</c:v>
                </c:pt>
                <c:pt idx="480">
                  <c:v>56919</c:v>
                </c:pt>
                <c:pt idx="481">
                  <c:v>56949</c:v>
                </c:pt>
                <c:pt idx="482">
                  <c:v>56982</c:v>
                </c:pt>
                <c:pt idx="483">
                  <c:v>57013</c:v>
                </c:pt>
                <c:pt idx="484">
                  <c:v>57042</c:v>
                </c:pt>
                <c:pt idx="485">
                  <c:v>57074</c:v>
                </c:pt>
                <c:pt idx="486">
                  <c:v>57104</c:v>
                </c:pt>
                <c:pt idx="487">
                  <c:v>57136</c:v>
                </c:pt>
                <c:pt idx="488">
                  <c:v>57166</c:v>
                </c:pt>
                <c:pt idx="489">
                  <c:v>57199</c:v>
                </c:pt>
                <c:pt idx="490">
                  <c:v>57230</c:v>
                </c:pt>
                <c:pt idx="491">
                  <c:v>57262</c:v>
                </c:pt>
                <c:pt idx="492">
                  <c:v>57293</c:v>
                </c:pt>
                <c:pt idx="493">
                  <c:v>57325</c:v>
                </c:pt>
                <c:pt idx="494">
                  <c:v>57356</c:v>
                </c:pt>
                <c:pt idx="495">
                  <c:v>57388</c:v>
                </c:pt>
                <c:pt idx="496">
                  <c:v>57416</c:v>
                </c:pt>
                <c:pt idx="497">
                  <c:v>57447</c:v>
                </c:pt>
                <c:pt idx="498">
                  <c:v>57479</c:v>
                </c:pt>
                <c:pt idx="499">
                  <c:v>57510</c:v>
                </c:pt>
                <c:pt idx="500">
                  <c:v>57542</c:v>
                </c:pt>
                <c:pt idx="501">
                  <c:v>57573</c:v>
                </c:pt>
                <c:pt idx="502">
                  <c:v>57605</c:v>
                </c:pt>
                <c:pt idx="503">
                  <c:v>57635</c:v>
                </c:pt>
                <c:pt idx="504">
                  <c:v>57668</c:v>
                </c:pt>
                <c:pt idx="505">
                  <c:v>57698</c:v>
                </c:pt>
                <c:pt idx="506">
                  <c:v>57731</c:v>
                </c:pt>
                <c:pt idx="507">
                  <c:v>57762</c:v>
                </c:pt>
                <c:pt idx="508">
                  <c:v>57790</c:v>
                </c:pt>
                <c:pt idx="509">
                  <c:v>57822</c:v>
                </c:pt>
                <c:pt idx="510">
                  <c:v>57852</c:v>
                </c:pt>
                <c:pt idx="511">
                  <c:v>57885</c:v>
                </c:pt>
                <c:pt idx="512">
                  <c:v>57915</c:v>
                </c:pt>
                <c:pt idx="513">
                  <c:v>57948</c:v>
                </c:pt>
                <c:pt idx="514">
                  <c:v>57979</c:v>
                </c:pt>
                <c:pt idx="515">
                  <c:v>58011</c:v>
                </c:pt>
                <c:pt idx="516">
                  <c:v>58042</c:v>
                </c:pt>
                <c:pt idx="517">
                  <c:v>58074</c:v>
                </c:pt>
                <c:pt idx="518">
                  <c:v>58105</c:v>
                </c:pt>
                <c:pt idx="519">
                  <c:v>58134</c:v>
                </c:pt>
                <c:pt idx="520">
                  <c:v>58166</c:v>
                </c:pt>
                <c:pt idx="521">
                  <c:v>58197</c:v>
                </c:pt>
                <c:pt idx="522">
                  <c:v>58228</c:v>
                </c:pt>
                <c:pt idx="523">
                  <c:v>58258</c:v>
                </c:pt>
                <c:pt idx="524">
                  <c:v>58291</c:v>
                </c:pt>
                <c:pt idx="525">
                  <c:v>58322</c:v>
                </c:pt>
                <c:pt idx="526">
                  <c:v>58354</c:v>
                </c:pt>
                <c:pt idx="527">
                  <c:v>58385</c:v>
                </c:pt>
                <c:pt idx="528">
                  <c:v>58417</c:v>
                </c:pt>
                <c:pt idx="529">
                  <c:v>58448</c:v>
                </c:pt>
                <c:pt idx="530">
                  <c:v>58480</c:v>
                </c:pt>
                <c:pt idx="531">
                  <c:v>58509</c:v>
                </c:pt>
                <c:pt idx="532">
                  <c:v>58540</c:v>
                </c:pt>
                <c:pt idx="533">
                  <c:v>58571</c:v>
                </c:pt>
                <c:pt idx="534">
                  <c:v>58602</c:v>
                </c:pt>
                <c:pt idx="535">
                  <c:v>58634</c:v>
                </c:pt>
                <c:pt idx="536">
                  <c:v>58665</c:v>
                </c:pt>
                <c:pt idx="537">
                  <c:v>58697</c:v>
                </c:pt>
                <c:pt idx="538">
                  <c:v>58727</c:v>
                </c:pt>
                <c:pt idx="539">
                  <c:v>58760</c:v>
                </c:pt>
                <c:pt idx="540">
                  <c:v>58790</c:v>
                </c:pt>
                <c:pt idx="541">
                  <c:v>58823</c:v>
                </c:pt>
                <c:pt idx="542">
                  <c:v>58854</c:v>
                </c:pt>
                <c:pt idx="543">
                  <c:v>58882</c:v>
                </c:pt>
                <c:pt idx="544">
                  <c:v>58914</c:v>
                </c:pt>
                <c:pt idx="545">
                  <c:v>58944</c:v>
                </c:pt>
                <c:pt idx="546">
                  <c:v>58977</c:v>
                </c:pt>
                <c:pt idx="547">
                  <c:v>59007</c:v>
                </c:pt>
                <c:pt idx="548">
                  <c:v>59040</c:v>
                </c:pt>
                <c:pt idx="549">
                  <c:v>59071</c:v>
                </c:pt>
                <c:pt idx="550">
                  <c:v>59103</c:v>
                </c:pt>
                <c:pt idx="551">
                  <c:v>59134</c:v>
                </c:pt>
                <c:pt idx="552">
                  <c:v>59167</c:v>
                </c:pt>
                <c:pt idx="553">
                  <c:v>59198</c:v>
                </c:pt>
                <c:pt idx="554">
                  <c:v>59229</c:v>
                </c:pt>
                <c:pt idx="555">
                  <c:v>59258</c:v>
                </c:pt>
                <c:pt idx="556">
                  <c:v>59289</c:v>
                </c:pt>
                <c:pt idx="557">
                  <c:v>59320</c:v>
                </c:pt>
                <c:pt idx="558">
                  <c:v>59351</c:v>
                </c:pt>
                <c:pt idx="559">
                  <c:v>59383</c:v>
                </c:pt>
                <c:pt idx="560">
                  <c:v>59414</c:v>
                </c:pt>
                <c:pt idx="561">
                  <c:v>59446</c:v>
                </c:pt>
                <c:pt idx="562">
                  <c:v>59477</c:v>
                </c:pt>
                <c:pt idx="563">
                  <c:v>59509</c:v>
                </c:pt>
                <c:pt idx="564">
                  <c:v>59540</c:v>
                </c:pt>
                <c:pt idx="565">
                  <c:v>59572</c:v>
                </c:pt>
                <c:pt idx="566">
                  <c:v>59600</c:v>
                </c:pt>
                <c:pt idx="567">
                  <c:v>59631</c:v>
                </c:pt>
                <c:pt idx="568">
                  <c:v>59663</c:v>
                </c:pt>
                <c:pt idx="569">
                  <c:v>59694</c:v>
                </c:pt>
                <c:pt idx="570">
                  <c:v>59726</c:v>
                </c:pt>
                <c:pt idx="571">
                  <c:v>59757</c:v>
                </c:pt>
                <c:pt idx="572">
                  <c:v>59789</c:v>
                </c:pt>
                <c:pt idx="573">
                  <c:v>59819</c:v>
                </c:pt>
                <c:pt idx="574">
                  <c:v>59852</c:v>
                </c:pt>
                <c:pt idx="575">
                  <c:v>59882</c:v>
                </c:pt>
                <c:pt idx="576">
                  <c:v>59915</c:v>
                </c:pt>
                <c:pt idx="577">
                  <c:v>59946</c:v>
                </c:pt>
                <c:pt idx="578">
                  <c:v>59975</c:v>
                </c:pt>
                <c:pt idx="579">
                  <c:v>60006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9.4292875453375947E-4</c:v>
                </c:pt>
                <c:pt idx="1">
                  <c:v>1.0169260165702699E-3</c:v>
                </c:pt>
                <c:pt idx="2">
                  <c:v>1.0886713823321514E-3</c:v>
                </c:pt>
                <c:pt idx="3">
                  <c:v>1.2430718193418805E-3</c:v>
                </c:pt>
                <c:pt idx="4">
                  <c:v>1.3836555471510739E-3</c:v>
                </c:pt>
                <c:pt idx="5">
                  <c:v>1.4462990447180384E-3</c:v>
                </c:pt>
                <c:pt idx="6">
                  <c:v>1.3910630692215915E-3</c:v>
                </c:pt>
                <c:pt idx="7">
                  <c:v>1.4638360686550825E-3</c:v>
                </c:pt>
                <c:pt idx="8">
                  <c:v>1.5005971927007779E-3</c:v>
                </c:pt>
                <c:pt idx="9">
                  <c:v>1.6300713330958563E-3</c:v>
                </c:pt>
                <c:pt idx="10">
                  <c:v>1.5921781298663677E-3</c:v>
                </c:pt>
                <c:pt idx="11">
                  <c:v>1.4856339150434114E-3</c:v>
                </c:pt>
                <c:pt idx="12">
                  <c:v>1.4621434667855503E-3</c:v>
                </c:pt>
                <c:pt idx="13">
                  <c:v>1.5458093156148305E-3</c:v>
                </c:pt>
                <c:pt idx="14">
                  <c:v>1.8088827324528164E-3</c:v>
                </c:pt>
                <c:pt idx="15">
                  <c:v>1.8648715642699543E-3</c:v>
                </c:pt>
                <c:pt idx="16">
                  <c:v>1.827558805100409E-3</c:v>
                </c:pt>
                <c:pt idx="17">
                  <c:v>1.7643142122272225E-3</c:v>
                </c:pt>
                <c:pt idx="18">
                  <c:v>1.7334221188705767E-3</c:v>
                </c:pt>
                <c:pt idx="19">
                  <c:v>1.753272074261275E-3</c:v>
                </c:pt>
                <c:pt idx="20">
                  <c:v>1.7983916694178698E-3</c:v>
                </c:pt>
                <c:pt idx="21">
                  <c:v>1.8447993504333092E-3</c:v>
                </c:pt>
                <c:pt idx="22">
                  <c:v>1.8711925320317145E-3</c:v>
                </c:pt>
                <c:pt idx="23">
                  <c:v>1.8755125243982589E-3</c:v>
                </c:pt>
                <c:pt idx="24">
                  <c:v>1.8637018681026869E-3</c:v>
                </c:pt>
                <c:pt idx="25">
                  <c:v>1.8478228978979282E-3</c:v>
                </c:pt>
                <c:pt idx="26">
                  <c:v>1.8356412854485527E-3</c:v>
                </c:pt>
                <c:pt idx="27">
                  <c:v>1.8279182926117278E-3</c:v>
                </c:pt>
                <c:pt idx="28">
                  <c:v>1.8255367580921132E-3</c:v>
                </c:pt>
                <c:pt idx="29">
                  <c:v>1.8274267064667506E-3</c:v>
                </c:pt>
                <c:pt idx="30">
                  <c:v>1.8347049134808983E-3</c:v>
                </c:pt>
                <c:pt idx="31">
                  <c:v>1.8465660337338313E-3</c:v>
                </c:pt>
                <c:pt idx="32">
                  <c:v>1.8638955401480443E-3</c:v>
                </c:pt>
                <c:pt idx="33">
                  <c:v>1.8854654844317937E-3</c:v>
                </c:pt>
                <c:pt idx="34">
                  <c:v>1.9117096392117978E-3</c:v>
                </c:pt>
                <c:pt idx="35">
                  <c:v>1.9368931413196134E-3</c:v>
                </c:pt>
                <c:pt idx="36">
                  <c:v>1.9648229844874184E-3</c:v>
                </c:pt>
                <c:pt idx="37">
                  <c:v>1.9886534579436339E-3</c:v>
                </c:pt>
                <c:pt idx="38">
                  <c:v>2.0154207428083326E-3</c:v>
                </c:pt>
                <c:pt idx="39">
                  <c:v>2.0481446258752826E-3</c:v>
                </c:pt>
                <c:pt idx="40">
                  <c:v>2.0600928720541619E-3</c:v>
                </c:pt>
                <c:pt idx="41">
                  <c:v>2.0872329464187689E-3</c:v>
                </c:pt>
                <c:pt idx="42">
                  <c:v>2.1052484992003231E-3</c:v>
                </c:pt>
                <c:pt idx="43">
                  <c:v>2.127685612150512E-3</c:v>
                </c:pt>
                <c:pt idx="44">
                  <c:v>2.1480013022537438E-3</c:v>
                </c:pt>
                <c:pt idx="45">
                  <c:v>2.1676585874457269E-3</c:v>
                </c:pt>
                <c:pt idx="46">
                  <c:v>2.1849346459284318E-3</c:v>
                </c:pt>
                <c:pt idx="47">
                  <c:v>2.2004955056274759E-3</c:v>
                </c:pt>
                <c:pt idx="48">
                  <c:v>2.2107670320172801E-3</c:v>
                </c:pt>
                <c:pt idx="49">
                  <c:v>2.2185711187890714E-3</c:v>
                </c:pt>
                <c:pt idx="50">
                  <c:v>2.2218261649320755E-3</c:v>
                </c:pt>
                <c:pt idx="51">
                  <c:v>2.2216517786670092E-3</c:v>
                </c:pt>
                <c:pt idx="52">
                  <c:v>2.2176823248337149E-3</c:v>
                </c:pt>
                <c:pt idx="53">
                  <c:v>2.2101750014870952E-3</c:v>
                </c:pt>
                <c:pt idx="54">
                  <c:v>2.1979553106757019E-3</c:v>
                </c:pt>
                <c:pt idx="55">
                  <c:v>2.1831613510183891E-3</c:v>
                </c:pt>
                <c:pt idx="56">
                  <c:v>2.1628494844019019E-3</c:v>
                </c:pt>
                <c:pt idx="57">
                  <c:v>2.1409440102649986E-3</c:v>
                </c:pt>
                <c:pt idx="58">
                  <c:v>2.1161327206479282E-3</c:v>
                </c:pt>
                <c:pt idx="59">
                  <c:v>2.0926402770244535E-3</c:v>
                </c:pt>
                <c:pt idx="60">
                  <c:v>2.069852396365532E-3</c:v>
                </c:pt>
                <c:pt idx="61">
                  <c:v>2.048653368066599E-3</c:v>
                </c:pt>
                <c:pt idx="62">
                  <c:v>2.0279881269263146E-3</c:v>
                </c:pt>
                <c:pt idx="63">
                  <c:v>2.01009543104772E-3</c:v>
                </c:pt>
                <c:pt idx="64">
                  <c:v>1.9925754952781361E-3</c:v>
                </c:pt>
                <c:pt idx="65">
                  <c:v>1.9757897437611641E-3</c:v>
                </c:pt>
                <c:pt idx="66">
                  <c:v>1.9603792836331759E-3</c:v>
                </c:pt>
                <c:pt idx="67">
                  <c:v>1.9456904100444081E-3</c:v>
                </c:pt>
                <c:pt idx="68">
                  <c:v>1.9326237130104628E-3</c:v>
                </c:pt>
                <c:pt idx="69">
                  <c:v>1.9202319823265514E-3</c:v>
                </c:pt>
                <c:pt idx="70">
                  <c:v>1.9089382521534897E-3</c:v>
                </c:pt>
                <c:pt idx="71">
                  <c:v>1.8969366173735864E-3</c:v>
                </c:pt>
                <c:pt idx="72">
                  <c:v>1.8864016873694212E-3</c:v>
                </c:pt>
                <c:pt idx="73">
                  <c:v>1.8746068549378749E-3</c:v>
                </c:pt>
                <c:pt idx="74">
                  <c:v>1.8640012117237155E-3</c:v>
                </c:pt>
                <c:pt idx="75">
                  <c:v>1.8540413501266784E-3</c:v>
                </c:pt>
                <c:pt idx="76">
                  <c:v>1.843272994195776E-3</c:v>
                </c:pt>
                <c:pt idx="77">
                  <c:v>1.8331291862626262E-3</c:v>
                </c:pt>
                <c:pt idx="78">
                  <c:v>1.8222424789860869E-3</c:v>
                </c:pt>
                <c:pt idx="79">
                  <c:v>1.8124926129185464E-3</c:v>
                </c:pt>
                <c:pt idx="80">
                  <c:v>1.8020086443148522E-3</c:v>
                </c:pt>
                <c:pt idx="81">
                  <c:v>1.7973776768310905E-3</c:v>
                </c:pt>
                <c:pt idx="82">
                  <c:v>1.7843019251726298E-3</c:v>
                </c:pt>
                <c:pt idx="83">
                  <c:v>1.7777228266000478E-3</c:v>
                </c:pt>
                <c:pt idx="84">
                  <c:v>1.7719632763104447E-3</c:v>
                </c:pt>
                <c:pt idx="85">
                  <c:v>1.7679693622283249E-3</c:v>
                </c:pt>
                <c:pt idx="86">
                  <c:v>1.7657858229967686E-3</c:v>
                </c:pt>
                <c:pt idx="87">
                  <c:v>1.7645116217915209E-3</c:v>
                </c:pt>
                <c:pt idx="88">
                  <c:v>1.7648627489604291E-3</c:v>
                </c:pt>
                <c:pt idx="89">
                  <c:v>1.7667046565573059E-3</c:v>
                </c:pt>
                <c:pt idx="90">
                  <c:v>1.7697860579400579E-3</c:v>
                </c:pt>
                <c:pt idx="91">
                  <c:v>1.7747194311621695E-3</c:v>
                </c:pt>
                <c:pt idx="92">
                  <c:v>1.7801947782986119E-3</c:v>
                </c:pt>
                <c:pt idx="93">
                  <c:v>1.7858272637289625E-3</c:v>
                </c:pt>
                <c:pt idx="94">
                  <c:v>1.7893064431022572E-3</c:v>
                </c:pt>
                <c:pt idx="95">
                  <c:v>1.7900250730368342E-3</c:v>
                </c:pt>
                <c:pt idx="96">
                  <c:v>1.7880035266975014E-3</c:v>
                </c:pt>
                <c:pt idx="97">
                  <c:v>1.7830502351111471E-3</c:v>
                </c:pt>
                <c:pt idx="98">
                  <c:v>1.776220556945849E-3</c:v>
                </c:pt>
                <c:pt idx="99">
                  <c:v>1.7661874639853282E-3</c:v>
                </c:pt>
                <c:pt idx="100">
                  <c:v>1.7526983967323141E-3</c:v>
                </c:pt>
                <c:pt idx="101">
                  <c:v>1.7369401963347082E-3</c:v>
                </c:pt>
                <c:pt idx="102">
                  <c:v>1.7177787646577049E-3</c:v>
                </c:pt>
                <c:pt idx="103">
                  <c:v>1.6964770688148063E-3</c:v>
                </c:pt>
                <c:pt idx="104">
                  <c:v>1.6732986097031041E-3</c:v>
                </c:pt>
                <c:pt idx="105">
                  <c:v>1.6519840593789102E-3</c:v>
                </c:pt>
                <c:pt idx="106">
                  <c:v>1.6324071562533599E-3</c:v>
                </c:pt>
                <c:pt idx="107">
                  <c:v>1.6189108102829322E-3</c:v>
                </c:pt>
                <c:pt idx="108">
                  <c:v>1.6085965694571068E-3</c:v>
                </c:pt>
                <c:pt idx="109">
                  <c:v>1.603304445762177E-3</c:v>
                </c:pt>
                <c:pt idx="110">
                  <c:v>1.6028396434143062E-3</c:v>
                </c:pt>
                <c:pt idx="111">
                  <c:v>1.6055774545140032E-3</c:v>
                </c:pt>
                <c:pt idx="112">
                  <c:v>1.6130410899323454E-3</c:v>
                </c:pt>
                <c:pt idx="113">
                  <c:v>1.6257051258592239E-3</c:v>
                </c:pt>
                <c:pt idx="114">
                  <c:v>1.6414779854237553E-3</c:v>
                </c:pt>
                <c:pt idx="115">
                  <c:v>1.6632231909643191E-3</c:v>
                </c:pt>
                <c:pt idx="116">
                  <c:v>1.6856176816513954E-3</c:v>
                </c:pt>
                <c:pt idx="117">
                  <c:v>1.7075299701933069E-3</c:v>
                </c:pt>
                <c:pt idx="118">
                  <c:v>1.724910331011683E-3</c:v>
                </c:pt>
                <c:pt idx="119">
                  <c:v>1.7379335817791774E-3</c:v>
                </c:pt>
                <c:pt idx="120">
                  <c:v>1.7461472746811424E-3</c:v>
                </c:pt>
                <c:pt idx="121">
                  <c:v>1.7544739075068642E-3</c:v>
                </c:pt>
                <c:pt idx="122">
                  <c:v>1.7501725434416505E-3</c:v>
                </c:pt>
                <c:pt idx="123">
                  <c:v>1.7457827971614562E-3</c:v>
                </c:pt>
                <c:pt idx="124">
                  <c:v>1.7372713723187369E-3</c:v>
                </c:pt>
                <c:pt idx="125">
                  <c:v>1.7231199705995889E-3</c:v>
                </c:pt>
                <c:pt idx="126">
                  <c:v>1.7058637315975136E-3</c:v>
                </c:pt>
                <c:pt idx="127">
                  <c:v>1.6827269712960946E-3</c:v>
                </c:pt>
                <c:pt idx="128">
                  <c:v>1.658429553844043E-3</c:v>
                </c:pt>
                <c:pt idx="129">
                  <c:v>1.6323202792634141E-3</c:v>
                </c:pt>
                <c:pt idx="130">
                  <c:v>1.6101029191704086E-3</c:v>
                </c:pt>
                <c:pt idx="131">
                  <c:v>1.586307161462245E-3</c:v>
                </c:pt>
                <c:pt idx="132">
                  <c:v>1.5666883022516093E-3</c:v>
                </c:pt>
                <c:pt idx="133">
                  <c:v>1.5491620925710652E-3</c:v>
                </c:pt>
                <c:pt idx="134">
                  <c:v>1.5310503169028641E-3</c:v>
                </c:pt>
                <c:pt idx="135">
                  <c:v>1.5158496522205168E-3</c:v>
                </c:pt>
                <c:pt idx="136">
                  <c:v>1.5014413494991614E-3</c:v>
                </c:pt>
                <c:pt idx="137">
                  <c:v>1.4894708539087351E-3</c:v>
                </c:pt>
                <c:pt idx="138">
                  <c:v>1.4780176702168628E-3</c:v>
                </c:pt>
                <c:pt idx="139">
                  <c:v>1.4687239154730844E-3</c:v>
                </c:pt>
                <c:pt idx="140">
                  <c:v>1.4599308518903377E-3</c:v>
                </c:pt>
                <c:pt idx="141">
                  <c:v>1.451762127391773E-3</c:v>
                </c:pt>
                <c:pt idx="142">
                  <c:v>1.443362901971959E-3</c:v>
                </c:pt>
                <c:pt idx="143">
                  <c:v>1.4352034956415238E-3</c:v>
                </c:pt>
                <c:pt idx="144">
                  <c:v>1.4266699640643997E-3</c:v>
                </c:pt>
                <c:pt idx="145">
                  <c:v>1.4191745776956782E-3</c:v>
                </c:pt>
                <c:pt idx="146">
                  <c:v>1.4109432908813307E-3</c:v>
                </c:pt>
                <c:pt idx="147">
                  <c:v>1.4023309720480395E-3</c:v>
                </c:pt>
                <c:pt idx="148">
                  <c:v>1.3940049716284937E-3</c:v>
                </c:pt>
                <c:pt idx="149">
                  <c:v>1.3853841969091972E-3</c:v>
                </c:pt>
                <c:pt idx="150">
                  <c:v>1.3770074542557541E-3</c:v>
                </c:pt>
                <c:pt idx="151">
                  <c:v>1.368382334356065E-3</c:v>
                </c:pt>
                <c:pt idx="152">
                  <c:v>1.360179106926207E-3</c:v>
                </c:pt>
                <c:pt idx="153">
                  <c:v>1.3511813979048756E-3</c:v>
                </c:pt>
                <c:pt idx="154">
                  <c:v>1.3430276598291289E-3</c:v>
                </c:pt>
                <c:pt idx="155">
                  <c:v>1.3339769240709141E-3</c:v>
                </c:pt>
                <c:pt idx="156">
                  <c:v>1.3255012617552353E-3</c:v>
                </c:pt>
                <c:pt idx="157">
                  <c:v>1.3172894319491112E-3</c:v>
                </c:pt>
                <c:pt idx="158">
                  <c:v>1.3088726265931723E-3</c:v>
                </c:pt>
                <c:pt idx="159">
                  <c:v>1.3004946733143168E-3</c:v>
                </c:pt>
                <c:pt idx="160">
                  <c:v>1.2913113558443712E-3</c:v>
                </c:pt>
                <c:pt idx="161">
                  <c:v>1.2829384238314291E-3</c:v>
                </c:pt>
                <c:pt idx="162">
                  <c:v>1.2737013001828459E-3</c:v>
                </c:pt>
                <c:pt idx="163">
                  <c:v>1.265056814504277E-3</c:v>
                </c:pt>
                <c:pt idx="164">
                  <c:v>1.2559885772118855E-3</c:v>
                </c:pt>
                <c:pt idx="165">
                  <c:v>1.2473557795784629E-3</c:v>
                </c:pt>
                <c:pt idx="166">
                  <c:v>1.2379509728662266E-3</c:v>
                </c:pt>
                <c:pt idx="167">
                  <c:v>1.2292716534757116E-3</c:v>
                </c:pt>
                <c:pt idx="168">
                  <c:v>1.2209846882579103E-3</c:v>
                </c:pt>
                <c:pt idx="169">
                  <c:v>1.212037165175775E-3</c:v>
                </c:pt>
                <c:pt idx="170">
                  <c:v>1.2033823092422909E-3</c:v>
                </c:pt>
                <c:pt idx="171">
                  <c:v>1.1941932323246487E-3</c:v>
                </c:pt>
                <c:pt idx="172">
                  <c:v>1.185554491415941E-3</c:v>
                </c:pt>
                <c:pt idx="173">
                  <c:v>1.1760251321785847E-3</c:v>
                </c:pt>
                <c:pt idx="174">
                  <c:v>1.1671276971992744E-3</c:v>
                </c:pt>
                <c:pt idx="175">
                  <c:v>1.1578319865259909E-3</c:v>
                </c:pt>
                <c:pt idx="176">
                  <c:v>1.1489621958336374E-3</c:v>
                </c:pt>
                <c:pt idx="177">
                  <c:v>1.1399737210037904E-3</c:v>
                </c:pt>
                <c:pt idx="178">
                  <c:v>1.1313678518236614E-3</c:v>
                </c:pt>
                <c:pt idx="179">
                  <c:v>1.1224586266021346E-3</c:v>
                </c:pt>
                <c:pt idx="180">
                  <c:v>1.1147445950773147E-3</c:v>
                </c:pt>
                <c:pt idx="181">
                  <c:v>1.1064306046832152E-3</c:v>
                </c:pt>
                <c:pt idx="182">
                  <c:v>1.0978290293961017E-3</c:v>
                </c:pt>
                <c:pt idx="183">
                  <c:v>1.0896573346126474E-3</c:v>
                </c:pt>
                <c:pt idx="184">
                  <c:v>1.0813270884467395E-3</c:v>
                </c:pt>
                <c:pt idx="185">
                  <c:v>1.0733589351391327E-3</c:v>
                </c:pt>
                <c:pt idx="186">
                  <c:v>1.0652945594871004E-3</c:v>
                </c:pt>
                <c:pt idx="187">
                  <c:v>1.0577231148406231E-3</c:v>
                </c:pt>
                <c:pt idx="188">
                  <c:v>1.0495642068757312E-3</c:v>
                </c:pt>
                <c:pt idx="189">
                  <c:v>1.0423504914855997E-3</c:v>
                </c:pt>
                <c:pt idx="190">
                  <c:v>1.0343546234558749E-3</c:v>
                </c:pt>
                <c:pt idx="191">
                  <c:v>1.027096519875776E-3</c:v>
                </c:pt>
                <c:pt idx="192">
                  <c:v>1.0203865594662562E-3</c:v>
                </c:pt>
                <c:pt idx="193">
                  <c:v>1.0130382971324618E-3</c:v>
                </c:pt>
                <c:pt idx="194">
                  <c:v>1.0061532014227735E-3</c:v>
                </c:pt>
                <c:pt idx="195">
                  <c:v>9.987408003602552E-4</c:v>
                </c:pt>
                <c:pt idx="196">
                  <c:v>9.9210077771114472E-4</c:v>
                </c:pt>
                <c:pt idx="197">
                  <c:v>9.8490513176249794E-4</c:v>
                </c:pt>
                <c:pt idx="198">
                  <c:v>9.7812231331018823E-4</c:v>
                </c:pt>
                <c:pt idx="199">
                  <c:v>9.7148328394324954E-4</c:v>
                </c:pt>
                <c:pt idx="200">
                  <c:v>9.650308000143451E-4</c:v>
                </c:pt>
                <c:pt idx="201">
                  <c:v>9.5847527585257372E-4</c:v>
                </c:pt>
                <c:pt idx="202">
                  <c:v>9.522640059276416E-4</c:v>
                </c:pt>
                <c:pt idx="203">
                  <c:v>9.4588112469149235E-4</c:v>
                </c:pt>
                <c:pt idx="204">
                  <c:v>9.3987111675562438E-4</c:v>
                </c:pt>
                <c:pt idx="205">
                  <c:v>9.3370084591373401E-4</c:v>
                </c:pt>
                <c:pt idx="206">
                  <c:v>9.2785931012821093E-4</c:v>
                </c:pt>
                <c:pt idx="207">
                  <c:v>9.219344532239819E-4</c:v>
                </c:pt>
                <c:pt idx="208">
                  <c:v>9.1629658016862195E-4</c:v>
                </c:pt>
                <c:pt idx="209">
                  <c:v>9.1061105691594979E-4</c:v>
                </c:pt>
                <c:pt idx="210">
                  <c:v>9.0532148613851199E-4</c:v>
                </c:pt>
                <c:pt idx="211">
                  <c:v>8.9964337217428303E-4</c:v>
                </c:pt>
                <c:pt idx="212">
                  <c:v>8.9463092773911859E-4</c:v>
                </c:pt>
                <c:pt idx="213">
                  <c:v>8.8914284600500118E-4</c:v>
                </c:pt>
                <c:pt idx="214">
                  <c:v>8.8416065598389409E-4</c:v>
                </c:pt>
                <c:pt idx="215">
                  <c:v>8.7963760212153921E-4</c:v>
                </c:pt>
                <c:pt idx="216">
                  <c:v>8.7466766561879877E-4</c:v>
                </c:pt>
                <c:pt idx="217">
                  <c:v>8.7006560481805995E-4</c:v>
                </c:pt>
                <c:pt idx="218">
                  <c:v>8.651343082313398E-4</c:v>
                </c:pt>
                <c:pt idx="219">
                  <c:v>8.6074986669889067E-4</c:v>
                </c:pt>
                <c:pt idx="220">
                  <c:v>8.5603539206646762E-4</c:v>
                </c:pt>
                <c:pt idx="221">
                  <c:v>8.5172422694460015E-4</c:v>
                </c:pt>
                <c:pt idx="222">
                  <c:v>8.4735040903198555E-4</c:v>
                </c:pt>
                <c:pt idx="223">
                  <c:v>8.4322879847217869E-4</c:v>
                </c:pt>
                <c:pt idx="224">
                  <c:v>8.3908955432041715E-4</c:v>
                </c:pt>
                <c:pt idx="225">
                  <c:v>8.3517926047438351E-4</c:v>
                </c:pt>
                <c:pt idx="226">
                  <c:v>8.3122979782993683E-4</c:v>
                </c:pt>
                <c:pt idx="227">
                  <c:v>8.2786304730594895E-4</c:v>
                </c:pt>
                <c:pt idx="228">
                  <c:v>8.2424439075517997E-4</c:v>
                </c:pt>
                <c:pt idx="229">
                  <c:v>8.2060381489163642E-4</c:v>
                </c:pt>
                <c:pt idx="230">
                  <c:v>8.171837582737311E-4</c:v>
                </c:pt>
                <c:pt idx="231">
                  <c:v>8.1375849749350596E-4</c:v>
                </c:pt>
                <c:pt idx="232">
                  <c:v>8.1053971526405533E-4</c:v>
                </c:pt>
                <c:pt idx="233">
                  <c:v>8.0729706114466421E-4</c:v>
                </c:pt>
                <c:pt idx="234">
                  <c:v>8.042997907078582E-4</c:v>
                </c:pt>
                <c:pt idx="235">
                  <c:v>8.0102103781867079E-4</c:v>
                </c:pt>
                <c:pt idx="236">
                  <c:v>7.9804843174002826E-4</c:v>
                </c:pt>
                <c:pt idx="237">
                  <c:v>7.9478791532315227E-4</c:v>
                </c:pt>
                <c:pt idx="238">
                  <c:v>7.9206576973780626E-4</c:v>
                </c:pt>
                <c:pt idx="239">
                  <c:v>7.8907967546668067E-4</c:v>
                </c:pt>
                <c:pt idx="240">
                  <c:v>7.8591934739048741E-4</c:v>
                </c:pt>
                <c:pt idx="241">
                  <c:v>7.8291240445975407E-4</c:v>
                </c:pt>
                <c:pt idx="242">
                  <c:v>7.7969562881129509E-4</c:v>
                </c:pt>
                <c:pt idx="243">
                  <c:v>7.7668238840888221E-4</c:v>
                </c:pt>
                <c:pt idx="244">
                  <c:v>7.7358168893330512E-4</c:v>
                </c:pt>
                <c:pt idx="245">
                  <c:v>7.7068083950755997E-4</c:v>
                </c:pt>
                <c:pt idx="246">
                  <c:v>7.6750002162108422E-4</c:v>
                </c:pt>
                <c:pt idx="247">
                  <c:v>7.646179506963606E-4</c:v>
                </c:pt>
                <c:pt idx="248">
                  <c:v>7.6145524381491733E-4</c:v>
                </c:pt>
                <c:pt idx="249">
                  <c:v>7.5849445864228926E-4</c:v>
                </c:pt>
                <c:pt idx="250">
                  <c:v>7.5572362513577976E-4</c:v>
                </c:pt>
                <c:pt idx="251">
                  <c:v>7.5278261498795684E-4</c:v>
                </c:pt>
                <c:pt idx="252">
                  <c:v>7.4993717153466061E-4</c:v>
                </c:pt>
                <c:pt idx="253">
                  <c:v>7.468182684327862E-4</c:v>
                </c:pt>
                <c:pt idx="254">
                  <c:v>7.439910713667626E-4</c:v>
                </c:pt>
                <c:pt idx="255">
                  <c:v>7.4089014058418071E-4</c:v>
                </c:pt>
                <c:pt idx="256">
                  <c:v>7.3798822998122349E-4</c:v>
                </c:pt>
                <c:pt idx="257">
                  <c:v>7.3499632161130868E-4</c:v>
                </c:pt>
                <c:pt idx="258">
                  <c:v>7.3210878231667886E-4</c:v>
                </c:pt>
                <c:pt idx="259">
                  <c:v>7.2913966919163978E-4</c:v>
                </c:pt>
                <c:pt idx="260">
                  <c:v>7.2627209156816974E-4</c:v>
                </c:pt>
                <c:pt idx="261">
                  <c:v>7.2331468681827507E-4</c:v>
                </c:pt>
                <c:pt idx="262">
                  <c:v>7.2073362905300878E-4</c:v>
                </c:pt>
                <c:pt idx="263">
                  <c:v>7.1789064410263809E-4</c:v>
                </c:pt>
                <c:pt idx="264">
                  <c:v>7.1495796592090446E-4</c:v>
                </c:pt>
                <c:pt idx="265">
                  <c:v>7.1212856364408564E-4</c:v>
                </c:pt>
                <c:pt idx="266">
                  <c:v>7.0921660055516672E-4</c:v>
                </c:pt>
                <c:pt idx="267">
                  <c:v>7.0640407404695335E-4</c:v>
                </c:pt>
                <c:pt idx="268">
                  <c:v>7.0351336109279392E-4</c:v>
                </c:pt>
                <c:pt idx="269">
                  <c:v>7.0080393123486337E-4</c:v>
                </c:pt>
                <c:pt idx="270">
                  <c:v>6.9783675320289271E-4</c:v>
                </c:pt>
                <c:pt idx="271">
                  <c:v>6.9515574626954901E-4</c:v>
                </c:pt>
                <c:pt idx="272">
                  <c:v>6.9219826626901876E-4</c:v>
                </c:pt>
                <c:pt idx="273">
                  <c:v>6.8944935786620365E-4</c:v>
                </c:pt>
                <c:pt idx="274">
                  <c:v>6.8694887002871546E-4</c:v>
                </c:pt>
                <c:pt idx="275">
                  <c:v>6.8403040345174984E-4</c:v>
                </c:pt>
                <c:pt idx="276">
                  <c:v>6.8137677960834406E-4</c:v>
                </c:pt>
                <c:pt idx="277">
                  <c:v>6.7855964095207832E-4</c:v>
                </c:pt>
                <c:pt idx="278">
                  <c:v>6.7592660625745427E-4</c:v>
                </c:pt>
                <c:pt idx="279">
                  <c:v>6.7303924636540405E-4</c:v>
                </c:pt>
                <c:pt idx="280">
                  <c:v>6.7034132233810551E-4</c:v>
                </c:pt>
                <c:pt idx="281">
                  <c:v>6.6755313121454052E-4</c:v>
                </c:pt>
                <c:pt idx="282">
                  <c:v>6.6496306516672377E-4</c:v>
                </c:pt>
                <c:pt idx="283">
                  <c:v>6.6210654723644624E-4</c:v>
                </c:pt>
                <c:pt idx="284">
                  <c:v>6.5944723734701408E-4</c:v>
                </c:pt>
                <c:pt idx="285">
                  <c:v>6.5702668282507232E-4</c:v>
                </c:pt>
                <c:pt idx="286">
                  <c:v>6.5429242638540691E-4</c:v>
                </c:pt>
                <c:pt idx="287">
                  <c:v>6.517264313908068E-4</c:v>
                </c:pt>
                <c:pt idx="288">
                  <c:v>6.4891886438322999E-4</c:v>
                </c:pt>
                <c:pt idx="289">
                  <c:v>6.4637468995470612E-4</c:v>
                </c:pt>
                <c:pt idx="290">
                  <c:v>6.4358506945141544E-4</c:v>
                </c:pt>
                <c:pt idx="291">
                  <c:v>6.4097862229983357E-4</c:v>
                </c:pt>
                <c:pt idx="292">
                  <c:v>6.3828313839027137E-4</c:v>
                </c:pt>
                <c:pt idx="293">
                  <c:v>6.3568328488214365E-4</c:v>
                </c:pt>
                <c:pt idx="294">
                  <c:v>6.3301090703249061E-4</c:v>
                </c:pt>
                <c:pt idx="295">
                  <c:v>6.3042083553806541E-4</c:v>
                </c:pt>
                <c:pt idx="296">
                  <c:v>6.2775215848114366E-4</c:v>
                </c:pt>
                <c:pt idx="297">
                  <c:v>6.2533131613036474E-4</c:v>
                </c:pt>
                <c:pt idx="298">
                  <c:v>6.2276192059932192E-4</c:v>
                </c:pt>
                <c:pt idx="299">
                  <c:v>6.2018361704771832E-4</c:v>
                </c:pt>
                <c:pt idx="300">
                  <c:v>6.1761683081980323E-4</c:v>
                </c:pt>
                <c:pt idx="301">
                  <c:v>6.1497218100414405E-4</c:v>
                </c:pt>
                <c:pt idx="302">
                  <c:v>6.1241495589247838E-4</c:v>
                </c:pt>
                <c:pt idx="303">
                  <c:v>6.097875402784475E-4</c:v>
                </c:pt>
                <c:pt idx="304">
                  <c:v>6.0731460718040781E-4</c:v>
                </c:pt>
                <c:pt idx="305">
                  <c:v>6.0460756754360939E-4</c:v>
                </c:pt>
                <c:pt idx="306">
                  <c:v>6.0216658025691316E-4</c:v>
                </c:pt>
                <c:pt idx="307">
                  <c:v>5.9945435247068732E-4</c:v>
                </c:pt>
                <c:pt idx="308">
                  <c:v>5.9694935181144396E-4</c:v>
                </c:pt>
                <c:pt idx="309">
                  <c:v>5.9464588989127654E-4</c:v>
                </c:pt>
                <c:pt idx="310">
                  <c:v>5.9197185826221493E-4</c:v>
                </c:pt>
                <c:pt idx="311">
                  <c:v>5.8953016734569416E-4</c:v>
                </c:pt>
                <c:pt idx="312">
                  <c:v>5.8693911050096415E-4</c:v>
                </c:pt>
                <c:pt idx="313">
                  <c:v>5.8451452280860322E-4</c:v>
                </c:pt>
                <c:pt idx="314">
                  <c:v>5.8185253520174132E-4</c:v>
                </c:pt>
                <c:pt idx="315">
                  <c:v>5.7935670560918182E-4</c:v>
                </c:pt>
                <c:pt idx="316">
                  <c:v>5.7678526631463334E-4</c:v>
                </c:pt>
                <c:pt idx="317">
                  <c:v>5.7429893007687055E-4</c:v>
                </c:pt>
                <c:pt idx="318">
                  <c:v>5.717459707848295E-4</c:v>
                </c:pt>
                <c:pt idx="319">
                  <c:v>5.6927794156713674E-4</c:v>
                </c:pt>
                <c:pt idx="320">
                  <c:v>5.6792415401880555E-4</c:v>
                </c:pt>
                <c:pt idx="321">
                  <c:v>5.647006358913513E-4</c:v>
                </c:pt>
                <c:pt idx="322">
                  <c:v>5.6226371495067887E-4</c:v>
                </c:pt>
                <c:pt idx="323">
                  <c:v>5.5987506289274791E-4</c:v>
                </c:pt>
                <c:pt idx="324">
                  <c:v>5.5726241599566434E-4</c:v>
                </c:pt>
                <c:pt idx="325">
                  <c:v>5.5489185858876786E-4</c:v>
                </c:pt>
                <c:pt idx="326">
                  <c:v>5.5229845583871021E-4</c:v>
                </c:pt>
                <c:pt idx="327">
                  <c:v>5.4991863351177769E-4</c:v>
                </c:pt>
                <c:pt idx="328">
                  <c:v>5.4733533985802663E-4</c:v>
                </c:pt>
                <c:pt idx="329">
                  <c:v>5.4500173559013723E-4</c:v>
                </c:pt>
                <c:pt idx="330">
                  <c:v>5.4240997414281913E-4</c:v>
                </c:pt>
                <c:pt idx="331">
                  <c:v>5.4000771052169216E-4</c:v>
                </c:pt>
                <c:pt idx="332">
                  <c:v>5.3779653434039149E-4</c:v>
                </c:pt>
                <c:pt idx="333">
                  <c:v>5.3531596499567513E-4</c:v>
                </c:pt>
                <c:pt idx="334">
                  <c:v>5.3297647620428532E-4</c:v>
                </c:pt>
                <c:pt idx="335">
                  <c:v>5.3041851958819664E-4</c:v>
                </c:pt>
                <c:pt idx="336">
                  <c:v>5.2809765845535789E-4</c:v>
                </c:pt>
                <c:pt idx="337">
                  <c:v>5.255497183573217E-4</c:v>
                </c:pt>
                <c:pt idx="338">
                  <c:v>5.2317068467575695E-4</c:v>
                </c:pt>
                <c:pt idx="339">
                  <c:v>5.2070002689325393E-4</c:v>
                </c:pt>
                <c:pt idx="340">
                  <c:v>5.1832068082525648E-4</c:v>
                </c:pt>
                <c:pt idx="341">
                  <c:v>5.158792338374879E-4</c:v>
                </c:pt>
                <c:pt idx="342">
                  <c:v>5.1350930484157786E-4</c:v>
                </c:pt>
                <c:pt idx="343">
                  <c:v>5.110677677574206E-4</c:v>
                </c:pt>
                <c:pt idx="344">
                  <c:v>5.0884948723411288E-4</c:v>
                </c:pt>
                <c:pt idx="345">
                  <c:v>5.0619943948064863E-4</c:v>
                </c:pt>
                <c:pt idx="346">
                  <c:v>5.0391424343005156E-4</c:v>
                </c:pt>
                <c:pt idx="347">
                  <c:v>5.0149202989074187E-4</c:v>
                </c:pt>
                <c:pt idx="348">
                  <c:v>4.9922566339279106E-4</c:v>
                </c:pt>
                <c:pt idx="349">
                  <c:v>4.9673763806094839E-4</c:v>
                </c:pt>
                <c:pt idx="350">
                  <c:v>4.94415117969077E-4</c:v>
                </c:pt>
                <c:pt idx="351">
                  <c:v>4.92002051882965E-4</c:v>
                </c:pt>
                <c:pt idx="352">
                  <c:v>4.8967859818309714E-4</c:v>
                </c:pt>
                <c:pt idx="353">
                  <c:v>4.8723024164676332E-4</c:v>
                </c:pt>
                <c:pt idx="354">
                  <c:v>4.849159535380565E-4</c:v>
                </c:pt>
                <c:pt idx="355">
                  <c:v>4.8259597130638487E-4</c:v>
                </c:pt>
                <c:pt idx="356">
                  <c:v>4.805032837166337E-4</c:v>
                </c:pt>
                <c:pt idx="357">
                  <c:v>4.7821194772969255E-4</c:v>
                </c:pt>
                <c:pt idx="358">
                  <c:v>4.7583068771781326E-4</c:v>
                </c:pt>
                <c:pt idx="359">
                  <c:v>4.7353818052938215E-4</c:v>
                </c:pt>
                <c:pt idx="360">
                  <c:v>4.711763628331804E-4</c:v>
                </c:pt>
                <c:pt idx="361">
                  <c:v>4.6890311512823649E-4</c:v>
                </c:pt>
                <c:pt idx="362">
                  <c:v>4.6654031738738513E-4</c:v>
                </c:pt>
                <c:pt idx="363">
                  <c:v>4.6426580148740959E-4</c:v>
                </c:pt>
                <c:pt idx="364">
                  <c:v>4.6193291250744284E-4</c:v>
                </c:pt>
                <c:pt idx="365">
                  <c:v>4.5967781045685996E-4</c:v>
                </c:pt>
                <c:pt idx="366">
                  <c:v>4.5733351183085968E-4</c:v>
                </c:pt>
                <c:pt idx="367">
                  <c:v>4.5528476741445861E-4</c:v>
                </c:pt>
                <c:pt idx="368">
                  <c:v>4.5304273656170471E-4</c:v>
                </c:pt>
                <c:pt idx="369">
                  <c:v>4.5071174734140698E-4</c:v>
                </c:pt>
                <c:pt idx="370">
                  <c:v>4.4846825421447981E-4</c:v>
                </c:pt>
                <c:pt idx="371">
                  <c:v>4.4615704296166112E-4</c:v>
                </c:pt>
                <c:pt idx="372">
                  <c:v>4.4392256526140303E-4</c:v>
                </c:pt>
                <c:pt idx="373">
                  <c:v>4.4163130692926114E-4</c:v>
                </c:pt>
                <c:pt idx="374">
                  <c:v>4.3946692359795106E-4</c:v>
                </c:pt>
                <c:pt idx="375">
                  <c:v>4.3710261321047716E-4</c:v>
                </c:pt>
                <c:pt idx="376">
                  <c:v>4.3497911075363049E-4</c:v>
                </c:pt>
                <c:pt idx="377">
                  <c:v>4.3260290364465978E-4</c:v>
                </c:pt>
                <c:pt idx="378">
                  <c:v>4.3042798163987067E-4</c:v>
                </c:pt>
                <c:pt idx="379">
                  <c:v>4.2840552670472473E-4</c:v>
                </c:pt>
                <c:pt idx="380">
                  <c:v>4.2607576554679061E-4</c:v>
                </c:pt>
                <c:pt idx="381">
                  <c:v>4.2394135388548748E-4</c:v>
                </c:pt>
                <c:pt idx="382">
                  <c:v>4.2168086921126613E-4</c:v>
                </c:pt>
                <c:pt idx="383">
                  <c:v>4.1956596829513179E-4</c:v>
                </c:pt>
                <c:pt idx="384">
                  <c:v>4.1724438845285386E-4</c:v>
                </c:pt>
                <c:pt idx="385">
                  <c:v>4.1507920894961678E-4</c:v>
                </c:pt>
                <c:pt idx="386">
                  <c:v>4.1282628145521139E-4</c:v>
                </c:pt>
                <c:pt idx="387">
                  <c:v>4.1065903951451738E-4</c:v>
                </c:pt>
                <c:pt idx="388">
                  <c:v>4.0843779049618348E-4</c:v>
                </c:pt>
                <c:pt idx="389">
                  <c:v>4.0627963887217636E-4</c:v>
                </c:pt>
                <c:pt idx="390">
                  <c:v>4.0405654099760421E-4</c:v>
                </c:pt>
                <c:pt idx="391">
                  <c:v>4.0203459558159002E-4</c:v>
                </c:pt>
                <c:pt idx="392">
                  <c:v>3.9990102692585502E-4</c:v>
                </c:pt>
                <c:pt idx="393">
                  <c:v>3.9774910028035626E-4</c:v>
                </c:pt>
                <c:pt idx="394">
                  <c:v>3.9561303736685219E-4</c:v>
                </c:pt>
                <c:pt idx="395">
                  <c:v>3.9341274486647676E-4</c:v>
                </c:pt>
                <c:pt idx="396">
                  <c:v>3.9128574195181065E-4</c:v>
                </c:pt>
                <c:pt idx="397">
                  <c:v>3.8910643908072681E-4</c:v>
                </c:pt>
                <c:pt idx="398">
                  <c:v>3.8704511518902751E-4</c:v>
                </c:pt>
                <c:pt idx="399">
                  <c:v>3.848421966510425E-4</c:v>
                </c:pt>
                <c:pt idx="400">
                  <c:v>3.8277791896490498E-4</c:v>
                </c:pt>
                <c:pt idx="401">
                  <c:v>3.8052601733530242E-4</c:v>
                </c:pt>
                <c:pt idx="402">
                  <c:v>3.786174018288041E-4</c:v>
                </c:pt>
                <c:pt idx="403">
                  <c:v>3.7653354856916413E-4</c:v>
                </c:pt>
                <c:pt idx="404">
                  <c:v>3.7436294169243892E-4</c:v>
                </c:pt>
                <c:pt idx="405">
                  <c:v>3.7227624807193577E-4</c:v>
                </c:pt>
                <c:pt idx="406">
                  <c:v>3.7012692725408788E-4</c:v>
                </c:pt>
                <c:pt idx="407">
                  <c:v>3.6804931263809126E-4</c:v>
                </c:pt>
                <c:pt idx="408">
                  <c:v>3.6592152897730115E-4</c:v>
                </c:pt>
                <c:pt idx="409">
                  <c:v>3.6390749031645769E-4</c:v>
                </c:pt>
                <c:pt idx="410">
                  <c:v>3.6171026318143618E-4</c:v>
                </c:pt>
                <c:pt idx="411">
                  <c:v>3.5974180394848787E-4</c:v>
                </c:pt>
                <c:pt idx="412">
                  <c:v>3.5752962725356038E-4</c:v>
                </c:pt>
                <c:pt idx="413">
                  <c:v>3.5551651328554965E-4</c:v>
                </c:pt>
                <c:pt idx="414">
                  <c:v>3.5363117939859329E-4</c:v>
                </c:pt>
                <c:pt idx="415">
                  <c:v>3.5147027401098707E-4</c:v>
                </c:pt>
                <c:pt idx="416">
                  <c:v>3.4948632286929335E-4</c:v>
                </c:pt>
                <c:pt idx="417">
                  <c:v>3.4738807806008326E-4</c:v>
                </c:pt>
                <c:pt idx="418">
                  <c:v>3.4542530589441386E-4</c:v>
                </c:pt>
                <c:pt idx="419">
                  <c:v>3.4327109981567919E-4</c:v>
                </c:pt>
                <c:pt idx="420">
                  <c:v>3.4126484662869508E-4</c:v>
                </c:pt>
                <c:pt idx="421">
                  <c:v>3.3917261750475783E-4</c:v>
                </c:pt>
                <c:pt idx="422">
                  <c:v>3.3716269573313279E-4</c:v>
                </c:pt>
                <c:pt idx="423">
                  <c:v>3.3510556806722741E-4</c:v>
                </c:pt>
                <c:pt idx="424">
                  <c:v>3.331177859058343E-4</c:v>
                </c:pt>
                <c:pt idx="425">
                  <c:v>3.3104420259297621E-4</c:v>
                </c:pt>
                <c:pt idx="426">
                  <c:v>3.2923201112845107E-4</c:v>
                </c:pt>
                <c:pt idx="427">
                  <c:v>3.2725749100780133E-4</c:v>
                </c:pt>
                <c:pt idx="428">
                  <c:v>3.2519728633939246E-4</c:v>
                </c:pt>
                <c:pt idx="429">
                  <c:v>3.2321874536746925E-4</c:v>
                </c:pt>
                <c:pt idx="430">
                  <c:v>3.2118108586807331E-4</c:v>
                </c:pt>
                <c:pt idx="431">
                  <c:v>3.192116623220928E-4</c:v>
                </c:pt>
                <c:pt idx="432">
                  <c:v>3.1717001242242276E-4</c:v>
                </c:pt>
                <c:pt idx="433">
                  <c:v>3.1528627837376644E-4</c:v>
                </c:pt>
                <c:pt idx="434">
                  <c:v>3.132042826970334E-4</c:v>
                </c:pt>
                <c:pt idx="435">
                  <c:v>3.1132953394725701E-4</c:v>
                </c:pt>
                <c:pt idx="436">
                  <c:v>3.0925730787388292E-4</c:v>
                </c:pt>
                <c:pt idx="437">
                  <c:v>3.0795702321817151E-4</c:v>
                </c:pt>
                <c:pt idx="438">
                  <c:v>3.0550266357379577E-4</c:v>
                </c:pt>
                <c:pt idx="439">
                  <c:v>3.0356935757411274E-4</c:v>
                </c:pt>
                <c:pt idx="440">
                  <c:v>3.0168887368895239E-4</c:v>
                </c:pt>
                <c:pt idx="441">
                  <c:v>2.9964034935791792E-4</c:v>
                </c:pt>
                <c:pt idx="442">
                  <c:v>2.9772061766256824E-4</c:v>
                </c:pt>
                <c:pt idx="443">
                  <c:v>2.9575765760678566E-4</c:v>
                </c:pt>
                <c:pt idx="444">
                  <c:v>2.9389464108874747E-4</c:v>
                </c:pt>
                <c:pt idx="445">
                  <c:v>2.9186556856657456E-4</c:v>
                </c:pt>
                <c:pt idx="446">
                  <c:v>2.9005365858836285E-4</c:v>
                </c:pt>
                <c:pt idx="447">
                  <c:v>2.8800603768038349E-4</c:v>
                </c:pt>
                <c:pt idx="448">
                  <c:v>2.861564627797894E-4</c:v>
                </c:pt>
                <c:pt idx="449">
                  <c:v>2.844084047679378E-4</c:v>
                </c:pt>
                <c:pt idx="450">
                  <c:v>2.8241762764435671E-4</c:v>
                </c:pt>
                <c:pt idx="451">
                  <c:v>2.8058486054843498E-4</c:v>
                </c:pt>
                <c:pt idx="452">
                  <c:v>2.7864986245276432E-4</c:v>
                </c:pt>
                <c:pt idx="453">
                  <c:v>2.7684015867203079E-4</c:v>
                </c:pt>
                <c:pt idx="454">
                  <c:v>2.7485435516604387E-4</c:v>
                </c:pt>
                <c:pt idx="455">
                  <c:v>2.7300816182861121E-4</c:v>
                </c:pt>
                <c:pt idx="456">
                  <c:v>2.7107744769752987E-4</c:v>
                </c:pt>
                <c:pt idx="457">
                  <c:v>2.6922579897882548E-4</c:v>
                </c:pt>
                <c:pt idx="458">
                  <c:v>2.6733391159058234E-4</c:v>
                </c:pt>
                <c:pt idx="459">
                  <c:v>2.6550628580146451E-4</c:v>
                </c:pt>
                <c:pt idx="460">
                  <c:v>2.6359432293075052E-4</c:v>
                </c:pt>
                <c:pt idx="461">
                  <c:v>2.6192334390428423E-4</c:v>
                </c:pt>
                <c:pt idx="462">
                  <c:v>2.6010904823772774E-4</c:v>
                </c:pt>
                <c:pt idx="463">
                  <c:v>2.5821054368310031E-4</c:v>
                </c:pt>
                <c:pt idx="464">
                  <c:v>2.5639044651099355E-4</c:v>
                </c:pt>
                <c:pt idx="465">
                  <c:v>2.5451636696031607E-4</c:v>
                </c:pt>
                <c:pt idx="466">
                  <c:v>2.5270564352564487E-4</c:v>
                </c:pt>
                <c:pt idx="467">
                  <c:v>2.5085922730479215E-4</c:v>
                </c:pt>
                <c:pt idx="468">
                  <c:v>2.4910994146954205E-4</c:v>
                </c:pt>
                <c:pt idx="469">
                  <c:v>2.4721862922446464E-4</c:v>
                </c:pt>
                <c:pt idx="470">
                  <c:v>2.4554467541459957E-4</c:v>
                </c:pt>
                <c:pt idx="471">
                  <c:v>2.4367405704821612E-4</c:v>
                </c:pt>
                <c:pt idx="472">
                  <c:v>2.4197619386773922E-4</c:v>
                </c:pt>
                <c:pt idx="473">
                  <c:v>2.4038796011152316E-4</c:v>
                </c:pt>
                <c:pt idx="474">
                  <c:v>2.3865243793471519E-4</c:v>
                </c:pt>
                <c:pt idx="475">
                  <c:v>2.3701406227562977E-4</c:v>
                </c:pt>
                <c:pt idx="476">
                  <c:v>2.3524504776161956E-4</c:v>
                </c:pt>
                <c:pt idx="477">
                  <c:v>2.3365299030532125E-4</c:v>
                </c:pt>
                <c:pt idx="478">
                  <c:v>2.3191947742946459E-4</c:v>
                </c:pt>
                <c:pt idx="479">
                  <c:v>2.3041550407209774E-4</c:v>
                </c:pt>
                <c:pt idx="480">
                  <c:v>2.2866167736323301E-4</c:v>
                </c:pt>
                <c:pt idx="481">
                  <c:v>2.2714708406158107E-4</c:v>
                </c:pt>
                <c:pt idx="482">
                  <c:v>2.2547164038257128E-4</c:v>
                </c:pt>
                <c:pt idx="483">
                  <c:v>2.2395198113578374E-4</c:v>
                </c:pt>
                <c:pt idx="484">
                  <c:v>2.2247166000304366E-4</c:v>
                </c:pt>
                <c:pt idx="485">
                  <c:v>2.2094714322129505E-4</c:v>
                </c:pt>
                <c:pt idx="486">
                  <c:v>2.1948675229137293E-4</c:v>
                </c:pt>
                <c:pt idx="487">
                  <c:v>2.1795900318241287E-4</c:v>
                </c:pt>
                <c:pt idx="488">
                  <c:v>2.1654261090937876E-4</c:v>
                </c:pt>
                <c:pt idx="489">
                  <c:v>2.1500231993721794E-4</c:v>
                </c:pt>
                <c:pt idx="490">
                  <c:v>2.1358369570715144E-4</c:v>
                </c:pt>
                <c:pt idx="491">
                  <c:v>2.1211337005442102E-4</c:v>
                </c:pt>
                <c:pt idx="492">
                  <c:v>2.1071668597038087E-4</c:v>
                </c:pt>
                <c:pt idx="493">
                  <c:v>2.0930299046456255E-4</c:v>
                </c:pt>
                <c:pt idx="494">
                  <c:v>2.0795011702201202E-4</c:v>
                </c:pt>
                <c:pt idx="495">
                  <c:v>2.0654912187029889E-4</c:v>
                </c:pt>
                <c:pt idx="496">
                  <c:v>2.0533660344741397E-4</c:v>
                </c:pt>
                <c:pt idx="497">
                  <c:v>2.0403150023649841E-4</c:v>
                </c:pt>
                <c:pt idx="498">
                  <c:v>2.0268091110051817E-4</c:v>
                </c:pt>
                <c:pt idx="499">
                  <c:v>2.0139899717333196E-4</c:v>
                </c:pt>
                <c:pt idx="500">
                  <c:v>2.0009292598213366E-4</c:v>
                </c:pt>
                <c:pt idx="501">
                  <c:v>1.9884432632194873E-4</c:v>
                </c:pt>
                <c:pt idx="502">
                  <c:v>1.9758181534308347E-4</c:v>
                </c:pt>
                <c:pt idx="503">
                  <c:v>1.9639630172587144E-4</c:v>
                </c:pt>
                <c:pt idx="504">
                  <c:v>1.9512005606454538E-4</c:v>
                </c:pt>
                <c:pt idx="505">
                  <c:v>1.9399314545154311E-4</c:v>
                </c:pt>
                <c:pt idx="506">
                  <c:v>1.9274354963500981E-4</c:v>
                </c:pt>
                <c:pt idx="507">
                  <c:v>1.9161107925583232E-4</c:v>
                </c:pt>
                <c:pt idx="508">
                  <c:v>1.9056306485059835E-4</c:v>
                </c:pt>
                <c:pt idx="509">
                  <c:v>1.8941761805826504E-4</c:v>
                </c:pt>
                <c:pt idx="510">
                  <c:v>1.8834448792234143E-4</c:v>
                </c:pt>
                <c:pt idx="511">
                  <c:v>1.8719036118033938E-4</c:v>
                </c:pt>
                <c:pt idx="512">
                  <c:v>1.8615726832560062E-4</c:v>
                </c:pt>
                <c:pt idx="513">
                  <c:v>1.8503859022153332E-4</c:v>
                </c:pt>
                <c:pt idx="514">
                  <c:v>1.8400462440421733E-4</c:v>
                </c:pt>
                <c:pt idx="515">
                  <c:v>1.8295449074158879E-4</c:v>
                </c:pt>
                <c:pt idx="516">
                  <c:v>1.8195382209972716E-4</c:v>
                </c:pt>
                <c:pt idx="517">
                  <c:v>1.8096888646014844E-4</c:v>
                </c:pt>
                <c:pt idx="518">
                  <c:v>1.7998258621076957E-4</c:v>
                </c:pt>
                <c:pt idx="519">
                  <c:v>1.7976737383091149E-4</c:v>
                </c:pt>
                <c:pt idx="520">
                  <c:v>1.7812051377325347E-4</c:v>
                </c:pt>
                <c:pt idx="521">
                  <c:v>1.7718559214820184E-4</c:v>
                </c:pt>
                <c:pt idx="522">
                  <c:v>1.7629385058043345E-4</c:v>
                </c:pt>
                <c:pt idx="523">
                  <c:v>1.7543618278277606E-4</c:v>
                </c:pt>
                <c:pt idx="524">
                  <c:v>1.7451046692663202E-4</c:v>
                </c:pt>
                <c:pt idx="525">
                  <c:v>1.7366222115202182E-4</c:v>
                </c:pt>
                <c:pt idx="526">
                  <c:v>1.7279473497360323E-4</c:v>
                </c:pt>
                <c:pt idx="527">
                  <c:v>1.7197531957980142E-4</c:v>
                </c:pt>
                <c:pt idx="528">
                  <c:v>1.7115043962814824E-4</c:v>
                </c:pt>
                <c:pt idx="529">
                  <c:v>1.7036408996145072E-4</c:v>
                </c:pt>
                <c:pt idx="530">
                  <c:v>1.6956955258665141E-4</c:v>
                </c:pt>
                <c:pt idx="531">
                  <c:v>1.6886144649520124E-4</c:v>
                </c:pt>
                <c:pt idx="532">
                  <c:v>1.681268299657257E-4</c:v>
                </c:pt>
                <c:pt idx="533">
                  <c:v>1.6740277859830094E-4</c:v>
                </c:pt>
                <c:pt idx="534">
                  <c:v>1.6669801077072097E-4</c:v>
                </c:pt>
                <c:pt idx="535">
                  <c:v>1.659876865017576E-4</c:v>
                </c:pt>
                <c:pt idx="536">
                  <c:v>1.6531620078689274E-4</c:v>
                </c:pt>
                <c:pt idx="537">
                  <c:v>1.6464198822220208E-4</c:v>
                </c:pt>
                <c:pt idx="538">
                  <c:v>1.6402235869430321E-4</c:v>
                </c:pt>
                <c:pt idx="539">
                  <c:v>1.6336041213152117E-4</c:v>
                </c:pt>
                <c:pt idx="540">
                  <c:v>1.6277687645072092E-4</c:v>
                </c:pt>
                <c:pt idx="541">
                  <c:v>1.6214904031519595E-4</c:v>
                </c:pt>
                <c:pt idx="542">
                  <c:v>1.6157833616249617E-4</c:v>
                </c:pt>
                <c:pt idx="543">
                  <c:v>1.6107433079685235E-4</c:v>
                </c:pt>
                <c:pt idx="544">
                  <c:v>1.6051681226400896E-4</c:v>
                </c:pt>
                <c:pt idx="545">
                  <c:v>1.60009746409253E-4</c:v>
                </c:pt>
                <c:pt idx="546">
                  <c:v>1.5946982192760126E-4</c:v>
                </c:pt>
                <c:pt idx="547">
                  <c:v>1.5899508345993893E-4</c:v>
                </c:pt>
                <c:pt idx="548">
                  <c:v>1.5849058316100978E-4</c:v>
                </c:pt>
                <c:pt idx="549">
                  <c:v>1.5803247125241796E-4</c:v>
                </c:pt>
                <c:pt idx="550">
                  <c:v>1.5757897158000245E-4</c:v>
                </c:pt>
                <c:pt idx="551">
                  <c:v>1.5715522612388608E-4</c:v>
                </c:pt>
                <c:pt idx="552">
                  <c:v>1.5672029018707484E-4</c:v>
                </c:pt>
                <c:pt idx="553">
                  <c:v>1.5632801819176478E-4</c:v>
                </c:pt>
                <c:pt idx="554">
                  <c:v>1.5595628913212672E-4</c:v>
                </c:pt>
                <c:pt idx="555">
                  <c:v>1.5562398378922079E-4</c:v>
                </c:pt>
                <c:pt idx="556">
                  <c:v>1.5705412674000413E-4</c:v>
                </c:pt>
                <c:pt idx="557">
                  <c:v>1.5495660545836176E-4</c:v>
                </c:pt>
                <c:pt idx="558">
                  <c:v>1.5464747686085717E-4</c:v>
                </c:pt>
                <c:pt idx="559">
                  <c:v>1.5434555085840074E-4</c:v>
                </c:pt>
                <c:pt idx="560">
                  <c:v>1.5406586587419016E-4</c:v>
                </c:pt>
                <c:pt idx="561">
                  <c:v>1.5380212077311523E-4</c:v>
                </c:pt>
                <c:pt idx="562">
                  <c:v>1.5355954330717805E-4</c:v>
                </c:pt>
                <c:pt idx="563">
                  <c:v>1.5332170176364512E-4</c:v>
                </c:pt>
                <c:pt idx="564">
                  <c:v>1.5310727811534974E-4</c:v>
                </c:pt>
                <c:pt idx="565">
                  <c:v>1.5291299754768145E-4</c:v>
                </c:pt>
                <c:pt idx="566">
                  <c:v>1.5275842796007646E-4</c:v>
                </c:pt>
                <c:pt idx="567">
                  <c:v>1.525915600916819E-4</c:v>
                </c:pt>
                <c:pt idx="568">
                  <c:v>1.5244792859472542E-4</c:v>
                </c:pt>
                <c:pt idx="569">
                  <c:v>1.5231996842270459E-4</c:v>
                </c:pt>
                <c:pt idx="570">
                  <c:v>1.5220505554522368E-4</c:v>
                </c:pt>
                <c:pt idx="571">
                  <c:v>1.5211037213281112E-4</c:v>
                </c:pt>
                <c:pt idx="572">
                  <c:v>1.520228365276162E-4</c:v>
                </c:pt>
                <c:pt idx="573">
                  <c:v>1.5197012881846064E-4</c:v>
                </c:pt>
                <c:pt idx="574">
                  <c:v>1.5192219216468225E-4</c:v>
                </c:pt>
                <c:pt idx="575">
                  <c:v>1.5188694011525339E-4</c:v>
                </c:pt>
                <c:pt idx="576">
                  <c:v>1.5187414167953592E-4</c:v>
                </c:pt>
                <c:pt idx="577">
                  <c:v>1.5187069452426635E-4</c:v>
                </c:pt>
                <c:pt idx="578">
                  <c:v>1.519241908820787E-4</c:v>
                </c:pt>
                <c:pt idx="579">
                  <c:v>1.5193498217173571E-4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103744"/>
        <c:axId val="577105280"/>
      </c:lineChart>
      <c:dateAx>
        <c:axId val="5771037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7105280"/>
        <c:crosses val="autoZero"/>
        <c:auto val="1"/>
        <c:lblOffset val="100"/>
        <c:baseTimeUnit val="months"/>
      </c:dateAx>
      <c:valAx>
        <c:axId val="57710528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7103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41943</c:v>
                </c:pt>
                <c:pt idx="1">
                  <c:v>41974</c:v>
                </c:pt>
                <c:pt idx="2">
                  <c:v>42006</c:v>
                </c:pt>
                <c:pt idx="3">
                  <c:v>42037</c:v>
                </c:pt>
                <c:pt idx="4">
                  <c:v>42065</c:v>
                </c:pt>
                <c:pt idx="5">
                  <c:v>42096</c:v>
                </c:pt>
                <c:pt idx="6">
                  <c:v>42128</c:v>
                </c:pt>
                <c:pt idx="7">
                  <c:v>42159</c:v>
                </c:pt>
                <c:pt idx="8">
                  <c:v>42191</c:v>
                </c:pt>
                <c:pt idx="9">
                  <c:v>42222</c:v>
                </c:pt>
                <c:pt idx="10">
                  <c:v>42254</c:v>
                </c:pt>
                <c:pt idx="11">
                  <c:v>42284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42411</c:v>
                </c:pt>
                <c:pt idx="16">
                  <c:v>42440</c:v>
                </c:pt>
                <c:pt idx="17">
                  <c:v>42471</c:v>
                </c:pt>
                <c:pt idx="18">
                  <c:v>42501</c:v>
                </c:pt>
                <c:pt idx="19">
                  <c:v>42534</c:v>
                </c:pt>
                <c:pt idx="20">
                  <c:v>42564</c:v>
                </c:pt>
                <c:pt idx="21">
                  <c:v>42597</c:v>
                </c:pt>
                <c:pt idx="22">
                  <c:v>42628</c:v>
                </c:pt>
                <c:pt idx="23">
                  <c:v>42660</c:v>
                </c:pt>
                <c:pt idx="24">
                  <c:v>42691</c:v>
                </c:pt>
                <c:pt idx="25">
                  <c:v>42723</c:v>
                </c:pt>
                <c:pt idx="26">
                  <c:v>42754</c:v>
                </c:pt>
                <c:pt idx="27">
                  <c:v>42786</c:v>
                </c:pt>
                <c:pt idx="28">
                  <c:v>42814</c:v>
                </c:pt>
                <c:pt idx="29">
                  <c:v>42845</c:v>
                </c:pt>
                <c:pt idx="30">
                  <c:v>42877</c:v>
                </c:pt>
                <c:pt idx="31">
                  <c:v>42908</c:v>
                </c:pt>
                <c:pt idx="32">
                  <c:v>42940</c:v>
                </c:pt>
                <c:pt idx="33">
                  <c:v>42971</c:v>
                </c:pt>
                <c:pt idx="34">
                  <c:v>43003</c:v>
                </c:pt>
                <c:pt idx="35">
                  <c:v>43033</c:v>
                </c:pt>
                <c:pt idx="36">
                  <c:v>43066</c:v>
                </c:pt>
                <c:pt idx="37">
                  <c:v>43096</c:v>
                </c:pt>
                <c:pt idx="38">
                  <c:v>43129</c:v>
                </c:pt>
                <c:pt idx="39">
                  <c:v>43159</c:v>
                </c:pt>
                <c:pt idx="40">
                  <c:v>43187</c:v>
                </c:pt>
                <c:pt idx="41">
                  <c:v>43220</c:v>
                </c:pt>
                <c:pt idx="42">
                  <c:v>43250</c:v>
                </c:pt>
                <c:pt idx="43">
                  <c:v>43283</c:v>
                </c:pt>
                <c:pt idx="44">
                  <c:v>43314</c:v>
                </c:pt>
                <c:pt idx="45">
                  <c:v>43346</c:v>
                </c:pt>
                <c:pt idx="46">
                  <c:v>43376</c:v>
                </c:pt>
                <c:pt idx="47">
                  <c:v>43409</c:v>
                </c:pt>
                <c:pt idx="48">
                  <c:v>43439</c:v>
                </c:pt>
                <c:pt idx="49">
                  <c:v>43472</c:v>
                </c:pt>
                <c:pt idx="50">
                  <c:v>43503</c:v>
                </c:pt>
                <c:pt idx="51">
                  <c:v>43531</c:v>
                </c:pt>
                <c:pt idx="52">
                  <c:v>43563</c:v>
                </c:pt>
                <c:pt idx="53">
                  <c:v>43593</c:v>
                </c:pt>
                <c:pt idx="54">
                  <c:v>43626</c:v>
                </c:pt>
                <c:pt idx="55">
                  <c:v>43656</c:v>
                </c:pt>
                <c:pt idx="56">
                  <c:v>43689</c:v>
                </c:pt>
                <c:pt idx="57">
                  <c:v>43720</c:v>
                </c:pt>
                <c:pt idx="58">
                  <c:v>43752</c:v>
                </c:pt>
                <c:pt idx="59">
                  <c:v>43783</c:v>
                </c:pt>
                <c:pt idx="60">
                  <c:v>43815</c:v>
                </c:pt>
                <c:pt idx="61">
                  <c:v>43846</c:v>
                </c:pt>
                <c:pt idx="62">
                  <c:v>43878</c:v>
                </c:pt>
                <c:pt idx="63">
                  <c:v>43907</c:v>
                </c:pt>
                <c:pt idx="64">
                  <c:v>43938</c:v>
                </c:pt>
                <c:pt idx="65">
                  <c:v>43969</c:v>
                </c:pt>
                <c:pt idx="66">
                  <c:v>44000</c:v>
                </c:pt>
                <c:pt idx="67">
                  <c:v>44032</c:v>
                </c:pt>
                <c:pt idx="68">
                  <c:v>44063</c:v>
                </c:pt>
                <c:pt idx="69">
                  <c:v>44095</c:v>
                </c:pt>
                <c:pt idx="70">
                  <c:v>44125</c:v>
                </c:pt>
                <c:pt idx="71">
                  <c:v>44158</c:v>
                </c:pt>
                <c:pt idx="72">
                  <c:v>44188</c:v>
                </c:pt>
                <c:pt idx="73">
                  <c:v>44221</c:v>
                </c:pt>
                <c:pt idx="74">
                  <c:v>44252</c:v>
                </c:pt>
                <c:pt idx="75">
                  <c:v>44280</c:v>
                </c:pt>
                <c:pt idx="76">
                  <c:v>44312</c:v>
                </c:pt>
                <c:pt idx="77">
                  <c:v>44342</c:v>
                </c:pt>
                <c:pt idx="78">
                  <c:v>44375</c:v>
                </c:pt>
                <c:pt idx="79">
                  <c:v>44405</c:v>
                </c:pt>
                <c:pt idx="80">
                  <c:v>44438</c:v>
                </c:pt>
                <c:pt idx="81">
                  <c:v>44469</c:v>
                </c:pt>
                <c:pt idx="82">
                  <c:v>44501</c:v>
                </c:pt>
                <c:pt idx="83">
                  <c:v>44531</c:v>
                </c:pt>
                <c:pt idx="84">
                  <c:v>44564</c:v>
                </c:pt>
                <c:pt idx="85">
                  <c:v>44595</c:v>
                </c:pt>
                <c:pt idx="86">
                  <c:v>44623</c:v>
                </c:pt>
                <c:pt idx="87">
                  <c:v>44655</c:v>
                </c:pt>
                <c:pt idx="88">
                  <c:v>44685</c:v>
                </c:pt>
                <c:pt idx="89">
                  <c:v>44718</c:v>
                </c:pt>
                <c:pt idx="90">
                  <c:v>44748</c:v>
                </c:pt>
                <c:pt idx="91">
                  <c:v>44781</c:v>
                </c:pt>
                <c:pt idx="92">
                  <c:v>44812</c:v>
                </c:pt>
                <c:pt idx="93">
                  <c:v>44844</c:v>
                </c:pt>
                <c:pt idx="94">
                  <c:v>44875</c:v>
                </c:pt>
                <c:pt idx="95">
                  <c:v>44907</c:v>
                </c:pt>
                <c:pt idx="96">
                  <c:v>44938</c:v>
                </c:pt>
                <c:pt idx="97">
                  <c:v>44970</c:v>
                </c:pt>
                <c:pt idx="98">
                  <c:v>44998</c:v>
                </c:pt>
                <c:pt idx="99">
                  <c:v>45029</c:v>
                </c:pt>
                <c:pt idx="100">
                  <c:v>45061</c:v>
                </c:pt>
                <c:pt idx="101">
                  <c:v>45092</c:v>
                </c:pt>
                <c:pt idx="102">
                  <c:v>45124</c:v>
                </c:pt>
                <c:pt idx="103">
                  <c:v>45155</c:v>
                </c:pt>
                <c:pt idx="104">
                  <c:v>45187</c:v>
                </c:pt>
                <c:pt idx="105">
                  <c:v>45217</c:v>
                </c:pt>
                <c:pt idx="106">
                  <c:v>45250</c:v>
                </c:pt>
                <c:pt idx="107">
                  <c:v>45280</c:v>
                </c:pt>
                <c:pt idx="108">
                  <c:v>45313</c:v>
                </c:pt>
                <c:pt idx="109">
                  <c:v>45344</c:v>
                </c:pt>
                <c:pt idx="110">
                  <c:v>45373</c:v>
                </c:pt>
                <c:pt idx="111">
                  <c:v>45404</c:v>
                </c:pt>
                <c:pt idx="112">
                  <c:v>45434</c:v>
                </c:pt>
                <c:pt idx="113">
                  <c:v>45467</c:v>
                </c:pt>
                <c:pt idx="114">
                  <c:v>45497</c:v>
                </c:pt>
                <c:pt idx="115">
                  <c:v>45530</c:v>
                </c:pt>
                <c:pt idx="116">
                  <c:v>45561</c:v>
                </c:pt>
                <c:pt idx="117">
                  <c:v>45593</c:v>
                </c:pt>
                <c:pt idx="118">
                  <c:v>45624</c:v>
                </c:pt>
                <c:pt idx="119">
                  <c:v>45656</c:v>
                </c:pt>
                <c:pt idx="120">
                  <c:v>45687</c:v>
                </c:pt>
                <c:pt idx="121">
                  <c:v>45716</c:v>
                </c:pt>
                <c:pt idx="122">
                  <c:v>45744</c:v>
                </c:pt>
                <c:pt idx="123">
                  <c:v>45775</c:v>
                </c:pt>
                <c:pt idx="124">
                  <c:v>45805</c:v>
                </c:pt>
                <c:pt idx="125">
                  <c:v>45838</c:v>
                </c:pt>
                <c:pt idx="126">
                  <c:v>45868</c:v>
                </c:pt>
                <c:pt idx="127">
                  <c:v>45901</c:v>
                </c:pt>
                <c:pt idx="128">
                  <c:v>45931</c:v>
                </c:pt>
                <c:pt idx="129">
                  <c:v>45964</c:v>
                </c:pt>
                <c:pt idx="130">
                  <c:v>45994</c:v>
                </c:pt>
                <c:pt idx="131">
                  <c:v>46027</c:v>
                </c:pt>
                <c:pt idx="132">
                  <c:v>46058</c:v>
                </c:pt>
                <c:pt idx="133">
                  <c:v>46086</c:v>
                </c:pt>
                <c:pt idx="134">
                  <c:v>46119</c:v>
                </c:pt>
                <c:pt idx="135">
                  <c:v>46149</c:v>
                </c:pt>
                <c:pt idx="136">
                  <c:v>46181</c:v>
                </c:pt>
                <c:pt idx="137">
                  <c:v>46211</c:v>
                </c:pt>
                <c:pt idx="138">
                  <c:v>46244</c:v>
                </c:pt>
                <c:pt idx="139">
                  <c:v>46275</c:v>
                </c:pt>
                <c:pt idx="140">
                  <c:v>46307</c:v>
                </c:pt>
                <c:pt idx="141">
                  <c:v>46338</c:v>
                </c:pt>
                <c:pt idx="142">
                  <c:v>46370</c:v>
                </c:pt>
                <c:pt idx="143">
                  <c:v>46401</c:v>
                </c:pt>
                <c:pt idx="144">
                  <c:v>46433</c:v>
                </c:pt>
                <c:pt idx="145">
                  <c:v>46461</c:v>
                </c:pt>
                <c:pt idx="146">
                  <c:v>46492</c:v>
                </c:pt>
                <c:pt idx="147">
                  <c:v>46524</c:v>
                </c:pt>
                <c:pt idx="148">
                  <c:v>46555</c:v>
                </c:pt>
                <c:pt idx="149">
                  <c:v>46587</c:v>
                </c:pt>
                <c:pt idx="150">
                  <c:v>46618</c:v>
                </c:pt>
                <c:pt idx="151">
                  <c:v>46650</c:v>
                </c:pt>
                <c:pt idx="152">
                  <c:v>46680</c:v>
                </c:pt>
                <c:pt idx="153">
                  <c:v>46713</c:v>
                </c:pt>
                <c:pt idx="154">
                  <c:v>46743</c:v>
                </c:pt>
                <c:pt idx="155">
                  <c:v>46776</c:v>
                </c:pt>
                <c:pt idx="156">
                  <c:v>46807</c:v>
                </c:pt>
                <c:pt idx="157">
                  <c:v>46836</c:v>
                </c:pt>
                <c:pt idx="158">
                  <c:v>46867</c:v>
                </c:pt>
                <c:pt idx="159">
                  <c:v>46897</c:v>
                </c:pt>
                <c:pt idx="160">
                  <c:v>46930</c:v>
                </c:pt>
                <c:pt idx="161">
                  <c:v>46960</c:v>
                </c:pt>
                <c:pt idx="162">
                  <c:v>46993</c:v>
                </c:pt>
                <c:pt idx="163">
                  <c:v>47024</c:v>
                </c:pt>
                <c:pt idx="164">
                  <c:v>47056</c:v>
                </c:pt>
                <c:pt idx="165">
                  <c:v>47087</c:v>
                </c:pt>
                <c:pt idx="166">
                  <c:v>47120</c:v>
                </c:pt>
                <c:pt idx="167">
                  <c:v>47151</c:v>
                </c:pt>
                <c:pt idx="168">
                  <c:v>47179</c:v>
                </c:pt>
                <c:pt idx="169">
                  <c:v>47211</c:v>
                </c:pt>
                <c:pt idx="170">
                  <c:v>47241</c:v>
                </c:pt>
                <c:pt idx="171">
                  <c:v>47273</c:v>
                </c:pt>
                <c:pt idx="172">
                  <c:v>47303</c:v>
                </c:pt>
                <c:pt idx="173">
                  <c:v>47336</c:v>
                </c:pt>
                <c:pt idx="174">
                  <c:v>47367</c:v>
                </c:pt>
                <c:pt idx="175">
                  <c:v>47399</c:v>
                </c:pt>
                <c:pt idx="176">
                  <c:v>47430</c:v>
                </c:pt>
                <c:pt idx="177">
                  <c:v>47462</c:v>
                </c:pt>
                <c:pt idx="178">
                  <c:v>47493</c:v>
                </c:pt>
                <c:pt idx="179">
                  <c:v>47525</c:v>
                </c:pt>
                <c:pt idx="180">
                  <c:v>47553</c:v>
                </c:pt>
                <c:pt idx="181">
                  <c:v>47584</c:v>
                </c:pt>
                <c:pt idx="182">
                  <c:v>47616</c:v>
                </c:pt>
                <c:pt idx="183">
                  <c:v>47647</c:v>
                </c:pt>
                <c:pt idx="184">
                  <c:v>47679</c:v>
                </c:pt>
                <c:pt idx="185">
                  <c:v>47710</c:v>
                </c:pt>
                <c:pt idx="186">
                  <c:v>47742</c:v>
                </c:pt>
                <c:pt idx="187">
                  <c:v>47772</c:v>
                </c:pt>
                <c:pt idx="188">
                  <c:v>47805</c:v>
                </c:pt>
                <c:pt idx="189">
                  <c:v>47835</c:v>
                </c:pt>
                <c:pt idx="190">
                  <c:v>47868</c:v>
                </c:pt>
                <c:pt idx="191">
                  <c:v>47899</c:v>
                </c:pt>
                <c:pt idx="192">
                  <c:v>47927</c:v>
                </c:pt>
                <c:pt idx="193">
                  <c:v>47959</c:v>
                </c:pt>
                <c:pt idx="194">
                  <c:v>47989</c:v>
                </c:pt>
                <c:pt idx="195">
                  <c:v>48022</c:v>
                </c:pt>
                <c:pt idx="196">
                  <c:v>48052</c:v>
                </c:pt>
                <c:pt idx="197">
                  <c:v>48085</c:v>
                </c:pt>
                <c:pt idx="198">
                  <c:v>48116</c:v>
                </c:pt>
                <c:pt idx="199">
                  <c:v>48148</c:v>
                </c:pt>
                <c:pt idx="200">
                  <c:v>48179</c:v>
                </c:pt>
                <c:pt idx="201">
                  <c:v>48211</c:v>
                </c:pt>
                <c:pt idx="202">
                  <c:v>48242</c:v>
                </c:pt>
                <c:pt idx="203">
                  <c:v>48274</c:v>
                </c:pt>
                <c:pt idx="204">
                  <c:v>48305</c:v>
                </c:pt>
                <c:pt idx="205">
                  <c:v>48337</c:v>
                </c:pt>
                <c:pt idx="206">
                  <c:v>48368</c:v>
                </c:pt>
                <c:pt idx="207">
                  <c:v>48400</c:v>
                </c:pt>
                <c:pt idx="208">
                  <c:v>48431</c:v>
                </c:pt>
                <c:pt idx="209">
                  <c:v>48463</c:v>
                </c:pt>
                <c:pt idx="210">
                  <c:v>48493</c:v>
                </c:pt>
                <c:pt idx="211">
                  <c:v>48526</c:v>
                </c:pt>
                <c:pt idx="212">
                  <c:v>48556</c:v>
                </c:pt>
                <c:pt idx="213">
                  <c:v>48589</c:v>
                </c:pt>
                <c:pt idx="214">
                  <c:v>48620</c:v>
                </c:pt>
                <c:pt idx="215">
                  <c:v>48648</c:v>
                </c:pt>
                <c:pt idx="216">
                  <c:v>48680</c:v>
                </c:pt>
                <c:pt idx="217">
                  <c:v>48710</c:v>
                </c:pt>
                <c:pt idx="218">
                  <c:v>48743</c:v>
                </c:pt>
                <c:pt idx="219">
                  <c:v>48773</c:v>
                </c:pt>
                <c:pt idx="220">
                  <c:v>48806</c:v>
                </c:pt>
                <c:pt idx="221">
                  <c:v>48837</c:v>
                </c:pt>
                <c:pt idx="222">
                  <c:v>48869</c:v>
                </c:pt>
                <c:pt idx="223">
                  <c:v>48900</c:v>
                </c:pt>
                <c:pt idx="224">
                  <c:v>48932</c:v>
                </c:pt>
                <c:pt idx="225">
                  <c:v>48963</c:v>
                </c:pt>
                <c:pt idx="226">
                  <c:v>48995</c:v>
                </c:pt>
                <c:pt idx="227">
                  <c:v>49023</c:v>
                </c:pt>
                <c:pt idx="228">
                  <c:v>49054</c:v>
                </c:pt>
                <c:pt idx="229">
                  <c:v>49086</c:v>
                </c:pt>
                <c:pt idx="230">
                  <c:v>49117</c:v>
                </c:pt>
                <c:pt idx="231">
                  <c:v>49149</c:v>
                </c:pt>
                <c:pt idx="232">
                  <c:v>49180</c:v>
                </c:pt>
                <c:pt idx="233">
                  <c:v>49212</c:v>
                </c:pt>
                <c:pt idx="234">
                  <c:v>49242</c:v>
                </c:pt>
                <c:pt idx="235">
                  <c:v>49275</c:v>
                </c:pt>
                <c:pt idx="236">
                  <c:v>49305</c:v>
                </c:pt>
                <c:pt idx="237">
                  <c:v>49338</c:v>
                </c:pt>
                <c:pt idx="238">
                  <c:v>49368</c:v>
                </c:pt>
                <c:pt idx="239">
                  <c:v>49396</c:v>
                </c:pt>
                <c:pt idx="240">
                  <c:v>49429</c:v>
                </c:pt>
                <c:pt idx="241">
                  <c:v>49459</c:v>
                </c:pt>
                <c:pt idx="242">
                  <c:v>49492</c:v>
                </c:pt>
                <c:pt idx="243">
                  <c:v>49523</c:v>
                </c:pt>
                <c:pt idx="244">
                  <c:v>49555</c:v>
                </c:pt>
                <c:pt idx="245">
                  <c:v>49585</c:v>
                </c:pt>
                <c:pt idx="246">
                  <c:v>49618</c:v>
                </c:pt>
                <c:pt idx="247">
                  <c:v>49648</c:v>
                </c:pt>
                <c:pt idx="248">
                  <c:v>49681</c:v>
                </c:pt>
                <c:pt idx="249">
                  <c:v>49712</c:v>
                </c:pt>
                <c:pt idx="250">
                  <c:v>49741</c:v>
                </c:pt>
                <c:pt idx="251">
                  <c:v>49772</c:v>
                </c:pt>
                <c:pt idx="252">
                  <c:v>49802</c:v>
                </c:pt>
                <c:pt idx="253">
                  <c:v>49835</c:v>
                </c:pt>
                <c:pt idx="254">
                  <c:v>49865</c:v>
                </c:pt>
                <c:pt idx="255">
                  <c:v>49898</c:v>
                </c:pt>
                <c:pt idx="256">
                  <c:v>49929</c:v>
                </c:pt>
                <c:pt idx="257">
                  <c:v>49961</c:v>
                </c:pt>
                <c:pt idx="258">
                  <c:v>49992</c:v>
                </c:pt>
                <c:pt idx="259">
                  <c:v>50024</c:v>
                </c:pt>
                <c:pt idx="260">
                  <c:v>50055</c:v>
                </c:pt>
                <c:pt idx="261">
                  <c:v>50087</c:v>
                </c:pt>
                <c:pt idx="262">
                  <c:v>50115</c:v>
                </c:pt>
                <c:pt idx="263">
                  <c:v>50146</c:v>
                </c:pt>
                <c:pt idx="264">
                  <c:v>50178</c:v>
                </c:pt>
                <c:pt idx="265">
                  <c:v>50209</c:v>
                </c:pt>
                <c:pt idx="266">
                  <c:v>50241</c:v>
                </c:pt>
                <c:pt idx="267">
                  <c:v>50272</c:v>
                </c:pt>
                <c:pt idx="268">
                  <c:v>50304</c:v>
                </c:pt>
                <c:pt idx="269">
                  <c:v>50334</c:v>
                </c:pt>
                <c:pt idx="270">
                  <c:v>50367</c:v>
                </c:pt>
                <c:pt idx="271">
                  <c:v>50397</c:v>
                </c:pt>
                <c:pt idx="272">
                  <c:v>50430</c:v>
                </c:pt>
                <c:pt idx="273">
                  <c:v>50461</c:v>
                </c:pt>
                <c:pt idx="274">
                  <c:v>50489</c:v>
                </c:pt>
                <c:pt idx="275">
                  <c:v>50522</c:v>
                </c:pt>
                <c:pt idx="276">
                  <c:v>50552</c:v>
                </c:pt>
                <c:pt idx="277">
                  <c:v>50584</c:v>
                </c:pt>
                <c:pt idx="278">
                  <c:v>50614</c:v>
                </c:pt>
                <c:pt idx="279">
                  <c:v>50647</c:v>
                </c:pt>
                <c:pt idx="280">
                  <c:v>50678</c:v>
                </c:pt>
                <c:pt idx="281">
                  <c:v>50710</c:v>
                </c:pt>
                <c:pt idx="282">
                  <c:v>50740</c:v>
                </c:pt>
                <c:pt idx="283">
                  <c:v>50773</c:v>
                </c:pt>
                <c:pt idx="284">
                  <c:v>50804</c:v>
                </c:pt>
                <c:pt idx="285">
                  <c:v>50832</c:v>
                </c:pt>
                <c:pt idx="286">
                  <c:v>50864</c:v>
                </c:pt>
                <c:pt idx="287">
                  <c:v>50894</c:v>
                </c:pt>
                <c:pt idx="288">
                  <c:v>50927</c:v>
                </c:pt>
                <c:pt idx="289">
                  <c:v>50957</c:v>
                </c:pt>
                <c:pt idx="290">
                  <c:v>50990</c:v>
                </c:pt>
                <c:pt idx="291">
                  <c:v>51021</c:v>
                </c:pt>
                <c:pt idx="292">
                  <c:v>51053</c:v>
                </c:pt>
                <c:pt idx="293">
                  <c:v>51084</c:v>
                </c:pt>
                <c:pt idx="294">
                  <c:v>51116</c:v>
                </c:pt>
                <c:pt idx="295">
                  <c:v>51147</c:v>
                </c:pt>
                <c:pt idx="296">
                  <c:v>51179</c:v>
                </c:pt>
                <c:pt idx="297">
                  <c:v>51208</c:v>
                </c:pt>
                <c:pt idx="298">
                  <c:v>51239</c:v>
                </c:pt>
                <c:pt idx="299">
                  <c:v>51270</c:v>
                </c:pt>
                <c:pt idx="300">
                  <c:v>51301</c:v>
                </c:pt>
                <c:pt idx="301">
                  <c:v>51333</c:v>
                </c:pt>
                <c:pt idx="302">
                  <c:v>51364</c:v>
                </c:pt>
                <c:pt idx="303">
                  <c:v>51396</c:v>
                </c:pt>
                <c:pt idx="304">
                  <c:v>51426</c:v>
                </c:pt>
                <c:pt idx="305">
                  <c:v>51459</c:v>
                </c:pt>
                <c:pt idx="306">
                  <c:v>51489</c:v>
                </c:pt>
                <c:pt idx="307">
                  <c:v>51522</c:v>
                </c:pt>
                <c:pt idx="308">
                  <c:v>51553</c:v>
                </c:pt>
                <c:pt idx="309">
                  <c:v>51581</c:v>
                </c:pt>
                <c:pt idx="310">
                  <c:v>51614</c:v>
                </c:pt>
                <c:pt idx="311">
                  <c:v>51644</c:v>
                </c:pt>
                <c:pt idx="312">
                  <c:v>51676</c:v>
                </c:pt>
                <c:pt idx="313">
                  <c:v>51706</c:v>
                </c:pt>
                <c:pt idx="314">
                  <c:v>51739</c:v>
                </c:pt>
                <c:pt idx="315">
                  <c:v>51770</c:v>
                </c:pt>
                <c:pt idx="316">
                  <c:v>51802</c:v>
                </c:pt>
                <c:pt idx="317">
                  <c:v>51833</c:v>
                </c:pt>
                <c:pt idx="318">
                  <c:v>51865</c:v>
                </c:pt>
                <c:pt idx="319">
                  <c:v>51896</c:v>
                </c:pt>
                <c:pt idx="320">
                  <c:v>51925</c:v>
                </c:pt>
                <c:pt idx="321">
                  <c:v>51953</c:v>
                </c:pt>
                <c:pt idx="322">
                  <c:v>51984</c:v>
                </c:pt>
                <c:pt idx="323">
                  <c:v>52014</c:v>
                </c:pt>
                <c:pt idx="324">
                  <c:v>52047</c:v>
                </c:pt>
                <c:pt idx="325">
                  <c:v>52077</c:v>
                </c:pt>
                <c:pt idx="326">
                  <c:v>52110</c:v>
                </c:pt>
                <c:pt idx="327">
                  <c:v>52140</c:v>
                </c:pt>
                <c:pt idx="328">
                  <c:v>52173</c:v>
                </c:pt>
                <c:pt idx="329">
                  <c:v>52203</c:v>
                </c:pt>
                <c:pt idx="330">
                  <c:v>52236</c:v>
                </c:pt>
                <c:pt idx="331">
                  <c:v>52267</c:v>
                </c:pt>
                <c:pt idx="332">
                  <c:v>52295</c:v>
                </c:pt>
                <c:pt idx="333">
                  <c:v>52327</c:v>
                </c:pt>
                <c:pt idx="334">
                  <c:v>52357</c:v>
                </c:pt>
                <c:pt idx="335">
                  <c:v>52390</c:v>
                </c:pt>
                <c:pt idx="336">
                  <c:v>52420</c:v>
                </c:pt>
                <c:pt idx="337">
                  <c:v>52453</c:v>
                </c:pt>
                <c:pt idx="338">
                  <c:v>52484</c:v>
                </c:pt>
                <c:pt idx="339">
                  <c:v>52516</c:v>
                </c:pt>
                <c:pt idx="340">
                  <c:v>52547</c:v>
                </c:pt>
                <c:pt idx="341">
                  <c:v>52579</c:v>
                </c:pt>
                <c:pt idx="342">
                  <c:v>52610</c:v>
                </c:pt>
                <c:pt idx="343">
                  <c:v>52642</c:v>
                </c:pt>
                <c:pt idx="344">
                  <c:v>52671</c:v>
                </c:pt>
                <c:pt idx="345">
                  <c:v>52706</c:v>
                </c:pt>
                <c:pt idx="346">
                  <c:v>52736</c:v>
                </c:pt>
                <c:pt idx="347">
                  <c:v>52768</c:v>
                </c:pt>
                <c:pt idx="348">
                  <c:v>52798</c:v>
                </c:pt>
                <c:pt idx="349">
                  <c:v>52831</c:v>
                </c:pt>
                <c:pt idx="350">
                  <c:v>52862</c:v>
                </c:pt>
                <c:pt idx="351">
                  <c:v>52894</c:v>
                </c:pt>
                <c:pt idx="352">
                  <c:v>52925</c:v>
                </c:pt>
                <c:pt idx="353">
                  <c:v>52958</c:v>
                </c:pt>
                <c:pt idx="354">
                  <c:v>52989</c:v>
                </c:pt>
                <c:pt idx="355">
                  <c:v>53020</c:v>
                </c:pt>
                <c:pt idx="356">
                  <c:v>53048</c:v>
                </c:pt>
                <c:pt idx="357">
                  <c:v>53079</c:v>
                </c:pt>
                <c:pt idx="358">
                  <c:v>53111</c:v>
                </c:pt>
                <c:pt idx="359">
                  <c:v>53142</c:v>
                </c:pt>
                <c:pt idx="360">
                  <c:v>53174</c:v>
                </c:pt>
                <c:pt idx="361">
                  <c:v>53205</c:v>
                </c:pt>
                <c:pt idx="362">
                  <c:v>53237</c:v>
                </c:pt>
                <c:pt idx="363">
                  <c:v>53268</c:v>
                </c:pt>
                <c:pt idx="364">
                  <c:v>53300</c:v>
                </c:pt>
                <c:pt idx="365">
                  <c:v>53331</c:v>
                </c:pt>
                <c:pt idx="366">
                  <c:v>53363</c:v>
                </c:pt>
                <c:pt idx="367">
                  <c:v>53391</c:v>
                </c:pt>
                <c:pt idx="368">
                  <c:v>53422</c:v>
                </c:pt>
                <c:pt idx="369">
                  <c:v>53454</c:v>
                </c:pt>
                <c:pt idx="370">
                  <c:v>53485</c:v>
                </c:pt>
                <c:pt idx="371">
                  <c:v>53517</c:v>
                </c:pt>
                <c:pt idx="372">
                  <c:v>53548</c:v>
                </c:pt>
                <c:pt idx="373">
                  <c:v>53580</c:v>
                </c:pt>
                <c:pt idx="374">
                  <c:v>53610</c:v>
                </c:pt>
                <c:pt idx="375">
                  <c:v>53643</c:v>
                </c:pt>
                <c:pt idx="376">
                  <c:v>53673</c:v>
                </c:pt>
                <c:pt idx="377">
                  <c:v>53706</c:v>
                </c:pt>
                <c:pt idx="378">
                  <c:v>53737</c:v>
                </c:pt>
                <c:pt idx="379">
                  <c:v>53765</c:v>
                </c:pt>
                <c:pt idx="380">
                  <c:v>53798</c:v>
                </c:pt>
                <c:pt idx="381">
                  <c:v>53828</c:v>
                </c:pt>
                <c:pt idx="382">
                  <c:v>53860</c:v>
                </c:pt>
                <c:pt idx="383">
                  <c:v>53890</c:v>
                </c:pt>
                <c:pt idx="384">
                  <c:v>53923</c:v>
                </c:pt>
                <c:pt idx="385">
                  <c:v>53954</c:v>
                </c:pt>
                <c:pt idx="386">
                  <c:v>53986</c:v>
                </c:pt>
                <c:pt idx="387">
                  <c:v>54017</c:v>
                </c:pt>
                <c:pt idx="388">
                  <c:v>54049</c:v>
                </c:pt>
                <c:pt idx="389">
                  <c:v>54080</c:v>
                </c:pt>
                <c:pt idx="390">
                  <c:v>54112</c:v>
                </c:pt>
                <c:pt idx="391">
                  <c:v>54141</c:v>
                </c:pt>
                <c:pt idx="392">
                  <c:v>54172</c:v>
                </c:pt>
                <c:pt idx="393">
                  <c:v>54203</c:v>
                </c:pt>
                <c:pt idx="394">
                  <c:v>54234</c:v>
                </c:pt>
                <c:pt idx="395">
                  <c:v>54266</c:v>
                </c:pt>
                <c:pt idx="396">
                  <c:v>54297</c:v>
                </c:pt>
                <c:pt idx="397">
                  <c:v>54329</c:v>
                </c:pt>
                <c:pt idx="398">
                  <c:v>54359</c:v>
                </c:pt>
                <c:pt idx="399">
                  <c:v>54392</c:v>
                </c:pt>
                <c:pt idx="400">
                  <c:v>54422</c:v>
                </c:pt>
                <c:pt idx="401">
                  <c:v>54455</c:v>
                </c:pt>
                <c:pt idx="402">
                  <c:v>54483</c:v>
                </c:pt>
                <c:pt idx="403">
                  <c:v>54514</c:v>
                </c:pt>
                <c:pt idx="404">
                  <c:v>54546</c:v>
                </c:pt>
                <c:pt idx="405">
                  <c:v>54577</c:v>
                </c:pt>
                <c:pt idx="406">
                  <c:v>54609</c:v>
                </c:pt>
                <c:pt idx="407">
                  <c:v>54640</c:v>
                </c:pt>
                <c:pt idx="408">
                  <c:v>54672</c:v>
                </c:pt>
                <c:pt idx="409">
                  <c:v>54702</c:v>
                </c:pt>
                <c:pt idx="410">
                  <c:v>54735</c:v>
                </c:pt>
                <c:pt idx="411">
                  <c:v>54765</c:v>
                </c:pt>
                <c:pt idx="412">
                  <c:v>54798</c:v>
                </c:pt>
                <c:pt idx="413">
                  <c:v>54829</c:v>
                </c:pt>
                <c:pt idx="414">
                  <c:v>54857</c:v>
                </c:pt>
                <c:pt idx="415">
                  <c:v>54890</c:v>
                </c:pt>
                <c:pt idx="416">
                  <c:v>54920</c:v>
                </c:pt>
                <c:pt idx="417">
                  <c:v>54952</c:v>
                </c:pt>
                <c:pt idx="418">
                  <c:v>54982</c:v>
                </c:pt>
                <c:pt idx="419">
                  <c:v>55015</c:v>
                </c:pt>
                <c:pt idx="420">
                  <c:v>55046</c:v>
                </c:pt>
                <c:pt idx="421">
                  <c:v>55078</c:v>
                </c:pt>
                <c:pt idx="422">
                  <c:v>55109</c:v>
                </c:pt>
                <c:pt idx="423">
                  <c:v>55141</c:v>
                </c:pt>
                <c:pt idx="424">
                  <c:v>55172</c:v>
                </c:pt>
                <c:pt idx="425">
                  <c:v>55204</c:v>
                </c:pt>
                <c:pt idx="426">
                  <c:v>55232</c:v>
                </c:pt>
                <c:pt idx="427">
                  <c:v>55263</c:v>
                </c:pt>
                <c:pt idx="428">
                  <c:v>55295</c:v>
                </c:pt>
                <c:pt idx="429">
                  <c:v>55326</c:v>
                </c:pt>
                <c:pt idx="430">
                  <c:v>55358</c:v>
                </c:pt>
                <c:pt idx="431">
                  <c:v>55389</c:v>
                </c:pt>
                <c:pt idx="432">
                  <c:v>55421</c:v>
                </c:pt>
                <c:pt idx="433">
                  <c:v>55451</c:v>
                </c:pt>
                <c:pt idx="434">
                  <c:v>55484</c:v>
                </c:pt>
                <c:pt idx="435">
                  <c:v>55514</c:v>
                </c:pt>
                <c:pt idx="436">
                  <c:v>55547</c:v>
                </c:pt>
                <c:pt idx="437">
                  <c:v>55578</c:v>
                </c:pt>
                <c:pt idx="438">
                  <c:v>55607</c:v>
                </c:pt>
                <c:pt idx="439">
                  <c:v>55638</c:v>
                </c:pt>
                <c:pt idx="440">
                  <c:v>55668</c:v>
                </c:pt>
                <c:pt idx="441">
                  <c:v>55701</c:v>
                </c:pt>
                <c:pt idx="442">
                  <c:v>55732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55857</c:v>
                </c:pt>
                <c:pt idx="447">
                  <c:v>55890</c:v>
                </c:pt>
                <c:pt idx="448">
                  <c:v>55921</c:v>
                </c:pt>
                <c:pt idx="449">
                  <c:v>55949</c:v>
                </c:pt>
                <c:pt idx="450">
                  <c:v>55982</c:v>
                </c:pt>
                <c:pt idx="451">
                  <c:v>56012</c:v>
                </c:pt>
                <c:pt idx="452">
                  <c:v>56044</c:v>
                </c:pt>
                <c:pt idx="453">
                  <c:v>56074</c:v>
                </c:pt>
                <c:pt idx="454">
                  <c:v>56107</c:v>
                </c:pt>
                <c:pt idx="455">
                  <c:v>56138</c:v>
                </c:pt>
                <c:pt idx="456">
                  <c:v>56170</c:v>
                </c:pt>
                <c:pt idx="457">
                  <c:v>56201</c:v>
                </c:pt>
                <c:pt idx="458">
                  <c:v>56233</c:v>
                </c:pt>
                <c:pt idx="459">
                  <c:v>56264</c:v>
                </c:pt>
                <c:pt idx="460">
                  <c:v>56296</c:v>
                </c:pt>
                <c:pt idx="461">
                  <c:v>56324</c:v>
                </c:pt>
                <c:pt idx="462">
                  <c:v>56355</c:v>
                </c:pt>
                <c:pt idx="463">
                  <c:v>56387</c:v>
                </c:pt>
                <c:pt idx="464">
                  <c:v>56418</c:v>
                </c:pt>
                <c:pt idx="465">
                  <c:v>56450</c:v>
                </c:pt>
                <c:pt idx="466">
                  <c:v>56481</c:v>
                </c:pt>
                <c:pt idx="467">
                  <c:v>56513</c:v>
                </c:pt>
                <c:pt idx="468">
                  <c:v>56543</c:v>
                </c:pt>
                <c:pt idx="469">
                  <c:v>56576</c:v>
                </c:pt>
                <c:pt idx="470">
                  <c:v>56606</c:v>
                </c:pt>
                <c:pt idx="471">
                  <c:v>56639</c:v>
                </c:pt>
                <c:pt idx="472">
                  <c:v>56670</c:v>
                </c:pt>
                <c:pt idx="473">
                  <c:v>56698</c:v>
                </c:pt>
                <c:pt idx="474">
                  <c:v>56730</c:v>
                </c:pt>
                <c:pt idx="475">
                  <c:v>56760</c:v>
                </c:pt>
                <c:pt idx="476">
                  <c:v>56793</c:v>
                </c:pt>
                <c:pt idx="477">
                  <c:v>56823</c:v>
                </c:pt>
                <c:pt idx="478">
                  <c:v>56856</c:v>
                </c:pt>
                <c:pt idx="479">
                  <c:v>56887</c:v>
                </c:pt>
                <c:pt idx="480">
                  <c:v>56919</c:v>
                </c:pt>
                <c:pt idx="481">
                  <c:v>56949</c:v>
                </c:pt>
                <c:pt idx="482">
                  <c:v>56982</c:v>
                </c:pt>
                <c:pt idx="483">
                  <c:v>57013</c:v>
                </c:pt>
                <c:pt idx="484">
                  <c:v>57042</c:v>
                </c:pt>
                <c:pt idx="485">
                  <c:v>57074</c:v>
                </c:pt>
                <c:pt idx="486">
                  <c:v>57104</c:v>
                </c:pt>
                <c:pt idx="487">
                  <c:v>57136</c:v>
                </c:pt>
                <c:pt idx="488">
                  <c:v>57166</c:v>
                </c:pt>
                <c:pt idx="489">
                  <c:v>57199</c:v>
                </c:pt>
                <c:pt idx="490">
                  <c:v>57230</c:v>
                </c:pt>
                <c:pt idx="491">
                  <c:v>57262</c:v>
                </c:pt>
                <c:pt idx="492">
                  <c:v>57293</c:v>
                </c:pt>
                <c:pt idx="493">
                  <c:v>57325</c:v>
                </c:pt>
                <c:pt idx="494">
                  <c:v>57356</c:v>
                </c:pt>
                <c:pt idx="495">
                  <c:v>57388</c:v>
                </c:pt>
                <c:pt idx="496">
                  <c:v>57416</c:v>
                </c:pt>
                <c:pt idx="497">
                  <c:v>57447</c:v>
                </c:pt>
                <c:pt idx="498">
                  <c:v>57479</c:v>
                </c:pt>
                <c:pt idx="499">
                  <c:v>57510</c:v>
                </c:pt>
                <c:pt idx="500">
                  <c:v>57542</c:v>
                </c:pt>
                <c:pt idx="501">
                  <c:v>57573</c:v>
                </c:pt>
                <c:pt idx="502">
                  <c:v>57605</c:v>
                </c:pt>
                <c:pt idx="503">
                  <c:v>57635</c:v>
                </c:pt>
                <c:pt idx="504">
                  <c:v>57668</c:v>
                </c:pt>
                <c:pt idx="505">
                  <c:v>57698</c:v>
                </c:pt>
                <c:pt idx="506">
                  <c:v>57731</c:v>
                </c:pt>
                <c:pt idx="507">
                  <c:v>57762</c:v>
                </c:pt>
                <c:pt idx="508">
                  <c:v>57790</c:v>
                </c:pt>
                <c:pt idx="509">
                  <c:v>57822</c:v>
                </c:pt>
                <c:pt idx="510">
                  <c:v>57852</c:v>
                </c:pt>
                <c:pt idx="511">
                  <c:v>57885</c:v>
                </c:pt>
                <c:pt idx="512">
                  <c:v>57915</c:v>
                </c:pt>
                <c:pt idx="513">
                  <c:v>57948</c:v>
                </c:pt>
                <c:pt idx="514">
                  <c:v>57979</c:v>
                </c:pt>
                <c:pt idx="515">
                  <c:v>58011</c:v>
                </c:pt>
                <c:pt idx="516">
                  <c:v>58042</c:v>
                </c:pt>
                <c:pt idx="517">
                  <c:v>58074</c:v>
                </c:pt>
                <c:pt idx="518">
                  <c:v>58105</c:v>
                </c:pt>
                <c:pt idx="519">
                  <c:v>58134</c:v>
                </c:pt>
                <c:pt idx="520">
                  <c:v>58166</c:v>
                </c:pt>
                <c:pt idx="521">
                  <c:v>58197</c:v>
                </c:pt>
                <c:pt idx="522">
                  <c:v>58228</c:v>
                </c:pt>
                <c:pt idx="523">
                  <c:v>58258</c:v>
                </c:pt>
                <c:pt idx="524">
                  <c:v>58291</c:v>
                </c:pt>
                <c:pt idx="525">
                  <c:v>58322</c:v>
                </c:pt>
                <c:pt idx="526">
                  <c:v>58354</c:v>
                </c:pt>
                <c:pt idx="527">
                  <c:v>58385</c:v>
                </c:pt>
                <c:pt idx="528">
                  <c:v>58417</c:v>
                </c:pt>
                <c:pt idx="529">
                  <c:v>58448</c:v>
                </c:pt>
                <c:pt idx="530">
                  <c:v>58480</c:v>
                </c:pt>
                <c:pt idx="531">
                  <c:v>58509</c:v>
                </c:pt>
                <c:pt idx="532">
                  <c:v>58540</c:v>
                </c:pt>
                <c:pt idx="533">
                  <c:v>58571</c:v>
                </c:pt>
                <c:pt idx="534">
                  <c:v>58602</c:v>
                </c:pt>
                <c:pt idx="535">
                  <c:v>58634</c:v>
                </c:pt>
                <c:pt idx="536">
                  <c:v>58665</c:v>
                </c:pt>
                <c:pt idx="537">
                  <c:v>58697</c:v>
                </c:pt>
                <c:pt idx="538">
                  <c:v>58727</c:v>
                </c:pt>
                <c:pt idx="539">
                  <c:v>58760</c:v>
                </c:pt>
                <c:pt idx="540">
                  <c:v>58790</c:v>
                </c:pt>
                <c:pt idx="541">
                  <c:v>58823</c:v>
                </c:pt>
                <c:pt idx="542">
                  <c:v>58854</c:v>
                </c:pt>
                <c:pt idx="543">
                  <c:v>58882</c:v>
                </c:pt>
                <c:pt idx="544">
                  <c:v>58914</c:v>
                </c:pt>
                <c:pt idx="545">
                  <c:v>58944</c:v>
                </c:pt>
                <c:pt idx="546">
                  <c:v>58977</c:v>
                </c:pt>
                <c:pt idx="547">
                  <c:v>59007</c:v>
                </c:pt>
                <c:pt idx="548">
                  <c:v>59040</c:v>
                </c:pt>
                <c:pt idx="549">
                  <c:v>59071</c:v>
                </c:pt>
                <c:pt idx="550">
                  <c:v>59103</c:v>
                </c:pt>
                <c:pt idx="551">
                  <c:v>59134</c:v>
                </c:pt>
                <c:pt idx="552">
                  <c:v>59167</c:v>
                </c:pt>
                <c:pt idx="553">
                  <c:v>59198</c:v>
                </c:pt>
                <c:pt idx="554">
                  <c:v>59229</c:v>
                </c:pt>
                <c:pt idx="555">
                  <c:v>59258</c:v>
                </c:pt>
                <c:pt idx="556">
                  <c:v>59289</c:v>
                </c:pt>
                <c:pt idx="557">
                  <c:v>59320</c:v>
                </c:pt>
                <c:pt idx="558">
                  <c:v>59351</c:v>
                </c:pt>
                <c:pt idx="559">
                  <c:v>59383</c:v>
                </c:pt>
                <c:pt idx="560">
                  <c:v>59414</c:v>
                </c:pt>
                <c:pt idx="561">
                  <c:v>59446</c:v>
                </c:pt>
                <c:pt idx="562">
                  <c:v>59477</c:v>
                </c:pt>
                <c:pt idx="563">
                  <c:v>59509</c:v>
                </c:pt>
                <c:pt idx="564">
                  <c:v>59540</c:v>
                </c:pt>
                <c:pt idx="565">
                  <c:v>59572</c:v>
                </c:pt>
                <c:pt idx="566">
                  <c:v>59600</c:v>
                </c:pt>
                <c:pt idx="567">
                  <c:v>59631</c:v>
                </c:pt>
                <c:pt idx="568">
                  <c:v>59663</c:v>
                </c:pt>
                <c:pt idx="569">
                  <c:v>59694</c:v>
                </c:pt>
                <c:pt idx="570">
                  <c:v>59726</c:v>
                </c:pt>
                <c:pt idx="571">
                  <c:v>59757</c:v>
                </c:pt>
                <c:pt idx="572">
                  <c:v>59789</c:v>
                </c:pt>
                <c:pt idx="573">
                  <c:v>59819</c:v>
                </c:pt>
                <c:pt idx="574">
                  <c:v>59852</c:v>
                </c:pt>
                <c:pt idx="575">
                  <c:v>59882</c:v>
                </c:pt>
                <c:pt idx="576">
                  <c:v>59915</c:v>
                </c:pt>
                <c:pt idx="577">
                  <c:v>59946</c:v>
                </c:pt>
                <c:pt idx="578">
                  <c:v>59975</c:v>
                </c:pt>
                <c:pt idx="579">
                  <c:v>60006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9.2500744093667881E-4</c:v>
                </c:pt>
                <c:pt idx="1">
                  <c:v>1.0230768429090771E-3</c:v>
                </c:pt>
                <c:pt idx="2">
                  <c:v>1.1071361674410696E-3</c:v>
                </c:pt>
                <c:pt idx="3">
                  <c:v>1.101324460862482E-3</c:v>
                </c:pt>
                <c:pt idx="4">
                  <c:v>1.0537579489354406E-3</c:v>
                </c:pt>
                <c:pt idx="5">
                  <c:v>1.0037995335198614E-3</c:v>
                </c:pt>
                <c:pt idx="6">
                  <c:v>9.7605801931898318E-4</c:v>
                </c:pt>
                <c:pt idx="7">
                  <c:v>9.7135637899235263E-4</c:v>
                </c:pt>
                <c:pt idx="8">
                  <c:v>9.8565536048598979E-4</c:v>
                </c:pt>
                <c:pt idx="9">
                  <c:v>1.01551503822594E-3</c:v>
                </c:pt>
                <c:pt idx="10">
                  <c:v>1.0599310908561194E-3</c:v>
                </c:pt>
                <c:pt idx="11">
                  <c:v>1.1148892303992968E-3</c:v>
                </c:pt>
                <c:pt idx="12">
                  <c:v>1.185456472933917E-3</c:v>
                </c:pt>
                <c:pt idx="13">
                  <c:v>1.2569771800500437E-3</c:v>
                </c:pt>
                <c:pt idx="14">
                  <c:v>1.3446951299831691E-3</c:v>
                </c:pt>
                <c:pt idx="15">
                  <c:v>1.4293277378474301E-3</c:v>
                </c:pt>
                <c:pt idx="16">
                  <c:v>1.5142369325916087E-3</c:v>
                </c:pt>
                <c:pt idx="17">
                  <c:v>1.5915187799703673E-3</c:v>
                </c:pt>
                <c:pt idx="18">
                  <c:v>1.672031259099176E-3</c:v>
                </c:pt>
                <c:pt idx="19">
                  <c:v>1.768625629691784E-3</c:v>
                </c:pt>
                <c:pt idx="20">
                  <c:v>1.8707729529377421E-3</c:v>
                </c:pt>
                <c:pt idx="21">
                  <c:v>1.9924975063780595E-3</c:v>
                </c:pt>
                <c:pt idx="22">
                  <c:v>2.1040133770102087E-3</c:v>
                </c:pt>
                <c:pt idx="23">
                  <c:v>2.2135008516719155E-3</c:v>
                </c:pt>
                <c:pt idx="24">
                  <c:v>2.3132332365764004E-3</c:v>
                </c:pt>
                <c:pt idx="25">
                  <c:v>2.4174221334940247E-3</c:v>
                </c:pt>
                <c:pt idx="26">
                  <c:v>2.5274863464535002E-3</c:v>
                </c:pt>
                <c:pt idx="27">
                  <c:v>2.6566128016205846E-3</c:v>
                </c:pt>
                <c:pt idx="28">
                  <c:v>2.7797537491685881E-3</c:v>
                </c:pt>
                <c:pt idx="29">
                  <c:v>2.9215750171180262E-3</c:v>
                </c:pt>
                <c:pt idx="30">
                  <c:v>3.084553094529075E-3</c:v>
                </c:pt>
                <c:pt idx="31">
                  <c:v>3.2511201575662731E-3</c:v>
                </c:pt>
                <c:pt idx="32">
                  <c:v>3.4345373359864644E-3</c:v>
                </c:pt>
                <c:pt idx="33">
                  <c:v>3.623095892891347E-3</c:v>
                </c:pt>
                <c:pt idx="34">
                  <c:v>3.8298743925072845E-3</c:v>
                </c:pt>
                <c:pt idx="35">
                  <c:v>4.0224378805189453E-3</c:v>
                </c:pt>
                <c:pt idx="36">
                  <c:v>4.2403849472460531E-3</c:v>
                </c:pt>
                <c:pt idx="37">
                  <c:v>4.4332242617466378E-3</c:v>
                </c:pt>
                <c:pt idx="38">
                  <c:v>4.6577251613887632E-3</c:v>
                </c:pt>
                <c:pt idx="39">
                  <c:v>4.8636340261998257E-3</c:v>
                </c:pt>
                <c:pt idx="40">
                  <c:v>5.0538886125285681E-3</c:v>
                </c:pt>
                <c:pt idx="41">
                  <c:v>5.2796682127018522E-3</c:v>
                </c:pt>
                <c:pt idx="42">
                  <c:v>5.4863788361844091E-3</c:v>
                </c:pt>
                <c:pt idx="43">
                  <c:v>5.7153628767290052E-3</c:v>
                </c:pt>
                <c:pt idx="44">
                  <c:v>5.931998493836777E-3</c:v>
                </c:pt>
                <c:pt idx="45">
                  <c:v>6.1536225428042912E-3</c:v>
                </c:pt>
                <c:pt idx="46">
                  <c:v>6.3700089138343918E-3</c:v>
                </c:pt>
                <c:pt idx="47">
                  <c:v>6.6061331474201587E-3</c:v>
                </c:pt>
                <c:pt idx="48">
                  <c:v>6.8153956938443727E-3</c:v>
                </c:pt>
                <c:pt idx="49">
                  <c:v>7.059655059435759E-3</c:v>
                </c:pt>
                <c:pt idx="50">
                  <c:v>7.2802018740736824E-3</c:v>
                </c:pt>
                <c:pt idx="51">
                  <c:v>7.4994202620176408E-3</c:v>
                </c:pt>
                <c:pt idx="52">
                  <c:v>7.7351913382583473E-3</c:v>
                </c:pt>
                <c:pt idx="53">
                  <c:v>7.9657181204173533E-3</c:v>
                </c:pt>
                <c:pt idx="54">
                  <c:v>8.2172993093509537E-3</c:v>
                </c:pt>
                <c:pt idx="55">
                  <c:v>8.4480539437218876E-3</c:v>
                </c:pt>
                <c:pt idx="56">
                  <c:v>8.7041395276403182E-3</c:v>
                </c:pt>
                <c:pt idx="57">
                  <c:v>8.9430481135422939E-3</c:v>
                </c:pt>
                <c:pt idx="58">
                  <c:v>9.2010604575594769E-3</c:v>
                </c:pt>
                <c:pt idx="59">
                  <c:v>9.4507256294341507E-3</c:v>
                </c:pt>
                <c:pt idx="60">
                  <c:v>9.7083058698142089E-3</c:v>
                </c:pt>
                <c:pt idx="61">
                  <c:v>9.9659544981296286E-3</c:v>
                </c:pt>
                <c:pt idx="62">
                  <c:v>1.0236081521903953E-2</c:v>
                </c:pt>
                <c:pt idx="63">
                  <c:v>1.0489039791644473E-2</c:v>
                </c:pt>
                <c:pt idx="64">
                  <c:v>1.07539827326737E-2</c:v>
                </c:pt>
                <c:pt idx="65">
                  <c:v>1.1032042018928529E-2</c:v>
                </c:pt>
                <c:pt idx="66">
                  <c:v>1.1309507266655854E-2</c:v>
                </c:pt>
                <c:pt idx="67">
                  <c:v>1.1600094737002124E-2</c:v>
                </c:pt>
                <c:pt idx="68">
                  <c:v>1.1885540219037602E-2</c:v>
                </c:pt>
                <c:pt idx="69">
                  <c:v>1.2178049816491813E-2</c:v>
                </c:pt>
                <c:pt idx="70">
                  <c:v>1.2462295867227764E-2</c:v>
                </c:pt>
                <c:pt idx="71">
                  <c:v>1.276822474154818E-2</c:v>
                </c:pt>
                <c:pt idx="72">
                  <c:v>1.3034820633173183E-2</c:v>
                </c:pt>
                <c:pt idx="73">
                  <c:v>1.3341385994831334E-2</c:v>
                </c:pt>
                <c:pt idx="74">
                  <c:v>1.3613314744486463E-2</c:v>
                </c:pt>
                <c:pt idx="75">
                  <c:v>1.3880146630118703E-2</c:v>
                </c:pt>
                <c:pt idx="76">
                  <c:v>1.4162088007188869E-2</c:v>
                </c:pt>
                <c:pt idx="77">
                  <c:v>1.443368237879702E-2</c:v>
                </c:pt>
                <c:pt idx="78">
                  <c:v>1.4725133576982977E-2</c:v>
                </c:pt>
                <c:pt idx="79">
                  <c:v>1.4988175960505617E-2</c:v>
                </c:pt>
                <c:pt idx="80">
                  <c:v>1.5275163825033255E-2</c:v>
                </c:pt>
                <c:pt idx="81">
                  <c:v>1.554130502099646E-2</c:v>
                </c:pt>
                <c:pt idx="82">
                  <c:v>1.5811022948393302E-2</c:v>
                </c:pt>
                <c:pt idx="83">
                  <c:v>1.604943316130214E-2</c:v>
                </c:pt>
                <c:pt idx="84">
                  <c:v>1.6319251646951822E-2</c:v>
                </c:pt>
                <c:pt idx="85">
                  <c:v>1.6553932638867109E-2</c:v>
                </c:pt>
                <c:pt idx="86">
                  <c:v>1.6780830462690025E-2</c:v>
                </c:pt>
                <c:pt idx="87">
                  <c:v>1.7015633761082009E-2</c:v>
                </c:pt>
                <c:pt idx="88">
                  <c:v>1.723771445158755E-2</c:v>
                </c:pt>
                <c:pt idx="89">
                  <c:v>1.747100599237994E-2</c:v>
                </c:pt>
                <c:pt idx="90">
                  <c:v>1.7677126282797457E-2</c:v>
                </c:pt>
                <c:pt idx="91">
                  <c:v>1.7897298861801639E-2</c:v>
                </c:pt>
                <c:pt idx="92">
                  <c:v>1.8094335503183331E-2</c:v>
                </c:pt>
                <c:pt idx="93">
                  <c:v>1.8298945622863081E-2</c:v>
                </c:pt>
                <c:pt idx="94">
                  <c:v>1.8487981907003993E-2</c:v>
                </c:pt>
                <c:pt idx="95">
                  <c:v>1.8674019027446837E-2</c:v>
                </c:pt>
                <c:pt idx="96">
                  <c:v>1.8848740587277923E-2</c:v>
                </c:pt>
                <c:pt idx="97">
                  <c:v>1.9030025661748308E-2</c:v>
                </c:pt>
                <c:pt idx="98">
                  <c:v>1.9184126755091752E-2</c:v>
                </c:pt>
                <c:pt idx="99">
                  <c:v>1.9342956829049858E-2</c:v>
                </c:pt>
                <c:pt idx="100">
                  <c:v>1.9507358951485598E-2</c:v>
                </c:pt>
                <c:pt idx="101">
                  <c:v>1.9658118943259573E-2</c:v>
                </c:pt>
                <c:pt idx="102">
                  <c:v>1.9808005432552764E-2</c:v>
                </c:pt>
                <c:pt idx="103">
                  <c:v>1.9947689369756706E-2</c:v>
                </c:pt>
                <c:pt idx="104">
                  <c:v>2.0084325764062168E-2</c:v>
                </c:pt>
                <c:pt idx="105">
                  <c:v>2.0214489016552897E-2</c:v>
                </c:pt>
                <c:pt idx="106">
                  <c:v>2.0352747109427274E-2</c:v>
                </c:pt>
                <c:pt idx="107">
                  <c:v>2.0474594801446238E-2</c:v>
                </c:pt>
                <c:pt idx="108">
                  <c:v>2.0610233790694547E-2</c:v>
                </c:pt>
                <c:pt idx="109">
                  <c:v>2.0733792613965463E-2</c:v>
                </c:pt>
                <c:pt idx="110">
                  <c:v>2.0861141341054094E-2</c:v>
                </c:pt>
                <c:pt idx="111">
                  <c:v>2.0977172050653452E-2</c:v>
                </c:pt>
                <c:pt idx="112">
                  <c:v>2.1098433444779754E-2</c:v>
                </c:pt>
                <c:pt idx="113">
                  <c:v>2.1227666291016266E-2</c:v>
                </c:pt>
                <c:pt idx="114">
                  <c:v>2.1343961561618489E-2</c:v>
                </c:pt>
                <c:pt idx="115">
                  <c:v>2.1470514815849329E-2</c:v>
                </c:pt>
                <c:pt idx="116">
                  <c:v>2.1587604827065742E-2</c:v>
                </c:pt>
                <c:pt idx="117">
                  <c:v>2.1705952831422248E-2</c:v>
                </c:pt>
                <c:pt idx="118">
                  <c:v>2.181757904880911E-2</c:v>
                </c:pt>
                <c:pt idx="119">
                  <c:v>2.1927165183285975E-2</c:v>
                </c:pt>
                <c:pt idx="120">
                  <c:v>2.2030166380941019E-2</c:v>
                </c:pt>
                <c:pt idx="121">
                  <c:v>2.2128189631178199E-2</c:v>
                </c:pt>
                <c:pt idx="122">
                  <c:v>2.2224714814580437E-2</c:v>
                </c:pt>
                <c:pt idx="123">
                  <c:v>2.2314453782354558E-2</c:v>
                </c:pt>
                <c:pt idx="124">
                  <c:v>2.2406977382488213E-2</c:v>
                </c:pt>
                <c:pt idx="125">
                  <c:v>2.2502958521079992E-2</c:v>
                </c:pt>
                <c:pt idx="126">
                  <c:v>2.2587141611280483E-2</c:v>
                </c:pt>
                <c:pt idx="127">
                  <c:v>2.2674349709263564E-2</c:v>
                </c:pt>
                <c:pt idx="128">
                  <c:v>2.2756369100461353E-2</c:v>
                </c:pt>
                <c:pt idx="129">
                  <c:v>2.283686137220409E-2</c:v>
                </c:pt>
                <c:pt idx="130">
                  <c:v>2.2904998015623512E-2</c:v>
                </c:pt>
                <c:pt idx="131">
                  <c:v>2.2984451939083356E-2</c:v>
                </c:pt>
                <c:pt idx="132">
                  <c:v>2.3046988732537091E-2</c:v>
                </c:pt>
                <c:pt idx="133">
                  <c:v>2.3110965913484369E-2</c:v>
                </c:pt>
                <c:pt idx="134">
                  <c:v>2.3175099631560333E-2</c:v>
                </c:pt>
                <c:pt idx="135">
                  <c:v>2.3233556472509322E-2</c:v>
                </c:pt>
                <c:pt idx="136">
                  <c:v>2.3290880007336052E-2</c:v>
                </c:pt>
                <c:pt idx="137">
                  <c:v>2.3341595279656881E-2</c:v>
                </c:pt>
                <c:pt idx="138">
                  <c:v>2.3394004670859413E-2</c:v>
                </c:pt>
                <c:pt idx="139">
                  <c:v>2.3438783432697029E-2</c:v>
                </c:pt>
                <c:pt idx="140">
                  <c:v>2.3485578440078252E-2</c:v>
                </c:pt>
                <c:pt idx="141">
                  <c:v>2.3527764191524265E-2</c:v>
                </c:pt>
                <c:pt idx="142">
                  <c:v>2.3568486864814706E-2</c:v>
                </c:pt>
                <c:pt idx="143">
                  <c:v>2.3606577287095476E-2</c:v>
                </c:pt>
                <c:pt idx="144">
                  <c:v>2.3647320887928144E-2</c:v>
                </c:pt>
                <c:pt idx="145">
                  <c:v>2.3681943897523077E-2</c:v>
                </c:pt>
                <c:pt idx="146">
                  <c:v>2.3716162381227878E-2</c:v>
                </c:pt>
                <c:pt idx="147">
                  <c:v>2.3752794498260687E-2</c:v>
                </c:pt>
                <c:pt idx="148">
                  <c:v>2.378563823046069E-2</c:v>
                </c:pt>
                <c:pt idx="149">
                  <c:v>2.3818144399018436E-2</c:v>
                </c:pt>
                <c:pt idx="150">
                  <c:v>2.3848281335569078E-2</c:v>
                </c:pt>
                <c:pt idx="151">
                  <c:v>2.3876760326886397E-2</c:v>
                </c:pt>
                <c:pt idx="152">
                  <c:v>2.3904559292216118E-2</c:v>
                </c:pt>
                <c:pt idx="153">
                  <c:v>2.3932341027762975E-2</c:v>
                </c:pt>
                <c:pt idx="154">
                  <c:v>2.3955113546510507E-2</c:v>
                </c:pt>
                <c:pt idx="155">
                  <c:v>2.3980034758959792E-2</c:v>
                </c:pt>
                <c:pt idx="156">
                  <c:v>2.4000937738750672E-2</c:v>
                </c:pt>
                <c:pt idx="157">
                  <c:v>2.4024818817387539E-2</c:v>
                </c:pt>
                <c:pt idx="158">
                  <c:v>2.4040936623243747E-2</c:v>
                </c:pt>
                <c:pt idx="159">
                  <c:v>2.4059572231425189E-2</c:v>
                </c:pt>
                <c:pt idx="160">
                  <c:v>2.4077427557514158E-2</c:v>
                </c:pt>
                <c:pt idx="161">
                  <c:v>2.4092349657792191E-2</c:v>
                </c:pt>
                <c:pt idx="162">
                  <c:v>2.4107322934837399E-2</c:v>
                </c:pt>
                <c:pt idx="163">
                  <c:v>2.4119023659120286E-2</c:v>
                </c:pt>
                <c:pt idx="164">
                  <c:v>2.4131716125826264E-2</c:v>
                </c:pt>
                <c:pt idx="165">
                  <c:v>2.4139803531462611E-2</c:v>
                </c:pt>
                <c:pt idx="166">
                  <c:v>2.4149937117165992E-2</c:v>
                </c:pt>
                <c:pt idx="167">
                  <c:v>2.4155380738094544E-2</c:v>
                </c:pt>
                <c:pt idx="168">
                  <c:v>2.4165252244746801E-2</c:v>
                </c:pt>
                <c:pt idx="169">
                  <c:v>2.4167445653739083E-2</c:v>
                </c:pt>
                <c:pt idx="170">
                  <c:v>2.4171544558053319E-2</c:v>
                </c:pt>
                <c:pt idx="171">
                  <c:v>2.4173620391832972E-2</c:v>
                </c:pt>
                <c:pt idx="172">
                  <c:v>2.4174277170546994E-2</c:v>
                </c:pt>
                <c:pt idx="173">
                  <c:v>2.4173558794140806E-2</c:v>
                </c:pt>
                <c:pt idx="174">
                  <c:v>2.4170815802537358E-2</c:v>
                </c:pt>
                <c:pt idx="175">
                  <c:v>2.4168434762693834E-2</c:v>
                </c:pt>
                <c:pt idx="176">
                  <c:v>2.4164576770750529E-2</c:v>
                </c:pt>
                <c:pt idx="177">
                  <c:v>2.4159199979715065E-2</c:v>
                </c:pt>
                <c:pt idx="178">
                  <c:v>2.415335822859177E-2</c:v>
                </c:pt>
                <c:pt idx="179">
                  <c:v>2.4148132390307487E-2</c:v>
                </c:pt>
                <c:pt idx="180">
                  <c:v>2.4143086363666216E-2</c:v>
                </c:pt>
                <c:pt idx="181">
                  <c:v>2.4135442772460432E-2</c:v>
                </c:pt>
                <c:pt idx="182">
                  <c:v>2.4128294282496705E-2</c:v>
                </c:pt>
                <c:pt idx="183">
                  <c:v>2.41200744572658E-2</c:v>
                </c:pt>
                <c:pt idx="184">
                  <c:v>2.4110938341397617E-2</c:v>
                </c:pt>
                <c:pt idx="185">
                  <c:v>2.4101456946431947E-2</c:v>
                </c:pt>
                <c:pt idx="186">
                  <c:v>2.4090387262443926E-2</c:v>
                </c:pt>
                <c:pt idx="187">
                  <c:v>2.4080631863992574E-2</c:v>
                </c:pt>
                <c:pt idx="188">
                  <c:v>2.4068535020044295E-2</c:v>
                </c:pt>
                <c:pt idx="189">
                  <c:v>2.4055729257710823E-2</c:v>
                </c:pt>
                <c:pt idx="190">
                  <c:v>2.4042900270151241E-2</c:v>
                </c:pt>
                <c:pt idx="191">
                  <c:v>2.4028491436040158E-2</c:v>
                </c:pt>
                <c:pt idx="192">
                  <c:v>2.4017706028473796E-2</c:v>
                </c:pt>
                <c:pt idx="193">
                  <c:v>2.4002226921648398E-2</c:v>
                </c:pt>
                <c:pt idx="194">
                  <c:v>2.3988190567511537E-2</c:v>
                </c:pt>
                <c:pt idx="195">
                  <c:v>2.3971468269788476E-2</c:v>
                </c:pt>
                <c:pt idx="196">
                  <c:v>2.3955655810738514E-2</c:v>
                </c:pt>
                <c:pt idx="197">
                  <c:v>2.3937590707183713E-2</c:v>
                </c:pt>
                <c:pt idx="198">
                  <c:v>2.3921475924149411E-2</c:v>
                </c:pt>
                <c:pt idx="199">
                  <c:v>2.3901149657206137E-2</c:v>
                </c:pt>
                <c:pt idx="200">
                  <c:v>2.3882277325051715E-2</c:v>
                </c:pt>
                <c:pt idx="201">
                  <c:v>2.3862145191042284E-2</c:v>
                </c:pt>
                <c:pt idx="202">
                  <c:v>2.3841558201148944E-2</c:v>
                </c:pt>
                <c:pt idx="203">
                  <c:v>2.3820577384889467E-2</c:v>
                </c:pt>
                <c:pt idx="204">
                  <c:v>2.3798752265692478E-2</c:v>
                </c:pt>
                <c:pt idx="205">
                  <c:v>2.3776446319950555E-2</c:v>
                </c:pt>
                <c:pt idx="206">
                  <c:v>2.3753790100675978E-2</c:v>
                </c:pt>
                <c:pt idx="207">
                  <c:v>2.3729752082436585E-2</c:v>
                </c:pt>
                <c:pt idx="208">
                  <c:v>2.3705834652687691E-2</c:v>
                </c:pt>
                <c:pt idx="209">
                  <c:v>2.3680123425060418E-2</c:v>
                </c:pt>
                <c:pt idx="210">
                  <c:v>2.3656138068898651E-2</c:v>
                </c:pt>
                <c:pt idx="211">
                  <c:v>2.3628674459554567E-2</c:v>
                </c:pt>
                <c:pt idx="212">
                  <c:v>2.3602424599361349E-2</c:v>
                </c:pt>
                <c:pt idx="213">
                  <c:v>2.3573967560286672E-2</c:v>
                </c:pt>
                <c:pt idx="214">
                  <c:v>2.3545654087529677E-2</c:v>
                </c:pt>
                <c:pt idx="215">
                  <c:v>2.3521037113236803E-2</c:v>
                </c:pt>
                <c:pt idx="216">
                  <c:v>2.3490924476294056E-2</c:v>
                </c:pt>
                <c:pt idx="217">
                  <c:v>2.346265320087473E-2</c:v>
                </c:pt>
                <c:pt idx="218">
                  <c:v>2.3430565839063659E-2</c:v>
                </c:pt>
                <c:pt idx="219">
                  <c:v>2.3400785391298463E-2</c:v>
                </c:pt>
                <c:pt idx="220">
                  <c:v>2.3367355784277628E-2</c:v>
                </c:pt>
                <c:pt idx="221">
                  <c:v>2.3335083647767402E-2</c:v>
                </c:pt>
                <c:pt idx="222">
                  <c:v>2.3301583356046866E-2</c:v>
                </c:pt>
                <c:pt idx="223">
                  <c:v>2.3268278549869605E-2</c:v>
                </c:pt>
                <c:pt idx="224">
                  <c:v>2.3233057792430512E-2</c:v>
                </c:pt>
                <c:pt idx="225">
                  <c:v>2.3198325556013977E-2</c:v>
                </c:pt>
                <c:pt idx="226">
                  <c:v>2.3162185894973007E-2</c:v>
                </c:pt>
                <c:pt idx="227">
                  <c:v>2.3130019845951838E-2</c:v>
                </c:pt>
                <c:pt idx="228">
                  <c:v>2.3093490793256087E-2</c:v>
                </c:pt>
                <c:pt idx="229">
                  <c:v>2.3055422479345365E-2</c:v>
                </c:pt>
                <c:pt idx="230">
                  <c:v>2.3017775418610442E-2</c:v>
                </c:pt>
                <c:pt idx="231">
                  <c:v>2.2978263348594596E-2</c:v>
                </c:pt>
                <c:pt idx="232">
                  <c:v>2.2939372814190423E-2</c:v>
                </c:pt>
                <c:pt idx="233">
                  <c:v>2.2898847083082829E-2</c:v>
                </c:pt>
                <c:pt idx="234">
                  <c:v>2.2860463229914918E-2</c:v>
                </c:pt>
                <c:pt idx="235">
                  <c:v>2.2818311091875744E-2</c:v>
                </c:pt>
                <c:pt idx="236">
                  <c:v>2.2779859623493159E-2</c:v>
                </c:pt>
                <c:pt idx="237">
                  <c:v>2.2737862430324007E-2</c:v>
                </c:pt>
                <c:pt idx="238">
                  <c:v>2.2699719002631284E-2</c:v>
                </c:pt>
                <c:pt idx="239">
                  <c:v>2.2664071983556477E-2</c:v>
                </c:pt>
                <c:pt idx="240">
                  <c:v>2.2622093959599587E-2</c:v>
                </c:pt>
                <c:pt idx="241">
                  <c:v>2.258396454279132E-2</c:v>
                </c:pt>
                <c:pt idx="242">
                  <c:v>2.2542057848674725E-2</c:v>
                </c:pt>
                <c:pt idx="243">
                  <c:v>2.2502724987864615E-2</c:v>
                </c:pt>
                <c:pt idx="244">
                  <c:v>2.2462091788914045E-2</c:v>
                </c:pt>
                <c:pt idx="245">
                  <c:v>2.2424158172589248E-2</c:v>
                </c:pt>
                <c:pt idx="246">
                  <c:v>2.238239412521403E-2</c:v>
                </c:pt>
                <c:pt idx="247">
                  <c:v>2.2344398817580526E-2</c:v>
                </c:pt>
                <c:pt idx="248">
                  <c:v>2.2302708099183857E-2</c:v>
                </c:pt>
                <c:pt idx="249">
                  <c:v>2.2263521560534016E-2</c:v>
                </c:pt>
                <c:pt idx="250">
                  <c:v>2.2227166632847146E-2</c:v>
                </c:pt>
                <c:pt idx="251">
                  <c:v>2.2187936275875349E-2</c:v>
                </c:pt>
                <c:pt idx="252">
                  <c:v>2.2150212733055528E-2</c:v>
                </c:pt>
                <c:pt idx="253">
                  <c:v>2.2108694314779978E-2</c:v>
                </c:pt>
                <c:pt idx="254">
                  <c:v>2.2070982708732482E-2</c:v>
                </c:pt>
                <c:pt idx="255">
                  <c:v>2.2029535592617628E-2</c:v>
                </c:pt>
                <c:pt idx="256">
                  <c:v>2.199059094145063E-2</c:v>
                </c:pt>
                <c:pt idx="257">
                  <c:v>2.1950512986552803E-2</c:v>
                </c:pt>
                <c:pt idx="258">
                  <c:v>2.1911678812116628E-2</c:v>
                </c:pt>
                <c:pt idx="259">
                  <c:v>2.1871588587406725E-2</c:v>
                </c:pt>
                <c:pt idx="260">
                  <c:v>2.1832787075549476E-2</c:v>
                </c:pt>
                <c:pt idx="261">
                  <c:v>2.1792841871635302E-2</c:v>
                </c:pt>
                <c:pt idx="262">
                  <c:v>2.1757919597428281E-2</c:v>
                </c:pt>
                <c:pt idx="263">
                  <c:v>2.171921832952237E-2</c:v>
                </c:pt>
                <c:pt idx="264">
                  <c:v>2.1679365773513079E-2</c:v>
                </c:pt>
                <c:pt idx="265">
                  <c:v>2.1640762259406001E-2</c:v>
                </c:pt>
                <c:pt idx="266">
                  <c:v>2.1600948029641628E-2</c:v>
                </c:pt>
                <c:pt idx="267">
                  <c:v>2.1562411472592708E-2</c:v>
                </c:pt>
                <c:pt idx="268">
                  <c:v>2.1522644630592492E-2</c:v>
                </c:pt>
                <c:pt idx="269">
                  <c:v>2.1485437194533354E-2</c:v>
                </c:pt>
                <c:pt idx="270">
                  <c:v>2.1444520749753206E-2</c:v>
                </c:pt>
                <c:pt idx="271">
                  <c:v>2.1407323410157275E-2</c:v>
                </c:pt>
                <c:pt idx="272">
                  <c:v>2.136651119763085E-2</c:v>
                </c:pt>
                <c:pt idx="273">
                  <c:v>2.1328136754687831E-2</c:v>
                </c:pt>
                <c:pt idx="274">
                  <c:v>2.1293577998217992E-2</c:v>
                </c:pt>
                <c:pt idx="275">
                  <c:v>2.1252827407535119E-2</c:v>
                </c:pt>
                <c:pt idx="276">
                  <c:v>2.121583189653797E-2</c:v>
                </c:pt>
                <c:pt idx="277">
                  <c:v>2.1176393909673911E-2</c:v>
                </c:pt>
                <c:pt idx="278">
                  <c:v>2.1139452670600106E-2</c:v>
                </c:pt>
                <c:pt idx="279">
                  <c:v>2.1098852933038665E-2</c:v>
                </c:pt>
                <c:pt idx="280">
                  <c:v>2.1060747782156188E-2</c:v>
                </c:pt>
                <c:pt idx="281">
                  <c:v>2.1021447976681939E-2</c:v>
                </c:pt>
                <c:pt idx="282">
                  <c:v>2.0984641202014487E-2</c:v>
                </c:pt>
                <c:pt idx="283">
                  <c:v>2.0944183296633116E-2</c:v>
                </c:pt>
                <c:pt idx="284">
                  <c:v>2.0906225427337631E-2</c:v>
                </c:pt>
                <c:pt idx="285">
                  <c:v>2.0871939379139681E-2</c:v>
                </c:pt>
                <c:pt idx="286">
                  <c:v>2.0832817590024942E-2</c:v>
                </c:pt>
                <c:pt idx="287">
                  <c:v>2.0796155050000598E-2</c:v>
                </c:pt>
                <c:pt idx="288">
                  <c:v>2.0755871937096083E-2</c:v>
                </c:pt>
                <c:pt idx="289">
                  <c:v>2.0719283302770286E-2</c:v>
                </c:pt>
                <c:pt idx="290">
                  <c:v>2.0679072463500679E-2</c:v>
                </c:pt>
                <c:pt idx="291">
                  <c:v>2.0641461218726089E-2</c:v>
                </c:pt>
                <c:pt idx="292">
                  <c:v>2.0603136944872837E-2</c:v>
                </c:pt>
                <c:pt idx="293">
                  <c:v>2.0566895562028526E-2</c:v>
                </c:pt>
                <c:pt idx="294">
                  <c:v>2.053059922659552E-2</c:v>
                </c:pt>
                <c:pt idx="295">
                  <c:v>2.0496588700688743E-2</c:v>
                </c:pt>
                <c:pt idx="296">
                  <c:v>2.0462650388400786E-2</c:v>
                </c:pt>
                <c:pt idx="297">
                  <c:v>2.0433003485486094E-2</c:v>
                </c:pt>
                <c:pt idx="298">
                  <c:v>2.0402217678345262E-2</c:v>
                </c:pt>
                <c:pt idx="299">
                  <c:v>2.0372746462445288E-2</c:v>
                </c:pt>
                <c:pt idx="300">
                  <c:v>2.0344290112600093E-2</c:v>
                </c:pt>
                <c:pt idx="301">
                  <c:v>2.0316085076712374E-2</c:v>
                </c:pt>
                <c:pt idx="302">
                  <c:v>2.0289894145671034E-2</c:v>
                </c:pt>
                <c:pt idx="303">
                  <c:v>2.0263844396449709E-2</c:v>
                </c:pt>
                <c:pt idx="304">
                  <c:v>2.0240856349177144E-2</c:v>
                </c:pt>
                <c:pt idx="305">
                  <c:v>2.0216573723923978E-2</c:v>
                </c:pt>
                <c:pt idx="306">
                  <c:v>2.0195128541916851E-2</c:v>
                </c:pt>
                <c:pt idx="307">
                  <c:v>2.0173723407483624E-2</c:v>
                </c:pt>
                <c:pt idx="308">
                  <c:v>2.0153525147324807E-2</c:v>
                </c:pt>
                <c:pt idx="309">
                  <c:v>2.0137767978746661E-2</c:v>
                </c:pt>
                <c:pt idx="310">
                  <c:v>2.0119116409029286E-2</c:v>
                </c:pt>
                <c:pt idx="311">
                  <c:v>2.0103831997584944E-2</c:v>
                </c:pt>
                <c:pt idx="312">
                  <c:v>2.0088357529080971E-2</c:v>
                </c:pt>
                <c:pt idx="313">
                  <c:v>2.0074928787026974E-2</c:v>
                </c:pt>
                <c:pt idx="314">
                  <c:v>2.0061362723087808E-2</c:v>
                </c:pt>
                <c:pt idx="315">
                  <c:v>2.0049769298096487E-2</c:v>
                </c:pt>
                <c:pt idx="316">
                  <c:v>2.0038970889927971E-2</c:v>
                </c:pt>
                <c:pt idx="317">
                  <c:v>2.0029642389960703E-2</c:v>
                </c:pt>
                <c:pt idx="318">
                  <c:v>2.0020740388251815E-2</c:v>
                </c:pt>
                <c:pt idx="319">
                  <c:v>2.0013200449294111E-2</c:v>
                </c:pt>
                <c:pt idx="320">
                  <c:v>2.0008043732550503E-2</c:v>
                </c:pt>
                <c:pt idx="321">
                  <c:v>2.0005023387392077E-2</c:v>
                </c:pt>
                <c:pt idx="322">
                  <c:v>1.9999629534116235E-2</c:v>
                </c:pt>
                <c:pt idx="323">
                  <c:v>1.9997425849446242E-2</c:v>
                </c:pt>
                <c:pt idx="324">
                  <c:v>1.9995646944913001E-2</c:v>
                </c:pt>
                <c:pt idx="325">
                  <c:v>1.9995125649741621E-2</c:v>
                </c:pt>
                <c:pt idx="326">
                  <c:v>1.9995175498340428E-2</c:v>
                </c:pt>
                <c:pt idx="327">
                  <c:v>1.9998028295145073E-2</c:v>
                </c:pt>
                <c:pt idx="328">
                  <c:v>2.0000471206369403E-2</c:v>
                </c:pt>
                <c:pt idx="329">
                  <c:v>2.0003060688946306E-2</c:v>
                </c:pt>
                <c:pt idx="330">
                  <c:v>2.0009131428156177E-2</c:v>
                </c:pt>
                <c:pt idx="331">
                  <c:v>2.0014039495249849E-2</c:v>
                </c:pt>
                <c:pt idx="332">
                  <c:v>2.0022685927071494E-2</c:v>
                </c:pt>
                <c:pt idx="333">
                  <c:v>2.0030660217794222E-2</c:v>
                </c:pt>
                <c:pt idx="334">
                  <c:v>2.0040590264481555E-2</c:v>
                </c:pt>
                <c:pt idx="335">
                  <c:v>2.0051937837695679E-2</c:v>
                </c:pt>
                <c:pt idx="336">
                  <c:v>2.0063349750835367E-2</c:v>
                </c:pt>
                <c:pt idx="337">
                  <c:v>2.007710839772325E-2</c:v>
                </c:pt>
                <c:pt idx="338">
                  <c:v>2.0090379295920807E-2</c:v>
                </c:pt>
                <c:pt idx="339">
                  <c:v>2.0106881985867749E-2</c:v>
                </c:pt>
                <c:pt idx="340">
                  <c:v>2.0123222261413436E-2</c:v>
                </c:pt>
                <c:pt idx="341">
                  <c:v>2.0140396471420182E-2</c:v>
                </c:pt>
                <c:pt idx="342">
                  <c:v>2.0158982809011815E-2</c:v>
                </c:pt>
                <c:pt idx="343">
                  <c:v>2.0179337735969836E-2</c:v>
                </c:pt>
                <c:pt idx="344">
                  <c:v>2.0199729056206778E-2</c:v>
                </c:pt>
                <c:pt idx="345">
                  <c:v>2.0223610421720273E-2</c:v>
                </c:pt>
                <c:pt idx="346">
                  <c:v>2.0246957755059414E-2</c:v>
                </c:pt>
                <c:pt idx="347">
                  <c:v>2.0272008952659213E-2</c:v>
                </c:pt>
                <c:pt idx="348">
                  <c:v>2.029657317296835E-2</c:v>
                </c:pt>
                <c:pt idx="349">
                  <c:v>2.0324766811102027E-2</c:v>
                </c:pt>
                <c:pt idx="350">
                  <c:v>2.0350990415438031E-2</c:v>
                </c:pt>
                <c:pt idx="351">
                  <c:v>2.0380304538762266E-2</c:v>
                </c:pt>
                <c:pt idx="352">
                  <c:v>2.0407365870531619E-2</c:v>
                </c:pt>
                <c:pt idx="353">
                  <c:v>2.0433608781909918E-2</c:v>
                </c:pt>
                <c:pt idx="354">
                  <c:v>2.0459616654251889E-2</c:v>
                </c:pt>
                <c:pt idx="355">
                  <c:v>2.048609183703002E-2</c:v>
                </c:pt>
                <c:pt idx="356">
                  <c:v>2.0509642851953946E-2</c:v>
                </c:pt>
                <c:pt idx="357">
                  <c:v>2.0533163277985191E-2</c:v>
                </c:pt>
                <c:pt idx="358">
                  <c:v>2.0558873745613049E-2</c:v>
                </c:pt>
                <c:pt idx="359">
                  <c:v>2.0582313890490322E-2</c:v>
                </c:pt>
                <c:pt idx="360">
                  <c:v>2.0605967357484951E-2</c:v>
                </c:pt>
                <c:pt idx="361">
                  <c:v>2.0627412959849902E-2</c:v>
                </c:pt>
                <c:pt idx="362">
                  <c:v>2.0650923610791936E-2</c:v>
                </c:pt>
                <c:pt idx="363">
                  <c:v>2.0672260305686318E-2</c:v>
                </c:pt>
                <c:pt idx="364">
                  <c:v>2.0692821432912321E-2</c:v>
                </c:pt>
                <c:pt idx="365">
                  <c:v>2.071219959760473E-2</c:v>
                </c:pt>
                <c:pt idx="366">
                  <c:v>2.0733517381831646E-2</c:v>
                </c:pt>
                <c:pt idx="367">
                  <c:v>2.0751818209462515E-2</c:v>
                </c:pt>
                <c:pt idx="368">
                  <c:v>2.0769691271437594E-2</c:v>
                </c:pt>
                <c:pt idx="369">
                  <c:v>2.0789411910649355E-2</c:v>
                </c:pt>
                <c:pt idx="370">
                  <c:v>2.0807125678804255E-2</c:v>
                </c:pt>
                <c:pt idx="371">
                  <c:v>2.0824867954188777E-2</c:v>
                </c:pt>
                <c:pt idx="372">
                  <c:v>2.0841529837620873E-2</c:v>
                </c:pt>
                <c:pt idx="373">
                  <c:v>2.0857331215884695E-2</c:v>
                </c:pt>
                <c:pt idx="374">
                  <c:v>2.0873300785664586E-2</c:v>
                </c:pt>
                <c:pt idx="375">
                  <c:v>2.0889366840585805E-2</c:v>
                </c:pt>
                <c:pt idx="376">
                  <c:v>2.0901797928912558E-2</c:v>
                </c:pt>
                <c:pt idx="377">
                  <c:v>2.0918409578285793E-2</c:v>
                </c:pt>
                <c:pt idx="378">
                  <c:v>2.0929464094401103E-2</c:v>
                </c:pt>
                <c:pt idx="379">
                  <c:v>2.0943669762876784E-2</c:v>
                </c:pt>
                <c:pt idx="380">
                  <c:v>2.0956178589100562E-2</c:v>
                </c:pt>
                <c:pt idx="381">
                  <c:v>2.0968572462454881E-2</c:v>
                </c:pt>
                <c:pt idx="382">
                  <c:v>2.0980402688784743E-2</c:v>
                </c:pt>
                <c:pt idx="383">
                  <c:v>2.0990992565767023E-2</c:v>
                </c:pt>
                <c:pt idx="384">
                  <c:v>2.1002081481447499E-2</c:v>
                </c:pt>
                <c:pt idx="385">
                  <c:v>2.1011200712442477E-2</c:v>
                </c:pt>
                <c:pt idx="386">
                  <c:v>2.1021622269727154E-2</c:v>
                </c:pt>
                <c:pt idx="387">
                  <c:v>2.1030452717704338E-2</c:v>
                </c:pt>
                <c:pt idx="388">
                  <c:v>2.1038285768878392E-2</c:v>
                </c:pt>
                <c:pt idx="389">
                  <c:v>2.1046072052467262E-2</c:v>
                </c:pt>
                <c:pt idx="390">
                  <c:v>2.1053566534191707E-2</c:v>
                </c:pt>
                <c:pt idx="391">
                  <c:v>2.1060597690522286E-2</c:v>
                </c:pt>
                <c:pt idx="392">
                  <c:v>2.1066131966961596E-2</c:v>
                </c:pt>
                <c:pt idx="393">
                  <c:v>2.1072564044537792E-2</c:v>
                </c:pt>
                <c:pt idx="394">
                  <c:v>2.1077770679645197E-2</c:v>
                </c:pt>
                <c:pt idx="395">
                  <c:v>2.108260225406227E-2</c:v>
                </c:pt>
                <c:pt idx="396">
                  <c:v>2.1086756792492074E-2</c:v>
                </c:pt>
                <c:pt idx="397">
                  <c:v>2.1089835485192016E-2</c:v>
                </c:pt>
                <c:pt idx="398">
                  <c:v>2.1093512765044772E-2</c:v>
                </c:pt>
                <c:pt idx="399">
                  <c:v>2.1093662499922707E-2</c:v>
                </c:pt>
                <c:pt idx="400">
                  <c:v>2.1096971874085213E-2</c:v>
                </c:pt>
                <c:pt idx="401">
                  <c:v>2.1099254566403713E-2</c:v>
                </c:pt>
                <c:pt idx="402">
                  <c:v>2.1100812259872488E-2</c:v>
                </c:pt>
                <c:pt idx="403">
                  <c:v>2.1100725220595546E-2</c:v>
                </c:pt>
                <c:pt idx="404">
                  <c:v>2.1101347567344751E-2</c:v>
                </c:pt>
                <c:pt idx="405">
                  <c:v>2.1100826062425502E-2</c:v>
                </c:pt>
                <c:pt idx="406">
                  <c:v>2.1099744708585985E-2</c:v>
                </c:pt>
                <c:pt idx="407">
                  <c:v>2.1098171090864641E-2</c:v>
                </c:pt>
                <c:pt idx="408">
                  <c:v>2.109542890633893E-2</c:v>
                </c:pt>
                <c:pt idx="409">
                  <c:v>2.1093470739857966E-2</c:v>
                </c:pt>
                <c:pt idx="410">
                  <c:v>2.109012450630424E-2</c:v>
                </c:pt>
                <c:pt idx="411">
                  <c:v>2.108547486906609E-2</c:v>
                </c:pt>
                <c:pt idx="412">
                  <c:v>2.1082107178468708E-2</c:v>
                </c:pt>
                <c:pt idx="413">
                  <c:v>2.1075782531955949E-2</c:v>
                </c:pt>
                <c:pt idx="414">
                  <c:v>2.1072660074381001E-2</c:v>
                </c:pt>
                <c:pt idx="415">
                  <c:v>2.1066044001603522E-2</c:v>
                </c:pt>
                <c:pt idx="416">
                  <c:v>2.1060502246362755E-2</c:v>
                </c:pt>
                <c:pt idx="417">
                  <c:v>2.1053508016525717E-2</c:v>
                </c:pt>
                <c:pt idx="418">
                  <c:v>2.1046449937772958E-2</c:v>
                </c:pt>
                <c:pt idx="419">
                  <c:v>2.1038126078715282E-2</c:v>
                </c:pt>
                <c:pt idx="420">
                  <c:v>2.102930213104124E-2</c:v>
                </c:pt>
                <c:pt idx="421">
                  <c:v>2.1020606077750501E-2</c:v>
                </c:pt>
                <c:pt idx="422">
                  <c:v>2.1011200261208351E-2</c:v>
                </c:pt>
                <c:pt idx="423">
                  <c:v>2.1000505122477135E-2</c:v>
                </c:pt>
                <c:pt idx="424">
                  <c:v>2.0989622087005166E-2</c:v>
                </c:pt>
                <c:pt idx="425">
                  <c:v>2.097872731892806E-2</c:v>
                </c:pt>
                <c:pt idx="426">
                  <c:v>2.0968778612817748E-2</c:v>
                </c:pt>
                <c:pt idx="427">
                  <c:v>2.0956393683008084E-2</c:v>
                </c:pt>
                <c:pt idx="428">
                  <c:v>2.0943894412493086E-2</c:v>
                </c:pt>
                <c:pt idx="429">
                  <c:v>2.0930864987464621E-2</c:v>
                </c:pt>
                <c:pt idx="430">
                  <c:v>2.0916872302652916E-2</c:v>
                </c:pt>
                <c:pt idx="431">
                  <c:v>2.0902790906358701E-2</c:v>
                </c:pt>
                <c:pt idx="432">
                  <c:v>2.0888073085399791E-2</c:v>
                </c:pt>
                <c:pt idx="433">
                  <c:v>2.0873075234535507E-2</c:v>
                </c:pt>
                <c:pt idx="434">
                  <c:v>2.0856414534145769E-2</c:v>
                </c:pt>
                <c:pt idx="435">
                  <c:v>2.0840426266272236E-2</c:v>
                </c:pt>
                <c:pt idx="436">
                  <c:v>2.0822655702419271E-2</c:v>
                </c:pt>
                <c:pt idx="437">
                  <c:v>2.0805741808570196E-2</c:v>
                </c:pt>
                <c:pt idx="438">
                  <c:v>2.07888429755951E-2</c:v>
                </c:pt>
                <c:pt idx="439">
                  <c:v>2.0770613426877953E-2</c:v>
                </c:pt>
                <c:pt idx="440">
                  <c:v>2.075276579922743E-2</c:v>
                </c:pt>
                <c:pt idx="441">
                  <c:v>2.0732248218090742E-2</c:v>
                </c:pt>
                <c:pt idx="442">
                  <c:v>2.0712439870024586E-2</c:v>
                </c:pt>
                <c:pt idx="443">
                  <c:v>2.0691192401800118E-2</c:v>
                </c:pt>
                <c:pt idx="444">
                  <c:v>2.0671270522348417E-2</c:v>
                </c:pt>
                <c:pt idx="445">
                  <c:v>2.0648513639407742E-2</c:v>
                </c:pt>
                <c:pt idx="446">
                  <c:v>2.062685932429531E-2</c:v>
                </c:pt>
                <c:pt idx="447">
                  <c:v>2.0603440173170093E-2</c:v>
                </c:pt>
                <c:pt idx="448">
                  <c:v>2.0579849969033302E-2</c:v>
                </c:pt>
                <c:pt idx="449">
                  <c:v>2.0559290407876872E-2</c:v>
                </c:pt>
                <c:pt idx="450">
                  <c:v>2.0533589456286631E-2</c:v>
                </c:pt>
                <c:pt idx="451">
                  <c:v>2.0510078007520308E-2</c:v>
                </c:pt>
                <c:pt idx="452">
                  <c:v>2.0484262747487183E-2</c:v>
                </c:pt>
                <c:pt idx="453">
                  <c:v>2.0459560170241708E-2</c:v>
                </c:pt>
                <c:pt idx="454">
                  <c:v>2.0431827613695722E-2</c:v>
                </c:pt>
                <c:pt idx="455">
                  <c:v>2.0405101393392237E-2</c:v>
                </c:pt>
                <c:pt idx="456">
                  <c:v>2.0377255405239204E-2</c:v>
                </c:pt>
                <c:pt idx="457">
                  <c:v>2.0349617931377555E-2</c:v>
                </c:pt>
                <c:pt idx="458">
                  <c:v>2.0320436272009943E-2</c:v>
                </c:pt>
                <c:pt idx="459">
                  <c:v>2.0291657066324298E-2</c:v>
                </c:pt>
                <c:pt idx="460">
                  <c:v>2.0261610450921806E-2</c:v>
                </c:pt>
                <c:pt idx="461">
                  <c:v>2.0234860415678745E-2</c:v>
                </c:pt>
                <c:pt idx="462">
                  <c:v>2.0204582100025695E-2</c:v>
                </c:pt>
                <c:pt idx="463">
                  <c:v>2.0172927874977667E-2</c:v>
                </c:pt>
                <c:pt idx="464">
                  <c:v>2.0141668771863006E-2</c:v>
                </c:pt>
                <c:pt idx="465">
                  <c:v>2.0108858681682606E-2</c:v>
                </c:pt>
                <c:pt idx="466">
                  <c:v>2.0076564856506867E-2</c:v>
                </c:pt>
                <c:pt idx="467">
                  <c:v>2.0042888822106239E-2</c:v>
                </c:pt>
                <c:pt idx="468">
                  <c:v>2.0011400904728808E-2</c:v>
                </c:pt>
                <c:pt idx="469">
                  <c:v>1.997708518505863E-2</c:v>
                </c:pt>
                <c:pt idx="470">
                  <c:v>1.9946223617806069E-2</c:v>
                </c:pt>
                <c:pt idx="471">
                  <c:v>1.9912885389567574E-2</c:v>
                </c:pt>
                <c:pt idx="472">
                  <c:v>1.988186027662147E-2</c:v>
                </c:pt>
                <c:pt idx="473">
                  <c:v>1.9854486262531612E-2</c:v>
                </c:pt>
                <c:pt idx="474">
                  <c:v>1.9823375094924874E-2</c:v>
                </c:pt>
                <c:pt idx="475">
                  <c:v>1.9794757801930709E-2</c:v>
                </c:pt>
                <c:pt idx="476">
                  <c:v>1.976367468754572E-2</c:v>
                </c:pt>
                <c:pt idx="477">
                  <c:v>1.9735844034359361E-2</c:v>
                </c:pt>
                <c:pt idx="478">
                  <c:v>1.9705699701111551E-2</c:v>
                </c:pt>
                <c:pt idx="479">
                  <c:v>1.9677830224048905E-2</c:v>
                </c:pt>
                <c:pt idx="480">
                  <c:v>1.9649516873138144E-2</c:v>
                </c:pt>
                <c:pt idx="481">
                  <c:v>1.9623287694682672E-2</c:v>
                </c:pt>
                <c:pt idx="482">
                  <c:v>1.9595126126843443E-2</c:v>
                </c:pt>
                <c:pt idx="483">
                  <c:v>1.9568786751800182E-2</c:v>
                </c:pt>
                <c:pt idx="484">
                  <c:v>1.9545235961014658E-2</c:v>
                </c:pt>
                <c:pt idx="485">
                  <c:v>1.9518789675788843E-2</c:v>
                </c:pt>
                <c:pt idx="486">
                  <c:v>1.9494893139562017E-2</c:v>
                </c:pt>
                <c:pt idx="487">
                  <c:v>1.9469714953759654E-2</c:v>
                </c:pt>
                <c:pt idx="488">
                  <c:v>1.9446530260440551E-2</c:v>
                </c:pt>
                <c:pt idx="489">
                  <c:v>1.942149637954621E-2</c:v>
                </c:pt>
                <c:pt idx="490">
                  <c:v>1.9398270941919715E-2</c:v>
                </c:pt>
                <c:pt idx="491">
                  <c:v>1.9375069575386834E-2</c:v>
                </c:pt>
                <c:pt idx="492">
                  <c:v>1.9352882370369251E-2</c:v>
                </c:pt>
                <c:pt idx="493">
                  <c:v>1.9330260093409855E-2</c:v>
                </c:pt>
                <c:pt idx="494">
                  <c:v>1.9308768536007825E-2</c:v>
                </c:pt>
                <c:pt idx="495">
                  <c:v>1.9287404715375881E-2</c:v>
                </c:pt>
                <c:pt idx="496">
                  <c:v>1.9269124572418875E-2</c:v>
                </c:pt>
                <c:pt idx="497">
                  <c:v>1.924889479485661E-2</c:v>
                </c:pt>
                <c:pt idx="498">
                  <c:v>1.9228868950298794E-2</c:v>
                </c:pt>
                <c:pt idx="499">
                  <c:v>1.920971828479583E-2</c:v>
                </c:pt>
                <c:pt idx="500">
                  <c:v>1.9190404834991175E-2</c:v>
                </c:pt>
                <c:pt idx="501">
                  <c:v>1.9172135685137384E-2</c:v>
                </c:pt>
                <c:pt idx="502">
                  <c:v>1.9153504021585038E-2</c:v>
                </c:pt>
                <c:pt idx="503">
                  <c:v>1.9136898636816443E-2</c:v>
                </c:pt>
                <c:pt idx="504">
                  <c:v>1.9118850917002172E-2</c:v>
                </c:pt>
                <c:pt idx="505">
                  <c:v>1.9102377668133386E-2</c:v>
                </c:pt>
                <c:pt idx="506">
                  <c:v>1.9085508032664782E-2</c:v>
                </c:pt>
                <c:pt idx="507">
                  <c:v>1.9069359236502142E-2</c:v>
                </c:pt>
                <c:pt idx="508">
                  <c:v>1.9056396383751041E-2</c:v>
                </c:pt>
                <c:pt idx="509">
                  <c:v>1.904085576081992E-2</c:v>
                </c:pt>
                <c:pt idx="510">
                  <c:v>1.9027231517746195E-2</c:v>
                </c:pt>
                <c:pt idx="511">
                  <c:v>1.9012415706240727E-2</c:v>
                </c:pt>
                <c:pt idx="512">
                  <c:v>1.8999373265610624E-2</c:v>
                </c:pt>
                <c:pt idx="513">
                  <c:v>1.8985495702752625E-2</c:v>
                </c:pt>
                <c:pt idx="514">
                  <c:v>1.8972906885100831E-2</c:v>
                </c:pt>
                <c:pt idx="515">
                  <c:v>1.8960366873495199E-2</c:v>
                </c:pt>
                <c:pt idx="516">
                  <c:v>1.8948659414533785E-2</c:v>
                </c:pt>
                <c:pt idx="517">
                  <c:v>1.8935417968401116E-2</c:v>
                </c:pt>
                <c:pt idx="518">
                  <c:v>1.892554528114232E-2</c:v>
                </c:pt>
                <c:pt idx="519">
                  <c:v>1.8916133015127297E-2</c:v>
                </c:pt>
                <c:pt idx="520">
                  <c:v>1.8905824645882498E-2</c:v>
                </c:pt>
                <c:pt idx="521">
                  <c:v>1.8897324032868375E-2</c:v>
                </c:pt>
                <c:pt idx="522">
                  <c:v>1.8887521783449098E-2</c:v>
                </c:pt>
                <c:pt idx="523">
                  <c:v>1.8879122966684425E-2</c:v>
                </c:pt>
                <c:pt idx="524">
                  <c:v>1.8870353347096521E-2</c:v>
                </c:pt>
                <c:pt idx="525">
                  <c:v>1.8862188265612458E-2</c:v>
                </c:pt>
                <c:pt idx="526">
                  <c:v>1.8854975927634392E-2</c:v>
                </c:pt>
                <c:pt idx="527">
                  <c:v>1.8848066727731753E-2</c:v>
                </c:pt>
                <c:pt idx="528">
                  <c:v>1.8840994581719759E-2</c:v>
                </c:pt>
                <c:pt idx="529">
                  <c:v>1.8834959979349423E-2</c:v>
                </c:pt>
                <c:pt idx="530">
                  <c:v>1.8829185537809989E-2</c:v>
                </c:pt>
                <c:pt idx="531">
                  <c:v>1.8824766359454341E-2</c:v>
                </c:pt>
                <c:pt idx="532">
                  <c:v>1.881960380841502E-2</c:v>
                </c:pt>
                <c:pt idx="533">
                  <c:v>1.881571800763697E-2</c:v>
                </c:pt>
                <c:pt idx="534">
                  <c:v>1.8811844284192344E-2</c:v>
                </c:pt>
                <c:pt idx="535">
                  <c:v>1.880830044300141E-2</c:v>
                </c:pt>
                <c:pt idx="536">
                  <c:v>1.8805307972972245E-2</c:v>
                </c:pt>
                <c:pt idx="537">
                  <c:v>1.8802217738030327E-2</c:v>
                </c:pt>
                <c:pt idx="538">
                  <c:v>1.8800623925236477E-2</c:v>
                </c:pt>
                <c:pt idx="539">
                  <c:v>1.8798838102326059E-2</c:v>
                </c:pt>
                <c:pt idx="540">
                  <c:v>1.8796687619890839E-2</c:v>
                </c:pt>
                <c:pt idx="541">
                  <c:v>1.8796309121466393E-2</c:v>
                </c:pt>
                <c:pt idx="542">
                  <c:v>1.8794971584364776E-2</c:v>
                </c:pt>
                <c:pt idx="543">
                  <c:v>1.8796502314992074E-2</c:v>
                </c:pt>
                <c:pt idx="544">
                  <c:v>1.8796496737910971E-2</c:v>
                </c:pt>
                <c:pt idx="545">
                  <c:v>1.8797889068803857E-2</c:v>
                </c:pt>
                <c:pt idx="546">
                  <c:v>1.8799334476986562E-2</c:v>
                </c:pt>
                <c:pt idx="547">
                  <c:v>1.880107489386066E-2</c:v>
                </c:pt>
                <c:pt idx="548">
                  <c:v>1.8803458403460784E-2</c:v>
                </c:pt>
                <c:pt idx="549">
                  <c:v>1.8805604448102271E-2</c:v>
                </c:pt>
                <c:pt idx="550">
                  <c:v>1.8809373255412491E-2</c:v>
                </c:pt>
                <c:pt idx="551">
                  <c:v>1.8812941180252413E-2</c:v>
                </c:pt>
                <c:pt idx="552">
                  <c:v>1.881665293100622E-2</c:v>
                </c:pt>
                <c:pt idx="553">
                  <c:v>1.8820538960106603E-2</c:v>
                </c:pt>
                <c:pt idx="554">
                  <c:v>1.8825998431394722E-2</c:v>
                </c:pt>
                <c:pt idx="555">
                  <c:v>1.8831549229394839E-2</c:v>
                </c:pt>
                <c:pt idx="556">
                  <c:v>1.8838468739523061E-2</c:v>
                </c:pt>
                <c:pt idx="557">
                  <c:v>1.8843455085885096E-2</c:v>
                </c:pt>
                <c:pt idx="558">
                  <c:v>1.8850058478626402E-2</c:v>
                </c:pt>
                <c:pt idx="559">
                  <c:v>1.8857329738413722E-2</c:v>
                </c:pt>
                <c:pt idx="560">
                  <c:v>1.8864193340097802E-2</c:v>
                </c:pt>
                <c:pt idx="561">
                  <c:v>1.8872995390034862E-2</c:v>
                </c:pt>
                <c:pt idx="562">
                  <c:v>1.8881361358496329E-2</c:v>
                </c:pt>
                <c:pt idx="563">
                  <c:v>1.8889808213790698E-2</c:v>
                </c:pt>
                <c:pt idx="564">
                  <c:v>1.8898396865659528E-2</c:v>
                </c:pt>
                <c:pt idx="565">
                  <c:v>1.8909040708211474E-2</c:v>
                </c:pt>
                <c:pt idx="566">
                  <c:v>1.8918829229200611E-2</c:v>
                </c:pt>
                <c:pt idx="567">
                  <c:v>1.892867610764358E-2</c:v>
                </c:pt>
                <c:pt idx="568">
                  <c:v>1.8940664056814414E-2</c:v>
                </c:pt>
                <c:pt idx="569">
                  <c:v>1.8952065684980358E-2</c:v>
                </c:pt>
                <c:pt idx="570">
                  <c:v>1.8964289997397459E-2</c:v>
                </c:pt>
                <c:pt idx="571">
                  <c:v>1.8976572978565288E-2</c:v>
                </c:pt>
                <c:pt idx="572">
                  <c:v>1.8988994850538118E-2</c:v>
                </c:pt>
                <c:pt idx="573">
                  <c:v>1.9002440008273915E-2</c:v>
                </c:pt>
                <c:pt idx="574">
                  <c:v>1.9016915349057334E-2</c:v>
                </c:pt>
                <c:pt idx="575">
                  <c:v>1.9029765863947456E-2</c:v>
                </c:pt>
                <c:pt idx="576">
                  <c:v>1.9045171206784454E-2</c:v>
                </c:pt>
                <c:pt idx="577">
                  <c:v>1.905933935533799E-2</c:v>
                </c:pt>
                <c:pt idx="578">
                  <c:v>1.9076716734213253E-2</c:v>
                </c:pt>
                <c:pt idx="579">
                  <c:v>1.9090198787712464E-2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41943</c:v>
                </c:pt>
                <c:pt idx="1">
                  <c:v>41974</c:v>
                </c:pt>
                <c:pt idx="2">
                  <c:v>42006</c:v>
                </c:pt>
                <c:pt idx="3">
                  <c:v>42037</c:v>
                </c:pt>
                <c:pt idx="4">
                  <c:v>42065</c:v>
                </c:pt>
                <c:pt idx="5">
                  <c:v>42096</c:v>
                </c:pt>
                <c:pt idx="6">
                  <c:v>42128</c:v>
                </c:pt>
                <c:pt idx="7">
                  <c:v>42159</c:v>
                </c:pt>
                <c:pt idx="8">
                  <c:v>42191</c:v>
                </c:pt>
                <c:pt idx="9">
                  <c:v>42222</c:v>
                </c:pt>
                <c:pt idx="10">
                  <c:v>42254</c:v>
                </c:pt>
                <c:pt idx="11">
                  <c:v>42284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42411</c:v>
                </c:pt>
                <c:pt idx="16">
                  <c:v>42440</c:v>
                </c:pt>
                <c:pt idx="17">
                  <c:v>42471</c:v>
                </c:pt>
                <c:pt idx="18">
                  <c:v>42501</c:v>
                </c:pt>
                <c:pt idx="19">
                  <c:v>42534</c:v>
                </c:pt>
                <c:pt idx="20">
                  <c:v>42564</c:v>
                </c:pt>
                <c:pt idx="21">
                  <c:v>42597</c:v>
                </c:pt>
                <c:pt idx="22">
                  <c:v>42628</c:v>
                </c:pt>
                <c:pt idx="23">
                  <c:v>42660</c:v>
                </c:pt>
                <c:pt idx="24">
                  <c:v>42691</c:v>
                </c:pt>
                <c:pt idx="25">
                  <c:v>42723</c:v>
                </c:pt>
                <c:pt idx="26">
                  <c:v>42754</c:v>
                </c:pt>
                <c:pt idx="27">
                  <c:v>42786</c:v>
                </c:pt>
                <c:pt idx="28">
                  <c:v>42814</c:v>
                </c:pt>
                <c:pt idx="29">
                  <c:v>42845</c:v>
                </c:pt>
                <c:pt idx="30">
                  <c:v>42877</c:v>
                </c:pt>
                <c:pt idx="31">
                  <c:v>42908</c:v>
                </c:pt>
                <c:pt idx="32">
                  <c:v>42940</c:v>
                </c:pt>
                <c:pt idx="33">
                  <c:v>42971</c:v>
                </c:pt>
                <c:pt idx="34">
                  <c:v>43003</c:v>
                </c:pt>
                <c:pt idx="35">
                  <c:v>43033</c:v>
                </c:pt>
                <c:pt idx="36">
                  <c:v>43066</c:v>
                </c:pt>
                <c:pt idx="37">
                  <c:v>43096</c:v>
                </c:pt>
                <c:pt idx="38">
                  <c:v>43129</c:v>
                </c:pt>
                <c:pt idx="39">
                  <c:v>43159</c:v>
                </c:pt>
                <c:pt idx="40">
                  <c:v>43187</c:v>
                </c:pt>
                <c:pt idx="41">
                  <c:v>43220</c:v>
                </c:pt>
                <c:pt idx="42">
                  <c:v>43250</c:v>
                </c:pt>
                <c:pt idx="43">
                  <c:v>43283</c:v>
                </c:pt>
                <c:pt idx="44">
                  <c:v>43314</c:v>
                </c:pt>
                <c:pt idx="45">
                  <c:v>43346</c:v>
                </c:pt>
                <c:pt idx="46">
                  <c:v>43376</c:v>
                </c:pt>
                <c:pt idx="47">
                  <c:v>43409</c:v>
                </c:pt>
                <c:pt idx="48">
                  <c:v>43439</c:v>
                </c:pt>
                <c:pt idx="49">
                  <c:v>43472</c:v>
                </c:pt>
                <c:pt idx="50">
                  <c:v>43503</c:v>
                </c:pt>
                <c:pt idx="51">
                  <c:v>43531</c:v>
                </c:pt>
                <c:pt idx="52">
                  <c:v>43563</c:v>
                </c:pt>
                <c:pt idx="53">
                  <c:v>43593</c:v>
                </c:pt>
                <c:pt idx="54">
                  <c:v>43626</c:v>
                </c:pt>
                <c:pt idx="55">
                  <c:v>43656</c:v>
                </c:pt>
                <c:pt idx="56">
                  <c:v>43689</c:v>
                </c:pt>
                <c:pt idx="57">
                  <c:v>43720</c:v>
                </c:pt>
                <c:pt idx="58">
                  <c:v>43752</c:v>
                </c:pt>
                <c:pt idx="59">
                  <c:v>43783</c:v>
                </c:pt>
                <c:pt idx="60">
                  <c:v>43815</c:v>
                </c:pt>
                <c:pt idx="61">
                  <c:v>43846</c:v>
                </c:pt>
                <c:pt idx="62">
                  <c:v>43878</c:v>
                </c:pt>
                <c:pt idx="63">
                  <c:v>43907</c:v>
                </c:pt>
                <c:pt idx="64">
                  <c:v>43938</c:v>
                </c:pt>
                <c:pt idx="65">
                  <c:v>43969</c:v>
                </c:pt>
                <c:pt idx="66">
                  <c:v>44000</c:v>
                </c:pt>
                <c:pt idx="67">
                  <c:v>44032</c:v>
                </c:pt>
                <c:pt idx="68">
                  <c:v>44063</c:v>
                </c:pt>
                <c:pt idx="69">
                  <c:v>44095</c:v>
                </c:pt>
                <c:pt idx="70">
                  <c:v>44125</c:v>
                </c:pt>
                <c:pt idx="71">
                  <c:v>44158</c:v>
                </c:pt>
                <c:pt idx="72">
                  <c:v>44188</c:v>
                </c:pt>
                <c:pt idx="73">
                  <c:v>44221</c:v>
                </c:pt>
                <c:pt idx="74">
                  <c:v>44252</c:v>
                </c:pt>
                <c:pt idx="75">
                  <c:v>44280</c:v>
                </c:pt>
                <c:pt idx="76">
                  <c:v>44312</c:v>
                </c:pt>
                <c:pt idx="77">
                  <c:v>44342</c:v>
                </c:pt>
                <c:pt idx="78">
                  <c:v>44375</c:v>
                </c:pt>
                <c:pt idx="79">
                  <c:v>44405</c:v>
                </c:pt>
                <c:pt idx="80">
                  <c:v>44438</c:v>
                </c:pt>
                <c:pt idx="81">
                  <c:v>44469</c:v>
                </c:pt>
                <c:pt idx="82">
                  <c:v>44501</c:v>
                </c:pt>
                <c:pt idx="83">
                  <c:v>44531</c:v>
                </c:pt>
                <c:pt idx="84">
                  <c:v>44564</c:v>
                </c:pt>
                <c:pt idx="85">
                  <c:v>44595</c:v>
                </c:pt>
                <c:pt idx="86">
                  <c:v>44623</c:v>
                </c:pt>
                <c:pt idx="87">
                  <c:v>44655</c:v>
                </c:pt>
                <c:pt idx="88">
                  <c:v>44685</c:v>
                </c:pt>
                <c:pt idx="89">
                  <c:v>44718</c:v>
                </c:pt>
                <c:pt idx="90">
                  <c:v>44748</c:v>
                </c:pt>
                <c:pt idx="91">
                  <c:v>44781</c:v>
                </c:pt>
                <c:pt idx="92">
                  <c:v>44812</c:v>
                </c:pt>
                <c:pt idx="93">
                  <c:v>44844</c:v>
                </c:pt>
                <c:pt idx="94">
                  <c:v>44875</c:v>
                </c:pt>
                <c:pt idx="95">
                  <c:v>44907</c:v>
                </c:pt>
                <c:pt idx="96">
                  <c:v>44938</c:v>
                </c:pt>
                <c:pt idx="97">
                  <c:v>44970</c:v>
                </c:pt>
                <c:pt idx="98">
                  <c:v>44998</c:v>
                </c:pt>
                <c:pt idx="99">
                  <c:v>45029</c:v>
                </c:pt>
                <c:pt idx="100">
                  <c:v>45061</c:v>
                </c:pt>
                <c:pt idx="101">
                  <c:v>45092</c:v>
                </c:pt>
                <c:pt idx="102">
                  <c:v>45124</c:v>
                </c:pt>
                <c:pt idx="103">
                  <c:v>45155</c:v>
                </c:pt>
                <c:pt idx="104">
                  <c:v>45187</c:v>
                </c:pt>
                <c:pt idx="105">
                  <c:v>45217</c:v>
                </c:pt>
                <c:pt idx="106">
                  <c:v>45250</c:v>
                </c:pt>
                <c:pt idx="107">
                  <c:v>45280</c:v>
                </c:pt>
                <c:pt idx="108">
                  <c:v>45313</c:v>
                </c:pt>
                <c:pt idx="109">
                  <c:v>45344</c:v>
                </c:pt>
                <c:pt idx="110">
                  <c:v>45373</c:v>
                </c:pt>
                <c:pt idx="111">
                  <c:v>45404</c:v>
                </c:pt>
                <c:pt idx="112">
                  <c:v>45434</c:v>
                </c:pt>
                <c:pt idx="113">
                  <c:v>45467</c:v>
                </c:pt>
                <c:pt idx="114">
                  <c:v>45497</c:v>
                </c:pt>
                <c:pt idx="115">
                  <c:v>45530</c:v>
                </c:pt>
                <c:pt idx="116">
                  <c:v>45561</c:v>
                </c:pt>
                <c:pt idx="117">
                  <c:v>45593</c:v>
                </c:pt>
                <c:pt idx="118">
                  <c:v>45624</c:v>
                </c:pt>
                <c:pt idx="119">
                  <c:v>45656</c:v>
                </c:pt>
                <c:pt idx="120">
                  <c:v>45687</c:v>
                </c:pt>
                <c:pt idx="121">
                  <c:v>45716</c:v>
                </c:pt>
                <c:pt idx="122">
                  <c:v>45744</c:v>
                </c:pt>
                <c:pt idx="123">
                  <c:v>45775</c:v>
                </c:pt>
                <c:pt idx="124">
                  <c:v>45805</c:v>
                </c:pt>
                <c:pt idx="125">
                  <c:v>45838</c:v>
                </c:pt>
                <c:pt idx="126">
                  <c:v>45868</c:v>
                </c:pt>
                <c:pt idx="127">
                  <c:v>45901</c:v>
                </c:pt>
                <c:pt idx="128">
                  <c:v>45931</c:v>
                </c:pt>
                <c:pt idx="129">
                  <c:v>45964</c:v>
                </c:pt>
                <c:pt idx="130">
                  <c:v>45994</c:v>
                </c:pt>
                <c:pt idx="131">
                  <c:v>46027</c:v>
                </c:pt>
                <c:pt idx="132">
                  <c:v>46058</c:v>
                </c:pt>
                <c:pt idx="133">
                  <c:v>46086</c:v>
                </c:pt>
                <c:pt idx="134">
                  <c:v>46119</c:v>
                </c:pt>
                <c:pt idx="135">
                  <c:v>46149</c:v>
                </c:pt>
                <c:pt idx="136">
                  <c:v>46181</c:v>
                </c:pt>
                <c:pt idx="137">
                  <c:v>46211</c:v>
                </c:pt>
                <c:pt idx="138">
                  <c:v>46244</c:v>
                </c:pt>
                <c:pt idx="139">
                  <c:v>46275</c:v>
                </c:pt>
                <c:pt idx="140">
                  <c:v>46307</c:v>
                </c:pt>
                <c:pt idx="141">
                  <c:v>46338</c:v>
                </c:pt>
                <c:pt idx="142">
                  <c:v>46370</c:v>
                </c:pt>
                <c:pt idx="143">
                  <c:v>46401</c:v>
                </c:pt>
                <c:pt idx="144">
                  <c:v>46433</c:v>
                </c:pt>
                <c:pt idx="145">
                  <c:v>46461</c:v>
                </c:pt>
                <c:pt idx="146">
                  <c:v>46492</c:v>
                </c:pt>
                <c:pt idx="147">
                  <c:v>46524</c:v>
                </c:pt>
                <c:pt idx="148">
                  <c:v>46555</c:v>
                </c:pt>
                <c:pt idx="149">
                  <c:v>46587</c:v>
                </c:pt>
                <c:pt idx="150">
                  <c:v>46618</c:v>
                </c:pt>
                <c:pt idx="151">
                  <c:v>46650</c:v>
                </c:pt>
                <c:pt idx="152">
                  <c:v>46680</c:v>
                </c:pt>
                <c:pt idx="153">
                  <c:v>46713</c:v>
                </c:pt>
                <c:pt idx="154">
                  <c:v>46743</c:v>
                </c:pt>
                <c:pt idx="155">
                  <c:v>46776</c:v>
                </c:pt>
                <c:pt idx="156">
                  <c:v>46807</c:v>
                </c:pt>
                <c:pt idx="157">
                  <c:v>46836</c:v>
                </c:pt>
                <c:pt idx="158">
                  <c:v>46867</c:v>
                </c:pt>
                <c:pt idx="159">
                  <c:v>46897</c:v>
                </c:pt>
                <c:pt idx="160">
                  <c:v>46930</c:v>
                </c:pt>
                <c:pt idx="161">
                  <c:v>46960</c:v>
                </c:pt>
                <c:pt idx="162">
                  <c:v>46993</c:v>
                </c:pt>
                <c:pt idx="163">
                  <c:v>47024</c:v>
                </c:pt>
                <c:pt idx="164">
                  <c:v>47056</c:v>
                </c:pt>
                <c:pt idx="165">
                  <c:v>47087</c:v>
                </c:pt>
                <c:pt idx="166">
                  <c:v>47120</c:v>
                </c:pt>
                <c:pt idx="167">
                  <c:v>47151</c:v>
                </c:pt>
                <c:pt idx="168">
                  <c:v>47179</c:v>
                </c:pt>
                <c:pt idx="169">
                  <c:v>47211</c:v>
                </c:pt>
                <c:pt idx="170">
                  <c:v>47241</c:v>
                </c:pt>
                <c:pt idx="171">
                  <c:v>47273</c:v>
                </c:pt>
                <c:pt idx="172">
                  <c:v>47303</c:v>
                </c:pt>
                <c:pt idx="173">
                  <c:v>47336</c:v>
                </c:pt>
                <c:pt idx="174">
                  <c:v>47367</c:v>
                </c:pt>
                <c:pt idx="175">
                  <c:v>47399</c:v>
                </c:pt>
                <c:pt idx="176">
                  <c:v>47430</c:v>
                </c:pt>
                <c:pt idx="177">
                  <c:v>47462</c:v>
                </c:pt>
                <c:pt idx="178">
                  <c:v>47493</c:v>
                </c:pt>
                <c:pt idx="179">
                  <c:v>47525</c:v>
                </c:pt>
                <c:pt idx="180">
                  <c:v>47553</c:v>
                </c:pt>
                <c:pt idx="181">
                  <c:v>47584</c:v>
                </c:pt>
                <c:pt idx="182">
                  <c:v>47616</c:v>
                </c:pt>
                <c:pt idx="183">
                  <c:v>47647</c:v>
                </c:pt>
                <c:pt idx="184">
                  <c:v>47679</c:v>
                </c:pt>
                <c:pt idx="185">
                  <c:v>47710</c:v>
                </c:pt>
                <c:pt idx="186">
                  <c:v>47742</c:v>
                </c:pt>
                <c:pt idx="187">
                  <c:v>47772</c:v>
                </c:pt>
                <c:pt idx="188">
                  <c:v>47805</c:v>
                </c:pt>
                <c:pt idx="189">
                  <c:v>47835</c:v>
                </c:pt>
                <c:pt idx="190">
                  <c:v>47868</c:v>
                </c:pt>
                <c:pt idx="191">
                  <c:v>47899</c:v>
                </c:pt>
                <c:pt idx="192">
                  <c:v>47927</c:v>
                </c:pt>
                <c:pt idx="193">
                  <c:v>47959</c:v>
                </c:pt>
                <c:pt idx="194">
                  <c:v>47989</c:v>
                </c:pt>
                <c:pt idx="195">
                  <c:v>48022</c:v>
                </c:pt>
                <c:pt idx="196">
                  <c:v>48052</c:v>
                </c:pt>
                <c:pt idx="197">
                  <c:v>48085</c:v>
                </c:pt>
                <c:pt idx="198">
                  <c:v>48116</c:v>
                </c:pt>
                <c:pt idx="199">
                  <c:v>48148</c:v>
                </c:pt>
                <c:pt idx="200">
                  <c:v>48179</c:v>
                </c:pt>
                <c:pt idx="201">
                  <c:v>48211</c:v>
                </c:pt>
                <c:pt idx="202">
                  <c:v>48242</c:v>
                </c:pt>
                <c:pt idx="203">
                  <c:v>48274</c:v>
                </c:pt>
                <c:pt idx="204">
                  <c:v>48305</c:v>
                </c:pt>
                <c:pt idx="205">
                  <c:v>48337</c:v>
                </c:pt>
                <c:pt idx="206">
                  <c:v>48368</c:v>
                </c:pt>
                <c:pt idx="207">
                  <c:v>48400</c:v>
                </c:pt>
                <c:pt idx="208">
                  <c:v>48431</c:v>
                </c:pt>
                <c:pt idx="209">
                  <c:v>48463</c:v>
                </c:pt>
                <c:pt idx="210">
                  <c:v>48493</c:v>
                </c:pt>
                <c:pt idx="211">
                  <c:v>48526</c:v>
                </c:pt>
                <c:pt idx="212">
                  <c:v>48556</c:v>
                </c:pt>
                <c:pt idx="213">
                  <c:v>48589</c:v>
                </c:pt>
                <c:pt idx="214">
                  <c:v>48620</c:v>
                </c:pt>
                <c:pt idx="215">
                  <c:v>48648</c:v>
                </c:pt>
                <c:pt idx="216">
                  <c:v>48680</c:v>
                </c:pt>
                <c:pt idx="217">
                  <c:v>48710</c:v>
                </c:pt>
                <c:pt idx="218">
                  <c:v>48743</c:v>
                </c:pt>
                <c:pt idx="219">
                  <c:v>48773</c:v>
                </c:pt>
                <c:pt idx="220">
                  <c:v>48806</c:v>
                </c:pt>
                <c:pt idx="221">
                  <c:v>48837</c:v>
                </c:pt>
                <c:pt idx="222">
                  <c:v>48869</c:v>
                </c:pt>
                <c:pt idx="223">
                  <c:v>48900</c:v>
                </c:pt>
                <c:pt idx="224">
                  <c:v>48932</c:v>
                </c:pt>
                <c:pt idx="225">
                  <c:v>48963</c:v>
                </c:pt>
                <c:pt idx="226">
                  <c:v>48995</c:v>
                </c:pt>
                <c:pt idx="227">
                  <c:v>49023</c:v>
                </c:pt>
                <c:pt idx="228">
                  <c:v>49054</c:v>
                </c:pt>
                <c:pt idx="229">
                  <c:v>49086</c:v>
                </c:pt>
                <c:pt idx="230">
                  <c:v>49117</c:v>
                </c:pt>
                <c:pt idx="231">
                  <c:v>49149</c:v>
                </c:pt>
                <c:pt idx="232">
                  <c:v>49180</c:v>
                </c:pt>
                <c:pt idx="233">
                  <c:v>49212</c:v>
                </c:pt>
                <c:pt idx="234">
                  <c:v>49242</c:v>
                </c:pt>
                <c:pt idx="235">
                  <c:v>49275</c:v>
                </c:pt>
                <c:pt idx="236">
                  <c:v>49305</c:v>
                </c:pt>
                <c:pt idx="237">
                  <c:v>49338</c:v>
                </c:pt>
                <c:pt idx="238">
                  <c:v>49368</c:v>
                </c:pt>
                <c:pt idx="239">
                  <c:v>49396</c:v>
                </c:pt>
                <c:pt idx="240">
                  <c:v>49429</c:v>
                </c:pt>
                <c:pt idx="241">
                  <c:v>49459</c:v>
                </c:pt>
                <c:pt idx="242">
                  <c:v>49492</c:v>
                </c:pt>
                <c:pt idx="243">
                  <c:v>49523</c:v>
                </c:pt>
                <c:pt idx="244">
                  <c:v>49555</c:v>
                </c:pt>
                <c:pt idx="245">
                  <c:v>49585</c:v>
                </c:pt>
                <c:pt idx="246">
                  <c:v>49618</c:v>
                </c:pt>
                <c:pt idx="247">
                  <c:v>49648</c:v>
                </c:pt>
                <c:pt idx="248">
                  <c:v>49681</c:v>
                </c:pt>
                <c:pt idx="249">
                  <c:v>49712</c:v>
                </c:pt>
                <c:pt idx="250">
                  <c:v>49741</c:v>
                </c:pt>
                <c:pt idx="251">
                  <c:v>49772</c:v>
                </c:pt>
                <c:pt idx="252">
                  <c:v>49802</c:v>
                </c:pt>
                <c:pt idx="253">
                  <c:v>49835</c:v>
                </c:pt>
                <c:pt idx="254">
                  <c:v>49865</c:v>
                </c:pt>
                <c:pt idx="255">
                  <c:v>49898</c:v>
                </c:pt>
                <c:pt idx="256">
                  <c:v>49929</c:v>
                </c:pt>
                <c:pt idx="257">
                  <c:v>49961</c:v>
                </c:pt>
                <c:pt idx="258">
                  <c:v>49992</c:v>
                </c:pt>
                <c:pt idx="259">
                  <c:v>50024</c:v>
                </c:pt>
                <c:pt idx="260">
                  <c:v>50055</c:v>
                </c:pt>
                <c:pt idx="261">
                  <c:v>50087</c:v>
                </c:pt>
                <c:pt idx="262">
                  <c:v>50115</c:v>
                </c:pt>
                <c:pt idx="263">
                  <c:v>50146</c:v>
                </c:pt>
                <c:pt idx="264">
                  <c:v>50178</c:v>
                </c:pt>
                <c:pt idx="265">
                  <c:v>50209</c:v>
                </c:pt>
                <c:pt idx="266">
                  <c:v>50241</c:v>
                </c:pt>
                <c:pt idx="267">
                  <c:v>50272</c:v>
                </c:pt>
                <c:pt idx="268">
                  <c:v>50304</c:v>
                </c:pt>
                <c:pt idx="269">
                  <c:v>50334</c:v>
                </c:pt>
                <c:pt idx="270">
                  <c:v>50367</c:v>
                </c:pt>
                <c:pt idx="271">
                  <c:v>50397</c:v>
                </c:pt>
                <c:pt idx="272">
                  <c:v>50430</c:v>
                </c:pt>
                <c:pt idx="273">
                  <c:v>50461</c:v>
                </c:pt>
                <c:pt idx="274">
                  <c:v>50489</c:v>
                </c:pt>
                <c:pt idx="275">
                  <c:v>50522</c:v>
                </c:pt>
                <c:pt idx="276">
                  <c:v>50552</c:v>
                </c:pt>
                <c:pt idx="277">
                  <c:v>50584</c:v>
                </c:pt>
                <c:pt idx="278">
                  <c:v>50614</c:v>
                </c:pt>
                <c:pt idx="279">
                  <c:v>50647</c:v>
                </c:pt>
                <c:pt idx="280">
                  <c:v>50678</c:v>
                </c:pt>
                <c:pt idx="281">
                  <c:v>50710</c:v>
                </c:pt>
                <c:pt idx="282">
                  <c:v>50740</c:v>
                </c:pt>
                <c:pt idx="283">
                  <c:v>50773</c:v>
                </c:pt>
                <c:pt idx="284">
                  <c:v>50804</c:v>
                </c:pt>
                <c:pt idx="285">
                  <c:v>50832</c:v>
                </c:pt>
                <c:pt idx="286">
                  <c:v>50864</c:v>
                </c:pt>
                <c:pt idx="287">
                  <c:v>50894</c:v>
                </c:pt>
                <c:pt idx="288">
                  <c:v>50927</c:v>
                </c:pt>
                <c:pt idx="289">
                  <c:v>50957</c:v>
                </c:pt>
                <c:pt idx="290">
                  <c:v>50990</c:v>
                </c:pt>
                <c:pt idx="291">
                  <c:v>51021</c:v>
                </c:pt>
                <c:pt idx="292">
                  <c:v>51053</c:v>
                </c:pt>
                <c:pt idx="293">
                  <c:v>51084</c:v>
                </c:pt>
                <c:pt idx="294">
                  <c:v>51116</c:v>
                </c:pt>
                <c:pt idx="295">
                  <c:v>51147</c:v>
                </c:pt>
                <c:pt idx="296">
                  <c:v>51179</c:v>
                </c:pt>
                <c:pt idx="297">
                  <c:v>51208</c:v>
                </c:pt>
                <c:pt idx="298">
                  <c:v>51239</c:v>
                </c:pt>
                <c:pt idx="299">
                  <c:v>51270</c:v>
                </c:pt>
                <c:pt idx="300">
                  <c:v>51301</c:v>
                </c:pt>
                <c:pt idx="301">
                  <c:v>51333</c:v>
                </c:pt>
                <c:pt idx="302">
                  <c:v>51364</c:v>
                </c:pt>
                <c:pt idx="303">
                  <c:v>51396</c:v>
                </c:pt>
                <c:pt idx="304">
                  <c:v>51426</c:v>
                </c:pt>
                <c:pt idx="305">
                  <c:v>51459</c:v>
                </c:pt>
                <c:pt idx="306">
                  <c:v>51489</c:v>
                </c:pt>
                <c:pt idx="307">
                  <c:v>51522</c:v>
                </c:pt>
                <c:pt idx="308">
                  <c:v>51553</c:v>
                </c:pt>
                <c:pt idx="309">
                  <c:v>51581</c:v>
                </c:pt>
                <c:pt idx="310">
                  <c:v>51614</c:v>
                </c:pt>
                <c:pt idx="311">
                  <c:v>51644</c:v>
                </c:pt>
                <c:pt idx="312">
                  <c:v>51676</c:v>
                </c:pt>
                <c:pt idx="313">
                  <c:v>51706</c:v>
                </c:pt>
                <c:pt idx="314">
                  <c:v>51739</c:v>
                </c:pt>
                <c:pt idx="315">
                  <c:v>51770</c:v>
                </c:pt>
                <c:pt idx="316">
                  <c:v>51802</c:v>
                </c:pt>
                <c:pt idx="317">
                  <c:v>51833</c:v>
                </c:pt>
                <c:pt idx="318">
                  <c:v>51865</c:v>
                </c:pt>
                <c:pt idx="319">
                  <c:v>51896</c:v>
                </c:pt>
                <c:pt idx="320">
                  <c:v>51925</c:v>
                </c:pt>
                <c:pt idx="321">
                  <c:v>51953</c:v>
                </c:pt>
                <c:pt idx="322">
                  <c:v>51984</c:v>
                </c:pt>
                <c:pt idx="323">
                  <c:v>52014</c:v>
                </c:pt>
                <c:pt idx="324">
                  <c:v>52047</c:v>
                </c:pt>
                <c:pt idx="325">
                  <c:v>52077</c:v>
                </c:pt>
                <c:pt idx="326">
                  <c:v>52110</c:v>
                </c:pt>
                <c:pt idx="327">
                  <c:v>52140</c:v>
                </c:pt>
                <c:pt idx="328">
                  <c:v>52173</c:v>
                </c:pt>
                <c:pt idx="329">
                  <c:v>52203</c:v>
                </c:pt>
                <c:pt idx="330">
                  <c:v>52236</c:v>
                </c:pt>
                <c:pt idx="331">
                  <c:v>52267</c:v>
                </c:pt>
                <c:pt idx="332">
                  <c:v>52295</c:v>
                </c:pt>
                <c:pt idx="333">
                  <c:v>52327</c:v>
                </c:pt>
                <c:pt idx="334">
                  <c:v>52357</c:v>
                </c:pt>
                <c:pt idx="335">
                  <c:v>52390</c:v>
                </c:pt>
                <c:pt idx="336">
                  <c:v>52420</c:v>
                </c:pt>
                <c:pt idx="337">
                  <c:v>52453</c:v>
                </c:pt>
                <c:pt idx="338">
                  <c:v>52484</c:v>
                </c:pt>
                <c:pt idx="339">
                  <c:v>52516</c:v>
                </c:pt>
                <c:pt idx="340">
                  <c:v>52547</c:v>
                </c:pt>
                <c:pt idx="341">
                  <c:v>52579</c:v>
                </c:pt>
                <c:pt idx="342">
                  <c:v>52610</c:v>
                </c:pt>
                <c:pt idx="343">
                  <c:v>52642</c:v>
                </c:pt>
                <c:pt idx="344">
                  <c:v>52671</c:v>
                </c:pt>
                <c:pt idx="345">
                  <c:v>52706</c:v>
                </c:pt>
                <c:pt idx="346">
                  <c:v>52736</c:v>
                </c:pt>
                <c:pt idx="347">
                  <c:v>52768</c:v>
                </c:pt>
                <c:pt idx="348">
                  <c:v>52798</c:v>
                </c:pt>
                <c:pt idx="349">
                  <c:v>52831</c:v>
                </c:pt>
                <c:pt idx="350">
                  <c:v>52862</c:v>
                </c:pt>
                <c:pt idx="351">
                  <c:v>52894</c:v>
                </c:pt>
                <c:pt idx="352">
                  <c:v>52925</c:v>
                </c:pt>
                <c:pt idx="353">
                  <c:v>52958</c:v>
                </c:pt>
                <c:pt idx="354">
                  <c:v>52989</c:v>
                </c:pt>
                <c:pt idx="355">
                  <c:v>53020</c:v>
                </c:pt>
                <c:pt idx="356">
                  <c:v>53048</c:v>
                </c:pt>
                <c:pt idx="357">
                  <c:v>53079</c:v>
                </c:pt>
                <c:pt idx="358">
                  <c:v>53111</c:v>
                </c:pt>
                <c:pt idx="359">
                  <c:v>53142</c:v>
                </c:pt>
                <c:pt idx="360">
                  <c:v>53174</c:v>
                </c:pt>
                <c:pt idx="361">
                  <c:v>53205</c:v>
                </c:pt>
                <c:pt idx="362">
                  <c:v>53237</c:v>
                </c:pt>
                <c:pt idx="363">
                  <c:v>53268</c:v>
                </c:pt>
                <c:pt idx="364">
                  <c:v>53300</c:v>
                </c:pt>
                <c:pt idx="365">
                  <c:v>53331</c:v>
                </c:pt>
                <c:pt idx="366">
                  <c:v>53363</c:v>
                </c:pt>
                <c:pt idx="367">
                  <c:v>53391</c:v>
                </c:pt>
                <c:pt idx="368">
                  <c:v>53422</c:v>
                </c:pt>
                <c:pt idx="369">
                  <c:v>53454</c:v>
                </c:pt>
                <c:pt idx="370">
                  <c:v>53485</c:v>
                </c:pt>
                <c:pt idx="371">
                  <c:v>53517</c:v>
                </c:pt>
                <c:pt idx="372">
                  <c:v>53548</c:v>
                </c:pt>
                <c:pt idx="373">
                  <c:v>53580</c:v>
                </c:pt>
                <c:pt idx="374">
                  <c:v>53610</c:v>
                </c:pt>
                <c:pt idx="375">
                  <c:v>53643</c:v>
                </c:pt>
                <c:pt idx="376">
                  <c:v>53673</c:v>
                </c:pt>
                <c:pt idx="377">
                  <c:v>53706</c:v>
                </c:pt>
                <c:pt idx="378">
                  <c:v>53737</c:v>
                </c:pt>
                <c:pt idx="379">
                  <c:v>53765</c:v>
                </c:pt>
                <c:pt idx="380">
                  <c:v>53798</c:v>
                </c:pt>
                <c:pt idx="381">
                  <c:v>53828</c:v>
                </c:pt>
                <c:pt idx="382">
                  <c:v>53860</c:v>
                </c:pt>
                <c:pt idx="383">
                  <c:v>53890</c:v>
                </c:pt>
                <c:pt idx="384">
                  <c:v>53923</c:v>
                </c:pt>
                <c:pt idx="385">
                  <c:v>53954</c:v>
                </c:pt>
                <c:pt idx="386">
                  <c:v>53986</c:v>
                </c:pt>
                <c:pt idx="387">
                  <c:v>54017</c:v>
                </c:pt>
                <c:pt idx="388">
                  <c:v>54049</c:v>
                </c:pt>
                <c:pt idx="389">
                  <c:v>54080</c:v>
                </c:pt>
                <c:pt idx="390">
                  <c:v>54112</c:v>
                </c:pt>
                <c:pt idx="391">
                  <c:v>54141</c:v>
                </c:pt>
                <c:pt idx="392">
                  <c:v>54172</c:v>
                </c:pt>
                <c:pt idx="393">
                  <c:v>54203</c:v>
                </c:pt>
                <c:pt idx="394">
                  <c:v>54234</c:v>
                </c:pt>
                <c:pt idx="395">
                  <c:v>54266</c:v>
                </c:pt>
                <c:pt idx="396">
                  <c:v>54297</c:v>
                </c:pt>
                <c:pt idx="397">
                  <c:v>54329</c:v>
                </c:pt>
                <c:pt idx="398">
                  <c:v>54359</c:v>
                </c:pt>
                <c:pt idx="399">
                  <c:v>54392</c:v>
                </c:pt>
                <c:pt idx="400">
                  <c:v>54422</c:v>
                </c:pt>
                <c:pt idx="401">
                  <c:v>54455</c:v>
                </c:pt>
                <c:pt idx="402">
                  <c:v>54483</c:v>
                </c:pt>
                <c:pt idx="403">
                  <c:v>54514</c:v>
                </c:pt>
                <c:pt idx="404">
                  <c:v>54546</c:v>
                </c:pt>
                <c:pt idx="405">
                  <c:v>54577</c:v>
                </c:pt>
                <c:pt idx="406">
                  <c:v>54609</c:v>
                </c:pt>
                <c:pt idx="407">
                  <c:v>54640</c:v>
                </c:pt>
                <c:pt idx="408">
                  <c:v>54672</c:v>
                </c:pt>
                <c:pt idx="409">
                  <c:v>54702</c:v>
                </c:pt>
                <c:pt idx="410">
                  <c:v>54735</c:v>
                </c:pt>
                <c:pt idx="411">
                  <c:v>54765</c:v>
                </c:pt>
                <c:pt idx="412">
                  <c:v>54798</c:v>
                </c:pt>
                <c:pt idx="413">
                  <c:v>54829</c:v>
                </c:pt>
                <c:pt idx="414">
                  <c:v>54857</c:v>
                </c:pt>
                <c:pt idx="415">
                  <c:v>54890</c:v>
                </c:pt>
                <c:pt idx="416">
                  <c:v>54920</c:v>
                </c:pt>
                <c:pt idx="417">
                  <c:v>54952</c:v>
                </c:pt>
                <c:pt idx="418">
                  <c:v>54982</c:v>
                </c:pt>
                <c:pt idx="419">
                  <c:v>55015</c:v>
                </c:pt>
                <c:pt idx="420">
                  <c:v>55046</c:v>
                </c:pt>
                <c:pt idx="421">
                  <c:v>55078</c:v>
                </c:pt>
                <c:pt idx="422">
                  <c:v>55109</c:v>
                </c:pt>
                <c:pt idx="423">
                  <c:v>55141</c:v>
                </c:pt>
                <c:pt idx="424">
                  <c:v>55172</c:v>
                </c:pt>
                <c:pt idx="425">
                  <c:v>55204</c:v>
                </c:pt>
                <c:pt idx="426">
                  <c:v>55232</c:v>
                </c:pt>
                <c:pt idx="427">
                  <c:v>55263</c:v>
                </c:pt>
                <c:pt idx="428">
                  <c:v>55295</c:v>
                </c:pt>
                <c:pt idx="429">
                  <c:v>55326</c:v>
                </c:pt>
                <c:pt idx="430">
                  <c:v>55358</c:v>
                </c:pt>
                <c:pt idx="431">
                  <c:v>55389</c:v>
                </c:pt>
                <c:pt idx="432">
                  <c:v>55421</c:v>
                </c:pt>
                <c:pt idx="433">
                  <c:v>55451</c:v>
                </c:pt>
                <c:pt idx="434">
                  <c:v>55484</c:v>
                </c:pt>
                <c:pt idx="435">
                  <c:v>55514</c:v>
                </c:pt>
                <c:pt idx="436">
                  <c:v>55547</c:v>
                </c:pt>
                <c:pt idx="437">
                  <c:v>55578</c:v>
                </c:pt>
                <c:pt idx="438">
                  <c:v>55607</c:v>
                </c:pt>
                <c:pt idx="439">
                  <c:v>55638</c:v>
                </c:pt>
                <c:pt idx="440">
                  <c:v>55668</c:v>
                </c:pt>
                <c:pt idx="441">
                  <c:v>55701</c:v>
                </c:pt>
                <c:pt idx="442">
                  <c:v>55732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55857</c:v>
                </c:pt>
                <c:pt idx="447">
                  <c:v>55890</c:v>
                </c:pt>
                <c:pt idx="448">
                  <c:v>55921</c:v>
                </c:pt>
                <c:pt idx="449">
                  <c:v>55949</c:v>
                </c:pt>
                <c:pt idx="450">
                  <c:v>55982</c:v>
                </c:pt>
                <c:pt idx="451">
                  <c:v>56012</c:v>
                </c:pt>
                <c:pt idx="452">
                  <c:v>56044</c:v>
                </c:pt>
                <c:pt idx="453">
                  <c:v>56074</c:v>
                </c:pt>
                <c:pt idx="454">
                  <c:v>56107</c:v>
                </c:pt>
                <c:pt idx="455">
                  <c:v>56138</c:v>
                </c:pt>
                <c:pt idx="456">
                  <c:v>56170</c:v>
                </c:pt>
                <c:pt idx="457">
                  <c:v>56201</c:v>
                </c:pt>
                <c:pt idx="458">
                  <c:v>56233</c:v>
                </c:pt>
                <c:pt idx="459">
                  <c:v>56264</c:v>
                </c:pt>
                <c:pt idx="460">
                  <c:v>56296</c:v>
                </c:pt>
                <c:pt idx="461">
                  <c:v>56324</c:v>
                </c:pt>
                <c:pt idx="462">
                  <c:v>56355</c:v>
                </c:pt>
                <c:pt idx="463">
                  <c:v>56387</c:v>
                </c:pt>
                <c:pt idx="464">
                  <c:v>56418</c:v>
                </c:pt>
                <c:pt idx="465">
                  <c:v>56450</c:v>
                </c:pt>
                <c:pt idx="466">
                  <c:v>56481</c:v>
                </c:pt>
                <c:pt idx="467">
                  <c:v>56513</c:v>
                </c:pt>
                <c:pt idx="468">
                  <c:v>56543</c:v>
                </c:pt>
                <c:pt idx="469">
                  <c:v>56576</c:v>
                </c:pt>
                <c:pt idx="470">
                  <c:v>56606</c:v>
                </c:pt>
                <c:pt idx="471">
                  <c:v>56639</c:v>
                </c:pt>
                <c:pt idx="472">
                  <c:v>56670</c:v>
                </c:pt>
                <c:pt idx="473">
                  <c:v>56698</c:v>
                </c:pt>
                <c:pt idx="474">
                  <c:v>56730</c:v>
                </c:pt>
                <c:pt idx="475">
                  <c:v>56760</c:v>
                </c:pt>
                <c:pt idx="476">
                  <c:v>56793</c:v>
                </c:pt>
                <c:pt idx="477">
                  <c:v>56823</c:v>
                </c:pt>
                <c:pt idx="478">
                  <c:v>56856</c:v>
                </c:pt>
                <c:pt idx="479">
                  <c:v>56887</c:v>
                </c:pt>
                <c:pt idx="480">
                  <c:v>56919</c:v>
                </c:pt>
                <c:pt idx="481">
                  <c:v>56949</c:v>
                </c:pt>
                <c:pt idx="482">
                  <c:v>56982</c:v>
                </c:pt>
                <c:pt idx="483">
                  <c:v>57013</c:v>
                </c:pt>
                <c:pt idx="484">
                  <c:v>57042</c:v>
                </c:pt>
                <c:pt idx="485">
                  <c:v>57074</c:v>
                </c:pt>
                <c:pt idx="486">
                  <c:v>57104</c:v>
                </c:pt>
                <c:pt idx="487">
                  <c:v>57136</c:v>
                </c:pt>
                <c:pt idx="488">
                  <c:v>57166</c:v>
                </c:pt>
                <c:pt idx="489">
                  <c:v>57199</c:v>
                </c:pt>
                <c:pt idx="490">
                  <c:v>57230</c:v>
                </c:pt>
                <c:pt idx="491">
                  <c:v>57262</c:v>
                </c:pt>
                <c:pt idx="492">
                  <c:v>57293</c:v>
                </c:pt>
                <c:pt idx="493">
                  <c:v>57325</c:v>
                </c:pt>
                <c:pt idx="494">
                  <c:v>57356</c:v>
                </c:pt>
                <c:pt idx="495">
                  <c:v>57388</c:v>
                </c:pt>
                <c:pt idx="496">
                  <c:v>57416</c:v>
                </c:pt>
                <c:pt idx="497">
                  <c:v>57447</c:v>
                </c:pt>
                <c:pt idx="498">
                  <c:v>57479</c:v>
                </c:pt>
                <c:pt idx="499">
                  <c:v>57510</c:v>
                </c:pt>
                <c:pt idx="500">
                  <c:v>57542</c:v>
                </c:pt>
                <c:pt idx="501">
                  <c:v>57573</c:v>
                </c:pt>
                <c:pt idx="502">
                  <c:v>57605</c:v>
                </c:pt>
                <c:pt idx="503">
                  <c:v>57635</c:v>
                </c:pt>
                <c:pt idx="504">
                  <c:v>57668</c:v>
                </c:pt>
                <c:pt idx="505">
                  <c:v>57698</c:v>
                </c:pt>
                <c:pt idx="506">
                  <c:v>57731</c:v>
                </c:pt>
                <c:pt idx="507">
                  <c:v>57762</c:v>
                </c:pt>
                <c:pt idx="508">
                  <c:v>57790</c:v>
                </c:pt>
                <c:pt idx="509">
                  <c:v>57822</c:v>
                </c:pt>
                <c:pt idx="510">
                  <c:v>57852</c:v>
                </c:pt>
                <c:pt idx="511">
                  <c:v>57885</c:v>
                </c:pt>
                <c:pt idx="512">
                  <c:v>57915</c:v>
                </c:pt>
                <c:pt idx="513">
                  <c:v>57948</c:v>
                </c:pt>
                <c:pt idx="514">
                  <c:v>57979</c:v>
                </c:pt>
                <c:pt idx="515">
                  <c:v>58011</c:v>
                </c:pt>
                <c:pt idx="516">
                  <c:v>58042</c:v>
                </c:pt>
                <c:pt idx="517">
                  <c:v>58074</c:v>
                </c:pt>
                <c:pt idx="518">
                  <c:v>58105</c:v>
                </c:pt>
                <c:pt idx="519">
                  <c:v>58134</c:v>
                </c:pt>
                <c:pt idx="520">
                  <c:v>58166</c:v>
                </c:pt>
                <c:pt idx="521">
                  <c:v>58197</c:v>
                </c:pt>
                <c:pt idx="522">
                  <c:v>58228</c:v>
                </c:pt>
                <c:pt idx="523">
                  <c:v>58258</c:v>
                </c:pt>
                <c:pt idx="524">
                  <c:v>58291</c:v>
                </c:pt>
                <c:pt idx="525">
                  <c:v>58322</c:v>
                </c:pt>
                <c:pt idx="526">
                  <c:v>58354</c:v>
                </c:pt>
                <c:pt idx="527">
                  <c:v>58385</c:v>
                </c:pt>
                <c:pt idx="528">
                  <c:v>58417</c:v>
                </c:pt>
                <c:pt idx="529">
                  <c:v>58448</c:v>
                </c:pt>
                <c:pt idx="530">
                  <c:v>58480</c:v>
                </c:pt>
                <c:pt idx="531">
                  <c:v>58509</c:v>
                </c:pt>
                <c:pt idx="532">
                  <c:v>58540</c:v>
                </c:pt>
                <c:pt idx="533">
                  <c:v>58571</c:v>
                </c:pt>
                <c:pt idx="534">
                  <c:v>58602</c:v>
                </c:pt>
                <c:pt idx="535">
                  <c:v>58634</c:v>
                </c:pt>
                <c:pt idx="536">
                  <c:v>58665</c:v>
                </c:pt>
                <c:pt idx="537">
                  <c:v>58697</c:v>
                </c:pt>
                <c:pt idx="538">
                  <c:v>58727</c:v>
                </c:pt>
                <c:pt idx="539">
                  <c:v>58760</c:v>
                </c:pt>
                <c:pt idx="540">
                  <c:v>58790</c:v>
                </c:pt>
                <c:pt idx="541">
                  <c:v>58823</c:v>
                </c:pt>
                <c:pt idx="542">
                  <c:v>58854</c:v>
                </c:pt>
                <c:pt idx="543">
                  <c:v>58882</c:v>
                </c:pt>
                <c:pt idx="544">
                  <c:v>58914</c:v>
                </c:pt>
                <c:pt idx="545">
                  <c:v>58944</c:v>
                </c:pt>
                <c:pt idx="546">
                  <c:v>58977</c:v>
                </c:pt>
                <c:pt idx="547">
                  <c:v>59007</c:v>
                </c:pt>
                <c:pt idx="548">
                  <c:v>59040</c:v>
                </c:pt>
                <c:pt idx="549">
                  <c:v>59071</c:v>
                </c:pt>
                <c:pt idx="550">
                  <c:v>59103</c:v>
                </c:pt>
                <c:pt idx="551">
                  <c:v>59134</c:v>
                </c:pt>
                <c:pt idx="552">
                  <c:v>59167</c:v>
                </c:pt>
                <c:pt idx="553">
                  <c:v>59198</c:v>
                </c:pt>
                <c:pt idx="554">
                  <c:v>59229</c:v>
                </c:pt>
                <c:pt idx="555">
                  <c:v>59258</c:v>
                </c:pt>
                <c:pt idx="556">
                  <c:v>59289</c:v>
                </c:pt>
                <c:pt idx="557">
                  <c:v>59320</c:v>
                </c:pt>
                <c:pt idx="558">
                  <c:v>59351</c:v>
                </c:pt>
                <c:pt idx="559">
                  <c:v>59383</c:v>
                </c:pt>
                <c:pt idx="560">
                  <c:v>59414</c:v>
                </c:pt>
                <c:pt idx="561">
                  <c:v>59446</c:v>
                </c:pt>
                <c:pt idx="562">
                  <c:v>59477</c:v>
                </c:pt>
                <c:pt idx="563">
                  <c:v>59509</c:v>
                </c:pt>
                <c:pt idx="564">
                  <c:v>59540</c:v>
                </c:pt>
                <c:pt idx="565">
                  <c:v>59572</c:v>
                </c:pt>
                <c:pt idx="566">
                  <c:v>59600</c:v>
                </c:pt>
                <c:pt idx="567">
                  <c:v>59631</c:v>
                </c:pt>
                <c:pt idx="568">
                  <c:v>59663</c:v>
                </c:pt>
                <c:pt idx="569">
                  <c:v>59694</c:v>
                </c:pt>
                <c:pt idx="570">
                  <c:v>59726</c:v>
                </c:pt>
                <c:pt idx="571">
                  <c:v>59757</c:v>
                </c:pt>
                <c:pt idx="572">
                  <c:v>59789</c:v>
                </c:pt>
                <c:pt idx="573">
                  <c:v>59819</c:v>
                </c:pt>
                <c:pt idx="574">
                  <c:v>59852</c:v>
                </c:pt>
                <c:pt idx="575">
                  <c:v>59882</c:v>
                </c:pt>
                <c:pt idx="576">
                  <c:v>59915</c:v>
                </c:pt>
                <c:pt idx="577">
                  <c:v>59946</c:v>
                </c:pt>
                <c:pt idx="578">
                  <c:v>59975</c:v>
                </c:pt>
                <c:pt idx="579">
                  <c:v>60006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-1.7921313597080646E-5</c:v>
                </c:pt>
                <c:pt idx="1">
                  <c:v>6.150826338807153E-6</c:v>
                </c:pt>
                <c:pt idx="2">
                  <c:v>1.8464785108918136E-5</c:v>
                </c:pt>
                <c:pt idx="3">
                  <c:v>-1.4174735847939855E-4</c:v>
                </c:pt>
                <c:pt idx="4">
                  <c:v>-3.2989759821563334E-4</c:v>
                </c:pt>
                <c:pt idx="5">
                  <c:v>-4.4249951119817695E-4</c:v>
                </c:pt>
                <c:pt idx="6">
                  <c:v>-4.1500504990260833E-4</c:v>
                </c:pt>
                <c:pt idx="7">
                  <c:v>-4.9247968966273001E-4</c:v>
                </c:pt>
                <c:pt idx="8">
                  <c:v>-5.1494183221478806E-4</c:v>
                </c:pt>
                <c:pt idx="9">
                  <c:v>-6.145562948699164E-4</c:v>
                </c:pt>
                <c:pt idx="10">
                  <c:v>-5.3224703901024839E-4</c:v>
                </c:pt>
                <c:pt idx="11">
                  <c:v>-3.7074468464411451E-4</c:v>
                </c:pt>
                <c:pt idx="12">
                  <c:v>-2.7668699385163332E-4</c:v>
                </c:pt>
                <c:pt idx="13">
                  <c:v>-2.8883213556478671E-4</c:v>
                </c:pt>
                <c:pt idx="14">
                  <c:v>-4.6418760246964738E-4</c:v>
                </c:pt>
                <c:pt idx="15">
                  <c:v>-4.3554382642252421E-4</c:v>
                </c:pt>
                <c:pt idx="16">
                  <c:v>-3.1332187250880043E-4</c:v>
                </c:pt>
                <c:pt idx="17">
                  <c:v>-1.7279543225685518E-4</c:v>
                </c:pt>
                <c:pt idx="18">
                  <c:v>-6.1390859771400742E-5</c:v>
                </c:pt>
                <c:pt idx="19">
                  <c:v>1.5353555430508905E-5</c:v>
                </c:pt>
                <c:pt idx="20">
                  <c:v>7.2381283519872426E-5</c:v>
                </c:pt>
                <c:pt idx="21">
                  <c:v>1.4769815594475034E-4</c:v>
                </c:pt>
                <c:pt idx="22">
                  <c:v>2.3282084497849428E-4</c:v>
                </c:pt>
                <c:pt idx="23">
                  <c:v>3.3798832727365664E-4</c:v>
                </c:pt>
                <c:pt idx="24">
                  <c:v>4.4953136847371354E-4</c:v>
                </c:pt>
                <c:pt idx="25">
                  <c:v>5.695992355960964E-4</c:v>
                </c:pt>
                <c:pt idx="26">
                  <c:v>6.9184506100494758E-4</c:v>
                </c:pt>
                <c:pt idx="27">
                  <c:v>8.2869450900885681E-4</c:v>
                </c:pt>
                <c:pt idx="28">
                  <c:v>9.5421699107647493E-4</c:v>
                </c:pt>
                <c:pt idx="29">
                  <c:v>1.0941483106512756E-3</c:v>
                </c:pt>
                <c:pt idx="30">
                  <c:v>1.2498481810481767E-3</c:v>
                </c:pt>
                <c:pt idx="31">
                  <c:v>1.4045541238324418E-3</c:v>
                </c:pt>
                <c:pt idx="32">
                  <c:v>1.5706417958384201E-3</c:v>
                </c:pt>
                <c:pt idx="33">
                  <c:v>1.7376304084595533E-3</c:v>
                </c:pt>
                <c:pt idx="34">
                  <c:v>1.9181647532954867E-3</c:v>
                </c:pt>
                <c:pt idx="35">
                  <c:v>2.0855447391993319E-3</c:v>
                </c:pt>
                <c:pt idx="36">
                  <c:v>2.2755619627586347E-3</c:v>
                </c:pt>
                <c:pt idx="37">
                  <c:v>2.4445708038030038E-3</c:v>
                </c:pt>
                <c:pt idx="38">
                  <c:v>2.6423044185804306E-3</c:v>
                </c:pt>
                <c:pt idx="39">
                  <c:v>2.8154894003245431E-3</c:v>
                </c:pt>
                <c:pt idx="40">
                  <c:v>2.9937957404744062E-3</c:v>
                </c:pt>
                <c:pt idx="41">
                  <c:v>3.1924352662830832E-3</c:v>
                </c:pt>
                <c:pt idx="42">
                  <c:v>3.381130336984086E-3</c:v>
                </c:pt>
                <c:pt idx="43">
                  <c:v>3.5876772645784933E-3</c:v>
                </c:pt>
                <c:pt idx="44">
                  <c:v>3.7839971915830332E-3</c:v>
                </c:pt>
                <c:pt idx="45">
                  <c:v>3.9859639553585643E-3</c:v>
                </c:pt>
                <c:pt idx="46">
                  <c:v>4.18507426790596E-3</c:v>
                </c:pt>
                <c:pt idx="47">
                  <c:v>4.4056376417926828E-3</c:v>
                </c:pt>
                <c:pt idx="48">
                  <c:v>4.6046286618270926E-3</c:v>
                </c:pt>
                <c:pt idx="49">
                  <c:v>4.8410839406466876E-3</c:v>
                </c:pt>
                <c:pt idx="50">
                  <c:v>5.0583757091416069E-3</c:v>
                </c:pt>
                <c:pt idx="51">
                  <c:v>5.2777684833506316E-3</c:v>
                </c:pt>
                <c:pt idx="52">
                  <c:v>5.5175090134246324E-3</c:v>
                </c:pt>
                <c:pt idx="53">
                  <c:v>5.7555431189302581E-3</c:v>
                </c:pt>
                <c:pt idx="54">
                  <c:v>6.0193439986752518E-3</c:v>
                </c:pt>
                <c:pt idx="55">
                  <c:v>6.2648925927034985E-3</c:v>
                </c:pt>
                <c:pt idx="56">
                  <c:v>6.5412900432384163E-3</c:v>
                </c:pt>
                <c:pt idx="57">
                  <c:v>6.8021041032772954E-3</c:v>
                </c:pt>
                <c:pt idx="58">
                  <c:v>7.0849277369115487E-3</c:v>
                </c:pt>
                <c:pt idx="59">
                  <c:v>7.3580853524096972E-3</c:v>
                </c:pt>
                <c:pt idx="60">
                  <c:v>7.6384534734486769E-3</c:v>
                </c:pt>
                <c:pt idx="61">
                  <c:v>7.9173011300630296E-3</c:v>
                </c:pt>
                <c:pt idx="62">
                  <c:v>8.2080933949776388E-3</c:v>
                </c:pt>
                <c:pt idx="63">
                  <c:v>8.4789443605967525E-3</c:v>
                </c:pt>
                <c:pt idx="64">
                  <c:v>8.7614072373955638E-3</c:v>
                </c:pt>
                <c:pt idx="65">
                  <c:v>9.0562522751673653E-3</c:v>
                </c:pt>
                <c:pt idx="66">
                  <c:v>9.3491279830226776E-3</c:v>
                </c:pt>
                <c:pt idx="67">
                  <c:v>9.6544043269577162E-3</c:v>
                </c:pt>
                <c:pt idx="68">
                  <c:v>9.9529165060271395E-3</c:v>
                </c:pt>
                <c:pt idx="69">
                  <c:v>1.0257817834165262E-2</c:v>
                </c:pt>
                <c:pt idx="70">
                  <c:v>1.0553357615074274E-2</c:v>
                </c:pt>
                <c:pt idx="71">
                  <c:v>1.0871288124174594E-2</c:v>
                </c:pt>
                <c:pt idx="72">
                  <c:v>1.1148418945803762E-2</c:v>
                </c:pt>
                <c:pt idx="73">
                  <c:v>1.146677913989346E-2</c:v>
                </c:pt>
                <c:pt idx="74">
                  <c:v>1.1749313532762748E-2</c:v>
                </c:pt>
                <c:pt idx="75">
                  <c:v>1.2026105279992025E-2</c:v>
                </c:pt>
                <c:pt idx="76">
                  <c:v>1.2318815012993093E-2</c:v>
                </c:pt>
                <c:pt idx="77">
                  <c:v>1.2600553192534393E-2</c:v>
                </c:pt>
                <c:pt idx="78">
                  <c:v>1.290289109799689E-2</c:v>
                </c:pt>
                <c:pt idx="79">
                  <c:v>1.3175683347587071E-2</c:v>
                </c:pt>
                <c:pt idx="80">
                  <c:v>1.3473155180718403E-2</c:v>
                </c:pt>
                <c:pt idx="81">
                  <c:v>1.3743927344165369E-2</c:v>
                </c:pt>
                <c:pt idx="82">
                  <c:v>1.4026721023220673E-2</c:v>
                </c:pt>
                <c:pt idx="83">
                  <c:v>1.4271710334702092E-2</c:v>
                </c:pt>
                <c:pt idx="84">
                  <c:v>1.4547288370641377E-2</c:v>
                </c:pt>
                <c:pt idx="85">
                  <c:v>1.4785963276638784E-2</c:v>
                </c:pt>
                <c:pt idx="86">
                  <c:v>1.5015044639693257E-2</c:v>
                </c:pt>
                <c:pt idx="87">
                  <c:v>1.5251122139290488E-2</c:v>
                </c:pt>
                <c:pt idx="88">
                  <c:v>1.5472851702627121E-2</c:v>
                </c:pt>
                <c:pt idx="89">
                  <c:v>1.5704301335822634E-2</c:v>
                </c:pt>
                <c:pt idx="90">
                  <c:v>1.5907340224857399E-2</c:v>
                </c:pt>
                <c:pt idx="91">
                  <c:v>1.612257943063947E-2</c:v>
                </c:pt>
                <c:pt idx="92">
                  <c:v>1.631414072488472E-2</c:v>
                </c:pt>
                <c:pt idx="93">
                  <c:v>1.6513118359134119E-2</c:v>
                </c:pt>
                <c:pt idx="94">
                  <c:v>1.6698675463901736E-2</c:v>
                </c:pt>
                <c:pt idx="95">
                  <c:v>1.6883993954410002E-2</c:v>
                </c:pt>
                <c:pt idx="96">
                  <c:v>1.7060737060580422E-2</c:v>
                </c:pt>
                <c:pt idx="97">
                  <c:v>1.7246975426637161E-2</c:v>
                </c:pt>
                <c:pt idx="98">
                  <c:v>1.7407906198145903E-2</c:v>
                </c:pt>
                <c:pt idx="99">
                  <c:v>1.757676936506453E-2</c:v>
                </c:pt>
                <c:pt idx="100">
                  <c:v>1.7754660554753283E-2</c:v>
                </c:pt>
                <c:pt idx="101">
                  <c:v>1.7921178746924865E-2</c:v>
                </c:pt>
                <c:pt idx="102">
                  <c:v>1.809022666789506E-2</c:v>
                </c:pt>
                <c:pt idx="103">
                  <c:v>1.8251212300941899E-2</c:v>
                </c:pt>
                <c:pt idx="104">
                  <c:v>1.8411027154359064E-2</c:v>
                </c:pt>
                <c:pt idx="105">
                  <c:v>1.8562504957173986E-2</c:v>
                </c:pt>
                <c:pt idx="106">
                  <c:v>1.8720339953173914E-2</c:v>
                </c:pt>
                <c:pt idx="107">
                  <c:v>1.8855683991163306E-2</c:v>
                </c:pt>
                <c:pt idx="108">
                  <c:v>1.900163722123744E-2</c:v>
                </c:pt>
                <c:pt idx="109">
                  <c:v>1.9130488168203286E-2</c:v>
                </c:pt>
                <c:pt idx="110">
                  <c:v>1.9258301697639788E-2</c:v>
                </c:pt>
                <c:pt idx="111">
                  <c:v>1.9371594596139449E-2</c:v>
                </c:pt>
                <c:pt idx="112">
                  <c:v>1.9485392354847409E-2</c:v>
                </c:pt>
                <c:pt idx="113">
                  <c:v>1.9601961165157042E-2</c:v>
                </c:pt>
                <c:pt idx="114">
                  <c:v>1.9702483576194734E-2</c:v>
                </c:pt>
                <c:pt idx="115">
                  <c:v>1.9807291624885009E-2</c:v>
                </c:pt>
                <c:pt idx="116">
                  <c:v>1.9901987145414347E-2</c:v>
                </c:pt>
                <c:pt idx="117">
                  <c:v>1.9998422861228941E-2</c:v>
                </c:pt>
                <c:pt idx="118">
                  <c:v>2.0092668717797427E-2</c:v>
                </c:pt>
                <c:pt idx="119">
                  <c:v>2.0189231601506798E-2</c:v>
                </c:pt>
                <c:pt idx="120">
                  <c:v>2.0284019106259876E-2</c:v>
                </c:pt>
                <c:pt idx="121">
                  <c:v>2.0373715723671335E-2</c:v>
                </c:pt>
                <c:pt idx="122">
                  <c:v>2.0474542271138787E-2</c:v>
                </c:pt>
                <c:pt idx="123">
                  <c:v>2.0568670985193101E-2</c:v>
                </c:pt>
                <c:pt idx="124">
                  <c:v>2.0669706010169476E-2</c:v>
                </c:pt>
                <c:pt idx="125">
                  <c:v>2.0779838550480403E-2</c:v>
                </c:pt>
                <c:pt idx="126">
                  <c:v>2.0881277879682969E-2</c:v>
                </c:pt>
                <c:pt idx="127">
                  <c:v>2.099162273796747E-2</c:v>
                </c:pt>
                <c:pt idx="128">
                  <c:v>2.109793954661731E-2</c:v>
                </c:pt>
                <c:pt idx="129">
                  <c:v>2.1204541092940676E-2</c:v>
                </c:pt>
                <c:pt idx="130">
                  <c:v>2.1294895096453104E-2</c:v>
                </c:pt>
                <c:pt idx="131">
                  <c:v>2.1398144777621111E-2</c:v>
                </c:pt>
                <c:pt idx="132">
                  <c:v>2.1480300430285482E-2</c:v>
                </c:pt>
                <c:pt idx="133">
                  <c:v>2.1561803820913304E-2</c:v>
                </c:pt>
                <c:pt idx="134">
                  <c:v>2.1644049314657469E-2</c:v>
                </c:pt>
                <c:pt idx="135">
                  <c:v>2.1717706820288805E-2</c:v>
                </c:pt>
                <c:pt idx="136">
                  <c:v>2.178943865783689E-2</c:v>
                </c:pt>
                <c:pt idx="137">
                  <c:v>2.1852124425748146E-2</c:v>
                </c:pt>
                <c:pt idx="138">
                  <c:v>2.191598700064255E-2</c:v>
                </c:pt>
                <c:pt idx="139">
                  <c:v>2.1970059517223944E-2</c:v>
                </c:pt>
                <c:pt idx="140">
                  <c:v>2.2025647588187914E-2</c:v>
                </c:pt>
                <c:pt idx="141">
                  <c:v>2.2076002064132492E-2</c:v>
                </c:pt>
                <c:pt idx="142">
                  <c:v>2.2125123962842747E-2</c:v>
                </c:pt>
                <c:pt idx="143">
                  <c:v>2.2171373791453952E-2</c:v>
                </c:pt>
                <c:pt idx="144">
                  <c:v>2.2220650923863744E-2</c:v>
                </c:pt>
                <c:pt idx="145">
                  <c:v>2.2262769319827399E-2</c:v>
                </c:pt>
                <c:pt idx="146">
                  <c:v>2.2305219090346547E-2</c:v>
                </c:pt>
                <c:pt idx="147">
                  <c:v>2.2350463526212647E-2</c:v>
                </c:pt>
                <c:pt idx="148">
                  <c:v>2.2391633258832196E-2</c:v>
                </c:pt>
                <c:pt idx="149">
                  <c:v>2.2432760202109239E-2</c:v>
                </c:pt>
                <c:pt idx="150">
                  <c:v>2.2471273881313324E-2</c:v>
                </c:pt>
                <c:pt idx="151">
                  <c:v>2.2508377992530332E-2</c:v>
                </c:pt>
                <c:pt idx="152">
                  <c:v>2.2544380185289911E-2</c:v>
                </c:pt>
                <c:pt idx="153">
                  <c:v>2.25811596298581E-2</c:v>
                </c:pt>
                <c:pt idx="154">
                  <c:v>2.2612085886681378E-2</c:v>
                </c:pt>
                <c:pt idx="155">
                  <c:v>2.2646057834888877E-2</c:v>
                </c:pt>
                <c:pt idx="156">
                  <c:v>2.2675436476995436E-2</c:v>
                </c:pt>
                <c:pt idx="157">
                  <c:v>2.2707529385438428E-2</c:v>
                </c:pt>
                <c:pt idx="158">
                  <c:v>2.2732063996650575E-2</c:v>
                </c:pt>
                <c:pt idx="159">
                  <c:v>2.2759077558110873E-2</c:v>
                </c:pt>
                <c:pt idx="160">
                  <c:v>2.2786116201669787E-2</c:v>
                </c:pt>
                <c:pt idx="161">
                  <c:v>2.2809411233960762E-2</c:v>
                </c:pt>
                <c:pt idx="162">
                  <c:v>2.2833621634654553E-2</c:v>
                </c:pt>
                <c:pt idx="163">
                  <c:v>2.2853966844616009E-2</c:v>
                </c:pt>
                <c:pt idx="164">
                  <c:v>2.2875727548614378E-2</c:v>
                </c:pt>
                <c:pt idx="165">
                  <c:v>2.2892447751884148E-2</c:v>
                </c:pt>
                <c:pt idx="166">
                  <c:v>2.2911986144299765E-2</c:v>
                </c:pt>
                <c:pt idx="167">
                  <c:v>2.2926109084618833E-2</c:v>
                </c:pt>
                <c:pt idx="168">
                  <c:v>2.2944267556488891E-2</c:v>
                </c:pt>
                <c:pt idx="169">
                  <c:v>2.2955408488563308E-2</c:v>
                </c:pt>
                <c:pt idx="170">
                  <c:v>2.2968162248811028E-2</c:v>
                </c:pt>
                <c:pt idx="171">
                  <c:v>2.2979427159508323E-2</c:v>
                </c:pt>
                <c:pt idx="172">
                  <c:v>2.2988722679131053E-2</c:v>
                </c:pt>
                <c:pt idx="173">
                  <c:v>2.2997533661962222E-2</c:v>
                </c:pt>
                <c:pt idx="174">
                  <c:v>2.3003688105338083E-2</c:v>
                </c:pt>
                <c:pt idx="175">
                  <c:v>2.3010602776167843E-2</c:v>
                </c:pt>
                <c:pt idx="176">
                  <c:v>2.3015614574916892E-2</c:v>
                </c:pt>
                <c:pt idx="177">
                  <c:v>2.3019226258711275E-2</c:v>
                </c:pt>
                <c:pt idx="178">
                  <c:v>2.3021990376768109E-2</c:v>
                </c:pt>
                <c:pt idx="179">
                  <c:v>2.3025673763705352E-2</c:v>
                </c:pt>
                <c:pt idx="180">
                  <c:v>2.3028341768588902E-2</c:v>
                </c:pt>
                <c:pt idx="181">
                  <c:v>2.3029012167777217E-2</c:v>
                </c:pt>
                <c:pt idx="182">
                  <c:v>2.3030465253100603E-2</c:v>
                </c:pt>
                <c:pt idx="183">
                  <c:v>2.3030417122653152E-2</c:v>
                </c:pt>
                <c:pt idx="184">
                  <c:v>2.3029611252950877E-2</c:v>
                </c:pt>
                <c:pt idx="185">
                  <c:v>2.3028098011292814E-2</c:v>
                </c:pt>
                <c:pt idx="186">
                  <c:v>2.3025092702956825E-2</c:v>
                </c:pt>
                <c:pt idx="187">
                  <c:v>2.302290874915195E-2</c:v>
                </c:pt>
                <c:pt idx="188">
                  <c:v>2.3018970813168563E-2</c:v>
                </c:pt>
                <c:pt idx="189">
                  <c:v>2.3013378766225223E-2</c:v>
                </c:pt>
                <c:pt idx="190">
                  <c:v>2.3008545646695366E-2</c:v>
                </c:pt>
                <c:pt idx="191">
                  <c:v>2.3001394916164382E-2</c:v>
                </c:pt>
                <c:pt idx="192">
                  <c:v>2.299731946900754E-2</c:v>
                </c:pt>
                <c:pt idx="193">
                  <c:v>2.2989188624515936E-2</c:v>
                </c:pt>
                <c:pt idx="194">
                  <c:v>2.2982037366088764E-2</c:v>
                </c:pt>
                <c:pt idx="195">
                  <c:v>2.297272746942822E-2</c:v>
                </c:pt>
                <c:pt idx="196">
                  <c:v>2.2963555033027369E-2</c:v>
                </c:pt>
                <c:pt idx="197">
                  <c:v>2.2952685575421215E-2</c:v>
                </c:pt>
                <c:pt idx="198">
                  <c:v>2.2943353610839223E-2</c:v>
                </c:pt>
                <c:pt idx="199">
                  <c:v>2.2929666373262887E-2</c:v>
                </c:pt>
                <c:pt idx="200">
                  <c:v>2.291724652503737E-2</c:v>
                </c:pt>
                <c:pt idx="201">
                  <c:v>2.290366991518971E-2</c:v>
                </c:pt>
                <c:pt idx="202">
                  <c:v>2.2889294195221302E-2</c:v>
                </c:pt>
                <c:pt idx="203">
                  <c:v>2.2874696260197974E-2</c:v>
                </c:pt>
                <c:pt idx="204">
                  <c:v>2.2858881148936853E-2</c:v>
                </c:pt>
                <c:pt idx="205">
                  <c:v>2.2842745474036821E-2</c:v>
                </c:pt>
                <c:pt idx="206">
                  <c:v>2.2825930790547767E-2</c:v>
                </c:pt>
                <c:pt idx="207">
                  <c:v>2.2807817629212603E-2</c:v>
                </c:pt>
                <c:pt idx="208">
                  <c:v>2.2789538072519069E-2</c:v>
                </c:pt>
                <c:pt idx="209">
                  <c:v>2.2769512368144468E-2</c:v>
                </c:pt>
                <c:pt idx="210">
                  <c:v>2.2750816582760139E-2</c:v>
                </c:pt>
                <c:pt idx="211">
                  <c:v>2.2729031087380284E-2</c:v>
                </c:pt>
                <c:pt idx="212">
                  <c:v>2.270779367162223E-2</c:v>
                </c:pt>
                <c:pt idx="213">
                  <c:v>2.2684824714281671E-2</c:v>
                </c:pt>
                <c:pt idx="214">
                  <c:v>2.2661493431545783E-2</c:v>
                </c:pt>
                <c:pt idx="215">
                  <c:v>2.2641399511115264E-2</c:v>
                </c:pt>
                <c:pt idx="216">
                  <c:v>2.2616256810675257E-2</c:v>
                </c:pt>
                <c:pt idx="217">
                  <c:v>2.259258759605667E-2</c:v>
                </c:pt>
                <c:pt idx="218">
                  <c:v>2.2565431530832319E-2</c:v>
                </c:pt>
                <c:pt idx="219">
                  <c:v>2.2540035524599572E-2</c:v>
                </c:pt>
                <c:pt idx="220">
                  <c:v>2.2511320392211161E-2</c:v>
                </c:pt>
                <c:pt idx="221">
                  <c:v>2.2483359420822802E-2</c:v>
                </c:pt>
                <c:pt idx="222">
                  <c:v>2.2454232947014881E-2</c:v>
                </c:pt>
                <c:pt idx="223">
                  <c:v>2.2425049751397426E-2</c:v>
                </c:pt>
                <c:pt idx="224">
                  <c:v>2.2393968238110094E-2</c:v>
                </c:pt>
                <c:pt idx="225">
                  <c:v>2.2363146295539593E-2</c:v>
                </c:pt>
                <c:pt idx="226">
                  <c:v>2.233095609714307E-2</c:v>
                </c:pt>
                <c:pt idx="227">
                  <c:v>2.2302156798645889E-2</c:v>
                </c:pt>
                <c:pt idx="228">
                  <c:v>2.2269246402500907E-2</c:v>
                </c:pt>
                <c:pt idx="229">
                  <c:v>2.2234818664453728E-2</c:v>
                </c:pt>
                <c:pt idx="230">
                  <c:v>2.2200591660336711E-2</c:v>
                </c:pt>
                <c:pt idx="231">
                  <c:v>2.216450485110109E-2</c:v>
                </c:pt>
                <c:pt idx="232">
                  <c:v>2.2128833098926368E-2</c:v>
                </c:pt>
                <c:pt idx="233">
                  <c:v>2.2091550021938165E-2</c:v>
                </c:pt>
                <c:pt idx="234">
                  <c:v>2.205616343920706E-2</c:v>
                </c:pt>
                <c:pt idx="235">
                  <c:v>2.2017290054057073E-2</c:v>
                </c:pt>
                <c:pt idx="236">
                  <c:v>2.1981811191753131E-2</c:v>
                </c:pt>
                <c:pt idx="237">
                  <c:v>2.1943074515000854E-2</c:v>
                </c:pt>
                <c:pt idx="238">
                  <c:v>2.1907653232893478E-2</c:v>
                </c:pt>
                <c:pt idx="239">
                  <c:v>2.1874992308089796E-2</c:v>
                </c:pt>
                <c:pt idx="240">
                  <c:v>2.1836174612209099E-2</c:v>
                </c:pt>
                <c:pt idx="241">
                  <c:v>2.1801052138331566E-2</c:v>
                </c:pt>
                <c:pt idx="242">
                  <c:v>2.176236221986343E-2</c:v>
                </c:pt>
                <c:pt idx="243">
                  <c:v>2.1726042599455733E-2</c:v>
                </c:pt>
                <c:pt idx="244">
                  <c:v>2.168851009998074E-2</c:v>
                </c:pt>
                <c:pt idx="245">
                  <c:v>2.1653477333081688E-2</c:v>
                </c:pt>
                <c:pt idx="246">
                  <c:v>2.1614894103592946E-2</c:v>
                </c:pt>
                <c:pt idx="247">
                  <c:v>2.1579780866884165E-2</c:v>
                </c:pt>
                <c:pt idx="248">
                  <c:v>2.1541252855368939E-2</c:v>
                </c:pt>
                <c:pt idx="249">
                  <c:v>2.1505027101891727E-2</c:v>
                </c:pt>
                <c:pt idx="250">
                  <c:v>2.1471443007711366E-2</c:v>
                </c:pt>
                <c:pt idx="251">
                  <c:v>2.1435153660887392E-2</c:v>
                </c:pt>
                <c:pt idx="252">
                  <c:v>2.1400275561520868E-2</c:v>
                </c:pt>
                <c:pt idx="253">
                  <c:v>2.1361876046347192E-2</c:v>
                </c:pt>
                <c:pt idx="254">
                  <c:v>2.1326991637365719E-2</c:v>
                </c:pt>
                <c:pt idx="255">
                  <c:v>2.1288645452033447E-2</c:v>
                </c:pt>
                <c:pt idx="256">
                  <c:v>2.1252602711469407E-2</c:v>
                </c:pt>
                <c:pt idx="257">
                  <c:v>2.1215516664941494E-2</c:v>
                </c:pt>
                <c:pt idx="258">
                  <c:v>2.1179570029799949E-2</c:v>
                </c:pt>
                <c:pt idx="259">
                  <c:v>2.1142448918215085E-2</c:v>
                </c:pt>
                <c:pt idx="260">
                  <c:v>2.1106514983981306E-2</c:v>
                </c:pt>
                <c:pt idx="261">
                  <c:v>2.1069527184817027E-2</c:v>
                </c:pt>
                <c:pt idx="262">
                  <c:v>2.1037185968375272E-2</c:v>
                </c:pt>
                <c:pt idx="263">
                  <c:v>2.1001327685419732E-2</c:v>
                </c:pt>
                <c:pt idx="264">
                  <c:v>2.0964407807592175E-2</c:v>
                </c:pt>
                <c:pt idx="265">
                  <c:v>2.0928633695761915E-2</c:v>
                </c:pt>
                <c:pt idx="266">
                  <c:v>2.0891731429086461E-2</c:v>
                </c:pt>
                <c:pt idx="267">
                  <c:v>2.0856007398545755E-2</c:v>
                </c:pt>
                <c:pt idx="268">
                  <c:v>2.0819131269499698E-2</c:v>
                </c:pt>
                <c:pt idx="269">
                  <c:v>2.0784633263298491E-2</c:v>
                </c:pt>
                <c:pt idx="270">
                  <c:v>2.0746683996550313E-2</c:v>
                </c:pt>
                <c:pt idx="271">
                  <c:v>2.0712167663887726E-2</c:v>
                </c:pt>
                <c:pt idx="272">
                  <c:v>2.0674312931361832E-2</c:v>
                </c:pt>
                <c:pt idx="273">
                  <c:v>2.0638687396821627E-2</c:v>
                </c:pt>
                <c:pt idx="274">
                  <c:v>2.0606629128189276E-2</c:v>
                </c:pt>
                <c:pt idx="275">
                  <c:v>2.0568797004083369E-2</c:v>
                </c:pt>
                <c:pt idx="276">
                  <c:v>2.0534455116929626E-2</c:v>
                </c:pt>
                <c:pt idx="277">
                  <c:v>2.0497834268721832E-2</c:v>
                </c:pt>
                <c:pt idx="278">
                  <c:v>2.0463526064342652E-2</c:v>
                </c:pt>
                <c:pt idx="279">
                  <c:v>2.0425813686673261E-2</c:v>
                </c:pt>
                <c:pt idx="280">
                  <c:v>2.0390406459818083E-2</c:v>
                </c:pt>
                <c:pt idx="281">
                  <c:v>2.0353894845467398E-2</c:v>
                </c:pt>
                <c:pt idx="282">
                  <c:v>2.0319678136847763E-2</c:v>
                </c:pt>
                <c:pt idx="283">
                  <c:v>2.0282076749396669E-2</c:v>
                </c:pt>
                <c:pt idx="284">
                  <c:v>2.0246778189990617E-2</c:v>
                </c:pt>
                <c:pt idx="285">
                  <c:v>2.0214912696314608E-2</c:v>
                </c:pt>
                <c:pt idx="286">
                  <c:v>2.0178525163639535E-2</c:v>
                </c:pt>
                <c:pt idx="287">
                  <c:v>2.0144428618609791E-2</c:v>
                </c:pt>
                <c:pt idx="288">
                  <c:v>2.0106953072712853E-2</c:v>
                </c:pt>
                <c:pt idx="289">
                  <c:v>2.007290861281558E-2</c:v>
                </c:pt>
                <c:pt idx="290">
                  <c:v>2.0035487394049263E-2</c:v>
                </c:pt>
                <c:pt idx="291">
                  <c:v>2.0000482596426256E-2</c:v>
                </c:pt>
                <c:pt idx="292">
                  <c:v>1.9964853806482566E-2</c:v>
                </c:pt>
                <c:pt idx="293">
                  <c:v>1.9931212277146382E-2</c:v>
                </c:pt>
                <c:pt idx="294">
                  <c:v>1.989758831956303E-2</c:v>
                </c:pt>
                <c:pt idx="295">
                  <c:v>1.9866167865150677E-2</c:v>
                </c:pt>
                <c:pt idx="296">
                  <c:v>1.9834898229919642E-2</c:v>
                </c:pt>
                <c:pt idx="297">
                  <c:v>1.9807672169355729E-2</c:v>
                </c:pt>
                <c:pt idx="298">
                  <c:v>1.977945575774594E-2</c:v>
                </c:pt>
                <c:pt idx="299">
                  <c:v>1.9752562845397569E-2</c:v>
                </c:pt>
                <c:pt idx="300">
                  <c:v>1.972667328178029E-2</c:v>
                </c:pt>
                <c:pt idx="301">
                  <c:v>1.970111289570823E-2</c:v>
                </c:pt>
                <c:pt idx="302">
                  <c:v>1.9677479189778555E-2</c:v>
                </c:pt>
                <c:pt idx="303">
                  <c:v>1.9654056856171262E-2</c:v>
                </c:pt>
                <c:pt idx="304">
                  <c:v>1.9633541741996736E-2</c:v>
                </c:pt>
                <c:pt idx="305">
                  <c:v>1.9611966156380368E-2</c:v>
                </c:pt>
                <c:pt idx="306">
                  <c:v>1.9592961961659938E-2</c:v>
                </c:pt>
                <c:pt idx="307">
                  <c:v>1.9574269055012937E-2</c:v>
                </c:pt>
                <c:pt idx="308">
                  <c:v>1.9556575795513363E-2</c:v>
                </c:pt>
                <c:pt idx="309">
                  <c:v>1.9543122088855384E-2</c:v>
                </c:pt>
                <c:pt idx="310">
                  <c:v>1.9527144550767071E-2</c:v>
                </c:pt>
                <c:pt idx="311">
                  <c:v>1.951430183023925E-2</c:v>
                </c:pt>
                <c:pt idx="312">
                  <c:v>1.9501418418580007E-2</c:v>
                </c:pt>
                <c:pt idx="313">
                  <c:v>1.949041426421837E-2</c:v>
                </c:pt>
                <c:pt idx="314">
                  <c:v>1.9479510187886066E-2</c:v>
                </c:pt>
                <c:pt idx="315">
                  <c:v>1.9470412592487305E-2</c:v>
                </c:pt>
                <c:pt idx="316">
                  <c:v>1.9462185623613338E-2</c:v>
                </c:pt>
                <c:pt idx="317">
                  <c:v>1.9455343459883832E-2</c:v>
                </c:pt>
                <c:pt idx="318">
                  <c:v>1.9448994417466985E-2</c:v>
                </c:pt>
                <c:pt idx="319">
                  <c:v>1.9443922507726974E-2</c:v>
                </c:pt>
                <c:pt idx="320">
                  <c:v>1.9440119578531697E-2</c:v>
                </c:pt>
                <c:pt idx="321">
                  <c:v>1.9440322751500726E-2</c:v>
                </c:pt>
                <c:pt idx="322">
                  <c:v>1.9437365819165556E-2</c:v>
                </c:pt>
                <c:pt idx="323">
                  <c:v>1.9437550786553494E-2</c:v>
                </c:pt>
                <c:pt idx="324">
                  <c:v>1.9438384528917337E-2</c:v>
                </c:pt>
                <c:pt idx="325">
                  <c:v>1.9440233791152853E-2</c:v>
                </c:pt>
                <c:pt idx="326">
                  <c:v>1.9442877042501718E-2</c:v>
                </c:pt>
                <c:pt idx="327">
                  <c:v>1.9448109661633295E-2</c:v>
                </c:pt>
                <c:pt idx="328">
                  <c:v>1.9453135866511376E-2</c:v>
                </c:pt>
                <c:pt idx="329">
                  <c:v>1.9458058953356169E-2</c:v>
                </c:pt>
                <c:pt idx="330">
                  <c:v>1.9466721454013357E-2</c:v>
                </c:pt>
                <c:pt idx="331">
                  <c:v>1.9474031784728157E-2</c:v>
                </c:pt>
                <c:pt idx="332">
                  <c:v>1.9484889392731103E-2</c:v>
                </c:pt>
                <c:pt idx="333">
                  <c:v>1.9495344252798547E-2</c:v>
                </c:pt>
                <c:pt idx="334">
                  <c:v>1.950761378827727E-2</c:v>
                </c:pt>
                <c:pt idx="335">
                  <c:v>1.9521519318107482E-2</c:v>
                </c:pt>
                <c:pt idx="336">
                  <c:v>1.9535252092380009E-2</c:v>
                </c:pt>
                <c:pt idx="337">
                  <c:v>1.9551558679365928E-2</c:v>
                </c:pt>
                <c:pt idx="338">
                  <c:v>1.956720861124505E-2</c:v>
                </c:pt>
                <c:pt idx="339">
                  <c:v>1.9586181958974495E-2</c:v>
                </c:pt>
                <c:pt idx="340">
                  <c:v>1.9604901580588179E-2</c:v>
                </c:pt>
                <c:pt idx="341">
                  <c:v>1.9624517237582694E-2</c:v>
                </c:pt>
                <c:pt idx="342">
                  <c:v>1.9645473504170237E-2</c:v>
                </c:pt>
                <c:pt idx="343">
                  <c:v>1.9668269968212415E-2</c:v>
                </c:pt>
                <c:pt idx="344">
                  <c:v>1.9690879568972666E-2</c:v>
                </c:pt>
                <c:pt idx="345">
                  <c:v>1.9717410982239624E-2</c:v>
                </c:pt>
                <c:pt idx="346">
                  <c:v>1.9743043511629362E-2</c:v>
                </c:pt>
                <c:pt idx="347">
                  <c:v>1.9770516922768471E-2</c:v>
                </c:pt>
                <c:pt idx="348">
                  <c:v>1.9797347509575559E-2</c:v>
                </c:pt>
                <c:pt idx="349">
                  <c:v>1.9828029173041078E-2</c:v>
                </c:pt>
                <c:pt idx="350">
                  <c:v>1.9856575297468954E-2</c:v>
                </c:pt>
                <c:pt idx="351">
                  <c:v>1.9888302486879301E-2</c:v>
                </c:pt>
                <c:pt idx="352">
                  <c:v>1.9917687272348522E-2</c:v>
                </c:pt>
                <c:pt idx="353">
                  <c:v>1.9946378540263154E-2</c:v>
                </c:pt>
                <c:pt idx="354">
                  <c:v>1.9974700700713832E-2</c:v>
                </c:pt>
                <c:pt idx="355">
                  <c:v>2.0003495865723635E-2</c:v>
                </c:pt>
                <c:pt idx="356">
                  <c:v>2.0029139568237313E-2</c:v>
                </c:pt>
                <c:pt idx="357">
                  <c:v>2.0054951330255498E-2</c:v>
                </c:pt>
                <c:pt idx="358">
                  <c:v>2.0083043057895236E-2</c:v>
                </c:pt>
                <c:pt idx="359">
                  <c:v>2.010877570996094E-2</c:v>
                </c:pt>
                <c:pt idx="360">
                  <c:v>2.013479099465177E-2</c:v>
                </c:pt>
                <c:pt idx="361">
                  <c:v>2.0158509844721666E-2</c:v>
                </c:pt>
                <c:pt idx="362">
                  <c:v>2.0184383293404551E-2</c:v>
                </c:pt>
                <c:pt idx="363">
                  <c:v>2.0207994504198908E-2</c:v>
                </c:pt>
                <c:pt idx="364">
                  <c:v>2.0230888520404878E-2</c:v>
                </c:pt>
                <c:pt idx="365">
                  <c:v>2.025252178714787E-2</c:v>
                </c:pt>
                <c:pt idx="366">
                  <c:v>2.0276183870000786E-2</c:v>
                </c:pt>
                <c:pt idx="367">
                  <c:v>2.0296533442048056E-2</c:v>
                </c:pt>
                <c:pt idx="368">
                  <c:v>2.031664853487589E-2</c:v>
                </c:pt>
                <c:pt idx="369">
                  <c:v>2.0338700163307948E-2</c:v>
                </c:pt>
                <c:pt idx="370">
                  <c:v>2.0358657424589775E-2</c:v>
                </c:pt>
                <c:pt idx="371">
                  <c:v>2.0378710911227116E-2</c:v>
                </c:pt>
                <c:pt idx="372">
                  <c:v>2.039760727235947E-2</c:v>
                </c:pt>
                <c:pt idx="373">
                  <c:v>2.0415699908955434E-2</c:v>
                </c:pt>
                <c:pt idx="374">
                  <c:v>2.0433833862066635E-2</c:v>
                </c:pt>
                <c:pt idx="375">
                  <c:v>2.0452264227375328E-2</c:v>
                </c:pt>
                <c:pt idx="376">
                  <c:v>2.0466818818158927E-2</c:v>
                </c:pt>
                <c:pt idx="377">
                  <c:v>2.0485806674641133E-2</c:v>
                </c:pt>
                <c:pt idx="378">
                  <c:v>2.0499036112761233E-2</c:v>
                </c:pt>
                <c:pt idx="379">
                  <c:v>2.0515264236172059E-2</c:v>
                </c:pt>
                <c:pt idx="380">
                  <c:v>2.0530102823553772E-2</c:v>
                </c:pt>
                <c:pt idx="381">
                  <c:v>2.0544631108569394E-2</c:v>
                </c:pt>
                <c:pt idx="382">
                  <c:v>2.0558721819573477E-2</c:v>
                </c:pt>
                <c:pt idx="383">
                  <c:v>2.0571426597471892E-2</c:v>
                </c:pt>
                <c:pt idx="384">
                  <c:v>2.0584837092994645E-2</c:v>
                </c:pt>
                <c:pt idx="385">
                  <c:v>2.059612150349286E-2</c:v>
                </c:pt>
                <c:pt idx="386">
                  <c:v>2.0608795988271943E-2</c:v>
                </c:pt>
                <c:pt idx="387">
                  <c:v>2.0619793678189821E-2</c:v>
                </c:pt>
                <c:pt idx="388">
                  <c:v>2.0629847978382208E-2</c:v>
                </c:pt>
                <c:pt idx="389">
                  <c:v>2.0639792413595086E-2</c:v>
                </c:pt>
                <c:pt idx="390">
                  <c:v>2.0649509993194103E-2</c:v>
                </c:pt>
                <c:pt idx="391">
                  <c:v>2.0658563094940696E-2</c:v>
                </c:pt>
                <c:pt idx="392">
                  <c:v>2.0666230940035741E-2</c:v>
                </c:pt>
                <c:pt idx="393">
                  <c:v>2.0674814944257436E-2</c:v>
                </c:pt>
                <c:pt idx="394">
                  <c:v>2.0682157642278345E-2</c:v>
                </c:pt>
                <c:pt idx="395">
                  <c:v>2.0689189509195793E-2</c:v>
                </c:pt>
                <c:pt idx="396">
                  <c:v>2.0695471050540263E-2</c:v>
                </c:pt>
                <c:pt idx="397">
                  <c:v>2.0700729046111289E-2</c:v>
                </c:pt>
                <c:pt idx="398">
                  <c:v>2.0706467649855745E-2</c:v>
                </c:pt>
                <c:pt idx="399">
                  <c:v>2.0708820303271664E-2</c:v>
                </c:pt>
                <c:pt idx="400">
                  <c:v>2.0714193955120308E-2</c:v>
                </c:pt>
                <c:pt idx="401">
                  <c:v>2.0718728549068411E-2</c:v>
                </c:pt>
                <c:pt idx="402">
                  <c:v>2.0722194858043684E-2</c:v>
                </c:pt>
                <c:pt idx="403">
                  <c:v>2.0724191672026382E-2</c:v>
                </c:pt>
                <c:pt idx="404">
                  <c:v>2.0726984625652312E-2</c:v>
                </c:pt>
                <c:pt idx="405">
                  <c:v>2.0728549814353566E-2</c:v>
                </c:pt>
                <c:pt idx="406">
                  <c:v>2.0729617781331897E-2</c:v>
                </c:pt>
                <c:pt idx="407">
                  <c:v>2.073012177822655E-2</c:v>
                </c:pt>
                <c:pt idx="408">
                  <c:v>2.0729507377361629E-2</c:v>
                </c:pt>
                <c:pt idx="409">
                  <c:v>2.0729563249541508E-2</c:v>
                </c:pt>
                <c:pt idx="410">
                  <c:v>2.0728414243122804E-2</c:v>
                </c:pt>
                <c:pt idx="411">
                  <c:v>2.0725733065117602E-2</c:v>
                </c:pt>
                <c:pt idx="412">
                  <c:v>2.0724577551215147E-2</c:v>
                </c:pt>
                <c:pt idx="413">
                  <c:v>2.07202660186704E-2</c:v>
                </c:pt>
                <c:pt idx="414">
                  <c:v>2.0719028894982408E-2</c:v>
                </c:pt>
                <c:pt idx="415">
                  <c:v>2.0714573727592535E-2</c:v>
                </c:pt>
                <c:pt idx="416">
                  <c:v>2.0711015923493462E-2</c:v>
                </c:pt>
                <c:pt idx="417">
                  <c:v>2.0706119938465634E-2</c:v>
                </c:pt>
                <c:pt idx="418">
                  <c:v>2.0701024631878544E-2</c:v>
                </c:pt>
                <c:pt idx="419">
                  <c:v>2.0694854978899602E-2</c:v>
                </c:pt>
                <c:pt idx="420">
                  <c:v>2.0688037284412545E-2</c:v>
                </c:pt>
                <c:pt idx="421">
                  <c:v>2.0681433460245743E-2</c:v>
                </c:pt>
                <c:pt idx="422">
                  <c:v>2.0674037565475218E-2</c:v>
                </c:pt>
                <c:pt idx="423">
                  <c:v>2.0665399554409908E-2</c:v>
                </c:pt>
                <c:pt idx="424">
                  <c:v>2.0656504301099332E-2</c:v>
                </c:pt>
                <c:pt idx="425">
                  <c:v>2.0647683116335084E-2</c:v>
                </c:pt>
                <c:pt idx="426">
                  <c:v>2.0639546601689297E-2</c:v>
                </c:pt>
                <c:pt idx="427">
                  <c:v>2.0629136192000283E-2</c:v>
                </c:pt>
                <c:pt idx="428">
                  <c:v>2.0618697126153693E-2</c:v>
                </c:pt>
                <c:pt idx="429">
                  <c:v>2.0607646242097152E-2</c:v>
                </c:pt>
                <c:pt idx="430">
                  <c:v>2.0595691216784843E-2</c:v>
                </c:pt>
                <c:pt idx="431">
                  <c:v>2.0583579244036608E-2</c:v>
                </c:pt>
                <c:pt idx="432">
                  <c:v>2.0570903072977369E-2</c:v>
                </c:pt>
                <c:pt idx="433">
                  <c:v>2.0557788956161741E-2</c:v>
                </c:pt>
                <c:pt idx="434">
                  <c:v>2.0543210251448736E-2</c:v>
                </c:pt>
                <c:pt idx="435">
                  <c:v>2.0529096732324979E-2</c:v>
                </c:pt>
                <c:pt idx="436">
                  <c:v>2.0513398394545388E-2</c:v>
                </c:pt>
                <c:pt idx="437">
                  <c:v>2.0497784785352025E-2</c:v>
                </c:pt>
                <c:pt idx="438">
                  <c:v>2.0483340312021304E-2</c:v>
                </c:pt>
                <c:pt idx="439">
                  <c:v>2.0467044069303841E-2</c:v>
                </c:pt>
                <c:pt idx="440">
                  <c:v>2.0451076925538478E-2</c:v>
                </c:pt>
                <c:pt idx="441">
                  <c:v>2.0432607868732824E-2</c:v>
                </c:pt>
                <c:pt idx="442">
                  <c:v>2.0414719252362018E-2</c:v>
                </c:pt>
                <c:pt idx="443">
                  <c:v>2.0395434744193332E-2</c:v>
                </c:pt>
                <c:pt idx="444">
                  <c:v>2.0377375881259669E-2</c:v>
                </c:pt>
                <c:pt idx="445">
                  <c:v>2.0356648070841168E-2</c:v>
                </c:pt>
                <c:pt idx="446">
                  <c:v>2.0336805665706947E-2</c:v>
                </c:pt>
                <c:pt idx="447">
                  <c:v>2.031543413548971E-2</c:v>
                </c:pt>
                <c:pt idx="448">
                  <c:v>2.0293693506253513E-2</c:v>
                </c:pt>
                <c:pt idx="449">
                  <c:v>2.0274882003108934E-2</c:v>
                </c:pt>
                <c:pt idx="450">
                  <c:v>2.0251171828642275E-2</c:v>
                </c:pt>
                <c:pt idx="451">
                  <c:v>2.0229493146971873E-2</c:v>
                </c:pt>
                <c:pt idx="452">
                  <c:v>2.0205612885034419E-2</c:v>
                </c:pt>
                <c:pt idx="453">
                  <c:v>2.0182720011569677E-2</c:v>
                </c:pt>
                <c:pt idx="454">
                  <c:v>2.0156973258529678E-2</c:v>
                </c:pt>
                <c:pt idx="455">
                  <c:v>2.0132093231563626E-2</c:v>
                </c:pt>
                <c:pt idx="456">
                  <c:v>2.0106177957541674E-2</c:v>
                </c:pt>
                <c:pt idx="457">
                  <c:v>2.008039213239873E-2</c:v>
                </c:pt>
                <c:pt idx="458">
                  <c:v>2.0053102360419361E-2</c:v>
                </c:pt>
                <c:pt idx="459">
                  <c:v>2.0026150780522833E-2</c:v>
                </c:pt>
                <c:pt idx="460">
                  <c:v>1.9998016127991056E-2</c:v>
                </c:pt>
                <c:pt idx="461">
                  <c:v>1.9972937071774461E-2</c:v>
                </c:pt>
                <c:pt idx="462">
                  <c:v>1.9944473051787967E-2</c:v>
                </c:pt>
                <c:pt idx="463">
                  <c:v>1.9914717331294567E-2</c:v>
                </c:pt>
                <c:pt idx="464">
                  <c:v>1.9885278325352012E-2</c:v>
                </c:pt>
                <c:pt idx="465">
                  <c:v>1.985434231472229E-2</c:v>
                </c:pt>
                <c:pt idx="466">
                  <c:v>1.9823859212981222E-2</c:v>
                </c:pt>
                <c:pt idx="467">
                  <c:v>1.9792029594801447E-2</c:v>
                </c:pt>
                <c:pt idx="468">
                  <c:v>1.9762290963259266E-2</c:v>
                </c:pt>
                <c:pt idx="469">
                  <c:v>1.9729866555834166E-2</c:v>
                </c:pt>
                <c:pt idx="470">
                  <c:v>1.970067894239147E-2</c:v>
                </c:pt>
                <c:pt idx="471">
                  <c:v>1.9669211332519358E-2</c:v>
                </c:pt>
                <c:pt idx="472">
                  <c:v>1.9639884082753731E-2</c:v>
                </c:pt>
                <c:pt idx="473">
                  <c:v>1.9614098302420089E-2</c:v>
                </c:pt>
                <c:pt idx="474">
                  <c:v>1.9584722656990159E-2</c:v>
                </c:pt>
                <c:pt idx="475">
                  <c:v>1.9557743739655079E-2</c:v>
                </c:pt>
                <c:pt idx="476">
                  <c:v>1.9528429639784101E-2</c:v>
                </c:pt>
                <c:pt idx="477">
                  <c:v>1.950219104405404E-2</c:v>
                </c:pt>
                <c:pt idx="478">
                  <c:v>1.9473780223682086E-2</c:v>
                </c:pt>
                <c:pt idx="479">
                  <c:v>1.9447414719976807E-2</c:v>
                </c:pt>
                <c:pt idx="480">
                  <c:v>1.9420855195774911E-2</c:v>
                </c:pt>
                <c:pt idx="481">
                  <c:v>1.9396140610621091E-2</c:v>
                </c:pt>
                <c:pt idx="482">
                  <c:v>1.9369654486460872E-2</c:v>
                </c:pt>
                <c:pt idx="483">
                  <c:v>1.9344834770664399E-2</c:v>
                </c:pt>
                <c:pt idx="484">
                  <c:v>1.9322764301011614E-2</c:v>
                </c:pt>
                <c:pt idx="485">
                  <c:v>1.9297842532567548E-2</c:v>
                </c:pt>
                <c:pt idx="486">
                  <c:v>1.9275406387270645E-2</c:v>
                </c:pt>
                <c:pt idx="487">
                  <c:v>1.9251755950577241E-2</c:v>
                </c:pt>
                <c:pt idx="488">
                  <c:v>1.9229987649531172E-2</c:v>
                </c:pt>
                <c:pt idx="489">
                  <c:v>1.9206494059608992E-2</c:v>
                </c:pt>
                <c:pt idx="490">
                  <c:v>1.9184687246212563E-2</c:v>
                </c:pt>
                <c:pt idx="491">
                  <c:v>1.9162956205332413E-2</c:v>
                </c:pt>
                <c:pt idx="492">
                  <c:v>1.914216568439887E-2</c:v>
                </c:pt>
                <c:pt idx="493">
                  <c:v>1.9120957102945292E-2</c:v>
                </c:pt>
                <c:pt idx="494">
                  <c:v>1.9100818418985813E-2</c:v>
                </c:pt>
                <c:pt idx="495">
                  <c:v>1.9080855593505582E-2</c:v>
                </c:pt>
                <c:pt idx="496">
                  <c:v>1.9063787968971461E-2</c:v>
                </c:pt>
                <c:pt idx="497">
                  <c:v>1.9044863294620112E-2</c:v>
                </c:pt>
                <c:pt idx="498">
                  <c:v>1.9026188039198276E-2</c:v>
                </c:pt>
                <c:pt idx="499">
                  <c:v>1.9008319287622498E-2</c:v>
                </c:pt>
                <c:pt idx="500">
                  <c:v>1.8990311909009041E-2</c:v>
                </c:pt>
                <c:pt idx="501">
                  <c:v>1.8973291358815435E-2</c:v>
                </c:pt>
                <c:pt idx="502">
                  <c:v>1.8955922206241954E-2</c:v>
                </c:pt>
                <c:pt idx="503">
                  <c:v>1.8940502335090571E-2</c:v>
                </c:pt>
                <c:pt idx="504">
                  <c:v>1.8923730860937626E-2</c:v>
                </c:pt>
                <c:pt idx="505">
                  <c:v>1.8908384522681843E-2</c:v>
                </c:pt>
                <c:pt idx="506">
                  <c:v>1.8892764483029772E-2</c:v>
                </c:pt>
                <c:pt idx="507">
                  <c:v>1.8877748157246309E-2</c:v>
                </c:pt>
                <c:pt idx="508">
                  <c:v>1.8865833318900443E-2</c:v>
                </c:pt>
                <c:pt idx="509">
                  <c:v>1.8851438142761655E-2</c:v>
                </c:pt>
                <c:pt idx="510">
                  <c:v>1.8838887029823854E-2</c:v>
                </c:pt>
                <c:pt idx="511">
                  <c:v>1.8825225345060387E-2</c:v>
                </c:pt>
                <c:pt idx="512">
                  <c:v>1.8813215997285023E-2</c:v>
                </c:pt>
                <c:pt idx="513">
                  <c:v>1.8800457112531092E-2</c:v>
                </c:pt>
                <c:pt idx="514">
                  <c:v>1.8788902260696613E-2</c:v>
                </c:pt>
                <c:pt idx="515">
                  <c:v>1.877741238275361E-2</c:v>
                </c:pt>
                <c:pt idx="516">
                  <c:v>1.8766705592434058E-2</c:v>
                </c:pt>
                <c:pt idx="517">
                  <c:v>1.8754449081940967E-2</c:v>
                </c:pt>
                <c:pt idx="518">
                  <c:v>1.874556269493155E-2</c:v>
                </c:pt>
                <c:pt idx="519">
                  <c:v>1.8736365641296385E-2</c:v>
                </c:pt>
                <c:pt idx="520">
                  <c:v>1.8727704132109245E-2</c:v>
                </c:pt>
                <c:pt idx="521">
                  <c:v>1.8720138440720173E-2</c:v>
                </c:pt>
                <c:pt idx="522">
                  <c:v>1.8711227932868665E-2</c:v>
                </c:pt>
                <c:pt idx="523">
                  <c:v>1.8703686783901649E-2</c:v>
                </c:pt>
                <c:pt idx="524">
                  <c:v>1.8695842880169889E-2</c:v>
                </c:pt>
                <c:pt idx="525">
                  <c:v>1.8688526044460436E-2</c:v>
                </c:pt>
                <c:pt idx="526">
                  <c:v>1.8682181192660789E-2</c:v>
                </c:pt>
                <c:pt idx="527">
                  <c:v>1.8676091408151952E-2</c:v>
                </c:pt>
                <c:pt idx="528">
                  <c:v>1.8669844142091611E-2</c:v>
                </c:pt>
                <c:pt idx="529">
                  <c:v>1.8664595889387972E-2</c:v>
                </c:pt>
                <c:pt idx="530">
                  <c:v>1.8659615985223338E-2</c:v>
                </c:pt>
                <c:pt idx="531">
                  <c:v>1.865590491295914E-2</c:v>
                </c:pt>
                <c:pt idx="532">
                  <c:v>1.8651476978449294E-2</c:v>
                </c:pt>
                <c:pt idx="533">
                  <c:v>1.8648315229038669E-2</c:v>
                </c:pt>
                <c:pt idx="534">
                  <c:v>1.8645146273421623E-2</c:v>
                </c:pt>
                <c:pt idx="535">
                  <c:v>1.8642312756499652E-2</c:v>
                </c:pt>
                <c:pt idx="536">
                  <c:v>1.8639991772185352E-2</c:v>
                </c:pt>
                <c:pt idx="537">
                  <c:v>1.8637575749808125E-2</c:v>
                </c:pt>
                <c:pt idx="538">
                  <c:v>1.8636601566542173E-2</c:v>
                </c:pt>
                <c:pt idx="539">
                  <c:v>1.8635477690194538E-2</c:v>
                </c:pt>
                <c:pt idx="540">
                  <c:v>1.8633910743440119E-2</c:v>
                </c:pt>
                <c:pt idx="541">
                  <c:v>1.8634160081151197E-2</c:v>
                </c:pt>
                <c:pt idx="542">
                  <c:v>1.863339324820228E-2</c:v>
                </c:pt>
                <c:pt idx="543">
                  <c:v>1.8635427984195221E-2</c:v>
                </c:pt>
                <c:pt idx="544">
                  <c:v>1.8635979925646962E-2</c:v>
                </c:pt>
                <c:pt idx="545">
                  <c:v>1.8637879322394604E-2</c:v>
                </c:pt>
                <c:pt idx="546">
                  <c:v>1.8639864655058961E-2</c:v>
                </c:pt>
                <c:pt idx="547">
                  <c:v>1.8642079810400721E-2</c:v>
                </c:pt>
                <c:pt idx="548">
                  <c:v>1.8644967820299774E-2</c:v>
                </c:pt>
                <c:pt idx="549">
                  <c:v>1.8647571976849853E-2</c:v>
                </c:pt>
                <c:pt idx="550">
                  <c:v>1.8651794283832488E-2</c:v>
                </c:pt>
                <c:pt idx="551">
                  <c:v>1.8655785954128527E-2</c:v>
                </c:pt>
                <c:pt idx="552">
                  <c:v>1.8659932640819145E-2</c:v>
                </c:pt>
                <c:pt idx="553">
                  <c:v>1.8664210941914838E-2</c:v>
                </c:pt>
                <c:pt idx="554">
                  <c:v>1.8670042142262595E-2</c:v>
                </c:pt>
                <c:pt idx="555">
                  <c:v>1.8675925245605619E-2</c:v>
                </c:pt>
                <c:pt idx="556">
                  <c:v>1.8681414612783057E-2</c:v>
                </c:pt>
                <c:pt idx="557">
                  <c:v>1.8688498480426734E-2</c:v>
                </c:pt>
                <c:pt idx="558">
                  <c:v>1.8695411001765545E-2</c:v>
                </c:pt>
                <c:pt idx="559">
                  <c:v>1.8702984187555321E-2</c:v>
                </c:pt>
                <c:pt idx="560">
                  <c:v>1.8710127474223612E-2</c:v>
                </c:pt>
                <c:pt idx="561">
                  <c:v>1.8719193269261747E-2</c:v>
                </c:pt>
                <c:pt idx="562">
                  <c:v>1.8727801815189151E-2</c:v>
                </c:pt>
                <c:pt idx="563">
                  <c:v>1.8736486512027053E-2</c:v>
                </c:pt>
                <c:pt idx="564">
                  <c:v>1.8745289587544178E-2</c:v>
                </c:pt>
                <c:pt idx="565">
                  <c:v>1.8756127710663793E-2</c:v>
                </c:pt>
                <c:pt idx="566">
                  <c:v>1.8766070801240535E-2</c:v>
                </c:pt>
                <c:pt idx="567">
                  <c:v>1.8776084547551898E-2</c:v>
                </c:pt>
                <c:pt idx="568">
                  <c:v>1.8788216128219688E-2</c:v>
                </c:pt>
                <c:pt idx="569">
                  <c:v>1.8799745716557653E-2</c:v>
                </c:pt>
                <c:pt idx="570">
                  <c:v>1.8812084941852235E-2</c:v>
                </c:pt>
                <c:pt idx="571">
                  <c:v>1.8824462606432477E-2</c:v>
                </c:pt>
                <c:pt idx="572">
                  <c:v>1.8836972014010502E-2</c:v>
                </c:pt>
                <c:pt idx="573">
                  <c:v>1.8850469879455455E-2</c:v>
                </c:pt>
                <c:pt idx="574">
                  <c:v>1.8864993156892652E-2</c:v>
                </c:pt>
                <c:pt idx="575">
                  <c:v>1.8877878923832202E-2</c:v>
                </c:pt>
                <c:pt idx="576">
                  <c:v>1.8893297065104918E-2</c:v>
                </c:pt>
                <c:pt idx="577">
                  <c:v>1.8907468660813723E-2</c:v>
                </c:pt>
                <c:pt idx="578">
                  <c:v>1.8924792543331174E-2</c:v>
                </c:pt>
                <c:pt idx="579">
                  <c:v>1.8938263805540728E-2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543552"/>
        <c:axId val="577549440"/>
      </c:lineChart>
      <c:dateAx>
        <c:axId val="577543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7549440"/>
        <c:crosses val="autoZero"/>
        <c:auto val="1"/>
        <c:lblOffset val="100"/>
        <c:baseTimeUnit val="months"/>
      </c:dateAx>
      <c:valAx>
        <c:axId val="57754944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7543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0"/>
          <c:order val="0"/>
          <c:tx>
            <c:v>6M Instruments Quotations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41943</c:v>
                </c:pt>
                <c:pt idx="1">
                  <c:v>41971</c:v>
                </c:pt>
                <c:pt idx="2">
                  <c:v>42004</c:v>
                </c:pt>
                <c:pt idx="3">
                  <c:v>42034</c:v>
                </c:pt>
                <c:pt idx="4">
                  <c:v>42062</c:v>
                </c:pt>
                <c:pt idx="5">
                  <c:v>42094</c:v>
                </c:pt>
                <c:pt idx="6">
                  <c:v>42124</c:v>
                </c:pt>
                <c:pt idx="7">
                  <c:v>42153</c:v>
                </c:pt>
                <c:pt idx="8">
                  <c:v>42185</c:v>
                </c:pt>
                <c:pt idx="9">
                  <c:v>42216</c:v>
                </c:pt>
                <c:pt idx="10">
                  <c:v>42247</c:v>
                </c:pt>
                <c:pt idx="11">
                  <c:v>42277</c:v>
                </c:pt>
                <c:pt idx="12">
                  <c:v>42307</c:v>
                </c:pt>
                <c:pt idx="13">
                  <c:v>42338</c:v>
                </c:pt>
                <c:pt idx="14">
                  <c:v>42369</c:v>
                </c:pt>
                <c:pt idx="15">
                  <c:v>42398</c:v>
                </c:pt>
                <c:pt idx="16">
                  <c:v>42429</c:v>
                </c:pt>
                <c:pt idx="17">
                  <c:v>42460</c:v>
                </c:pt>
                <c:pt idx="18">
                  <c:v>42489</c:v>
                </c:pt>
              </c:numCache>
            </c:numRef>
          </c:xVal>
          <c:yVal>
            <c:numRef>
              <c:f>'basis 6M '!$G$2:$G$20</c:f>
              <c:numCache>
                <c:formatCode>0.0000%</c:formatCode>
                <c:ptCount val="19"/>
                <c:pt idx="0">
                  <c:v>1.8799999999999999E-3</c:v>
                </c:pt>
                <c:pt idx="1">
                  <c:v>2.0400000000000001E-3</c:v>
                </c:pt>
                <c:pt idx="2">
                  <c:v>2.0600000000000002E-3</c:v>
                </c:pt>
                <c:pt idx="3">
                  <c:v>2.0700000000000002E-3</c:v>
                </c:pt>
                <c:pt idx="4">
                  <c:v>2.0700000000000002E-3</c:v>
                </c:pt>
                <c:pt idx="5">
                  <c:v>2.0700000000000002E-3</c:v>
                </c:pt>
                <c:pt idx="6">
                  <c:v>2.0800000000000003E-3</c:v>
                </c:pt>
                <c:pt idx="7">
                  <c:v>2.0900000000000003E-3</c:v>
                </c:pt>
                <c:pt idx="8">
                  <c:v>2.1199999999999999E-3</c:v>
                </c:pt>
                <c:pt idx="9">
                  <c:v>2.1700000000000001E-3</c:v>
                </c:pt>
                <c:pt idx="10">
                  <c:v>2.2200000000000002E-3</c:v>
                </c:pt>
                <c:pt idx="11">
                  <c:v>2.2799999999999999E-3</c:v>
                </c:pt>
                <c:pt idx="12">
                  <c:v>2.3599999999999997E-3</c:v>
                </c:pt>
                <c:pt idx="13">
                  <c:v>2.4499999999999999E-3</c:v>
                </c:pt>
                <c:pt idx="14">
                  <c:v>2.5300000000000001E-3</c:v>
                </c:pt>
                <c:pt idx="15">
                  <c:v>2.6199999999999999E-3</c:v>
                </c:pt>
                <c:pt idx="16">
                  <c:v>2.7200000000000002E-3</c:v>
                </c:pt>
                <c:pt idx="17">
                  <c:v>2.8200000000000005E-3</c:v>
                </c:pt>
                <c:pt idx="18">
                  <c:v>2.9300000000000003E-3</c:v>
                </c:pt>
              </c:numCache>
            </c:numRef>
          </c:yVal>
          <c:smooth val="0"/>
        </c:ser>
        <c:ser>
          <c:idx val="1"/>
          <c:order val="1"/>
          <c:tx>
            <c:v>OIS 6M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41943</c:v>
                </c:pt>
                <c:pt idx="1">
                  <c:v>41971</c:v>
                </c:pt>
                <c:pt idx="2">
                  <c:v>42004</c:v>
                </c:pt>
                <c:pt idx="3">
                  <c:v>42034</c:v>
                </c:pt>
                <c:pt idx="4">
                  <c:v>42062</c:v>
                </c:pt>
                <c:pt idx="5">
                  <c:v>42094</c:v>
                </c:pt>
                <c:pt idx="6">
                  <c:v>42124</c:v>
                </c:pt>
                <c:pt idx="7">
                  <c:v>42153</c:v>
                </c:pt>
                <c:pt idx="8">
                  <c:v>42185</c:v>
                </c:pt>
                <c:pt idx="9">
                  <c:v>42216</c:v>
                </c:pt>
                <c:pt idx="10">
                  <c:v>42247</c:v>
                </c:pt>
                <c:pt idx="11">
                  <c:v>42277</c:v>
                </c:pt>
                <c:pt idx="12">
                  <c:v>42307</c:v>
                </c:pt>
                <c:pt idx="13">
                  <c:v>42338</c:v>
                </c:pt>
                <c:pt idx="14">
                  <c:v>42369</c:v>
                </c:pt>
                <c:pt idx="15">
                  <c:v>42398</c:v>
                </c:pt>
                <c:pt idx="16">
                  <c:v>42429</c:v>
                </c:pt>
                <c:pt idx="17">
                  <c:v>42460</c:v>
                </c:pt>
                <c:pt idx="18">
                  <c:v>42489</c:v>
                </c:pt>
              </c:numCache>
            </c:numRef>
          </c:xVal>
          <c:yVal>
            <c:numRef>
              <c:f>'basis 6M '!$J$2:$J$20</c:f>
              <c:numCache>
                <c:formatCode>0.0000%</c:formatCode>
                <c:ptCount val="19"/>
                <c:pt idx="0">
                  <c:v>-6.0000000000216422E-5</c:v>
                </c:pt>
                <c:pt idx="1">
                  <c:v>-1.3857195038220556E-4</c:v>
                </c:pt>
                <c:pt idx="2">
                  <c:v>-2.1740147304328026E-4</c:v>
                </c:pt>
                <c:pt idx="3">
                  <c:v>-2.7425367187813496E-4</c:v>
                </c:pt>
                <c:pt idx="4">
                  <c:v>-3.4006470948724641E-4</c:v>
                </c:pt>
                <c:pt idx="5">
                  <c:v>-4.3978511007329417E-4</c:v>
                </c:pt>
                <c:pt idx="6">
                  <c:v>-4.9189238623167247E-4</c:v>
                </c:pt>
                <c:pt idx="7">
                  <c:v>-5.0736514806962402E-4</c:v>
                </c:pt>
                <c:pt idx="8">
                  <c:v>-5.0187854657403406E-4</c:v>
                </c:pt>
                <c:pt idx="9">
                  <c:v>-4.1501853407042798E-4</c:v>
                </c:pt>
                <c:pt idx="10">
                  <c:v>-4.1397558262478161E-4</c:v>
                </c:pt>
                <c:pt idx="11">
                  <c:v>-4.0551363474655532E-4</c:v>
                </c:pt>
                <c:pt idx="12">
                  <c:v>-3.7573700946284073E-4</c:v>
                </c:pt>
                <c:pt idx="13">
                  <c:v>-3.2364332378581552E-4</c:v>
                </c:pt>
                <c:pt idx="14">
                  <c:v>-2.7313911592804417E-4</c:v>
                </c:pt>
                <c:pt idx="15">
                  <c:v>-2.8001981918553511E-4</c:v>
                </c:pt>
                <c:pt idx="16">
                  <c:v>-1.9216887279526574E-4</c:v>
                </c:pt>
                <c:pt idx="17">
                  <c:v>-8.7740900814596958E-5</c:v>
                </c:pt>
                <c:pt idx="18">
                  <c:v>6.0796525193655437E-6</c:v>
                </c:pt>
              </c:numCache>
            </c:numRef>
          </c:yVal>
          <c:smooth val="0"/>
        </c:ser>
        <c:ser>
          <c:idx val="2"/>
          <c:order val="2"/>
          <c:tx>
            <c:v>diff OIS 6M, 6M instruments quotations</c:v>
          </c:tx>
          <c:spPr>
            <a:ln w="28575">
              <a:noFill/>
            </a:ln>
          </c:spPr>
          <c:xVal>
            <c:numRef>
              <c:f>'basis 6M '!$E$2:$E$20</c:f>
              <c:numCache>
                <c:formatCode>ddd\,\ dd\-mmm\-yyyy</c:formatCode>
                <c:ptCount val="19"/>
                <c:pt idx="0">
                  <c:v>41943</c:v>
                </c:pt>
                <c:pt idx="1">
                  <c:v>41971</c:v>
                </c:pt>
                <c:pt idx="2">
                  <c:v>42004</c:v>
                </c:pt>
                <c:pt idx="3">
                  <c:v>42034</c:v>
                </c:pt>
                <c:pt idx="4">
                  <c:v>42062</c:v>
                </c:pt>
                <c:pt idx="5">
                  <c:v>42094</c:v>
                </c:pt>
                <c:pt idx="6">
                  <c:v>42124</c:v>
                </c:pt>
                <c:pt idx="7">
                  <c:v>42153</c:v>
                </c:pt>
                <c:pt idx="8">
                  <c:v>42185</c:v>
                </c:pt>
                <c:pt idx="9">
                  <c:v>42216</c:v>
                </c:pt>
                <c:pt idx="10">
                  <c:v>42247</c:v>
                </c:pt>
                <c:pt idx="11">
                  <c:v>42277</c:v>
                </c:pt>
                <c:pt idx="12">
                  <c:v>42307</c:v>
                </c:pt>
                <c:pt idx="13">
                  <c:v>42338</c:v>
                </c:pt>
                <c:pt idx="14">
                  <c:v>42369</c:v>
                </c:pt>
                <c:pt idx="15">
                  <c:v>42398</c:v>
                </c:pt>
                <c:pt idx="16">
                  <c:v>42429</c:v>
                </c:pt>
                <c:pt idx="17">
                  <c:v>42460</c:v>
                </c:pt>
                <c:pt idx="18">
                  <c:v>42489</c:v>
                </c:pt>
              </c:numCache>
            </c:numRef>
          </c:xVal>
          <c:yVal>
            <c:numRef>
              <c:f>'basis 6M '!$K$2:$K$20</c:f>
              <c:numCache>
                <c:formatCode>0.0000%</c:formatCode>
                <c:ptCount val="19"/>
                <c:pt idx="0">
                  <c:v>1.9400000000002163E-3</c:v>
                </c:pt>
                <c:pt idx="1">
                  <c:v>2.1785719503822059E-3</c:v>
                </c:pt>
                <c:pt idx="2">
                  <c:v>2.2774014730432804E-3</c:v>
                </c:pt>
                <c:pt idx="3">
                  <c:v>2.3442536718781353E-3</c:v>
                </c:pt>
                <c:pt idx="4">
                  <c:v>2.4100647094872467E-3</c:v>
                </c:pt>
                <c:pt idx="5">
                  <c:v>2.5097851100732943E-3</c:v>
                </c:pt>
                <c:pt idx="6">
                  <c:v>2.5718923862316726E-3</c:v>
                </c:pt>
                <c:pt idx="7">
                  <c:v>2.5973651480696242E-3</c:v>
                </c:pt>
                <c:pt idx="8">
                  <c:v>2.6218785465740341E-3</c:v>
                </c:pt>
                <c:pt idx="9">
                  <c:v>2.5850185340704282E-3</c:v>
                </c:pt>
                <c:pt idx="10">
                  <c:v>2.633975582624782E-3</c:v>
                </c:pt>
                <c:pt idx="11">
                  <c:v>2.6855136347465553E-3</c:v>
                </c:pt>
                <c:pt idx="12">
                  <c:v>2.7357370094628405E-3</c:v>
                </c:pt>
                <c:pt idx="13">
                  <c:v>2.7736433237858155E-3</c:v>
                </c:pt>
                <c:pt idx="14">
                  <c:v>2.8031391159280441E-3</c:v>
                </c:pt>
                <c:pt idx="15">
                  <c:v>2.9000198191855352E-3</c:v>
                </c:pt>
                <c:pt idx="16">
                  <c:v>2.9121688727952659E-3</c:v>
                </c:pt>
                <c:pt idx="17">
                  <c:v>2.9077409008145972E-3</c:v>
                </c:pt>
                <c:pt idx="18">
                  <c:v>2.923920347480635E-3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604224"/>
        <c:axId val="577606016"/>
      </c:scatterChart>
      <c:valAx>
        <c:axId val="5776042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06016"/>
        <c:crosses val="autoZero"/>
        <c:crossBetween val="midCat"/>
      </c:valAx>
      <c:valAx>
        <c:axId val="5776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60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27973519976669581"/>
          <c:h val="0.251843556592462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6M Curve</c:v>
          </c:tx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41943</c:v>
                </c:pt>
                <c:pt idx="1">
                  <c:v>41974</c:v>
                </c:pt>
                <c:pt idx="2">
                  <c:v>42006</c:v>
                </c:pt>
                <c:pt idx="3">
                  <c:v>42037</c:v>
                </c:pt>
                <c:pt idx="4">
                  <c:v>42065</c:v>
                </c:pt>
                <c:pt idx="5">
                  <c:v>42096</c:v>
                </c:pt>
                <c:pt idx="6">
                  <c:v>42128</c:v>
                </c:pt>
                <c:pt idx="7">
                  <c:v>42159</c:v>
                </c:pt>
                <c:pt idx="8">
                  <c:v>42191</c:v>
                </c:pt>
                <c:pt idx="9">
                  <c:v>42222</c:v>
                </c:pt>
                <c:pt idx="10">
                  <c:v>42254</c:v>
                </c:pt>
                <c:pt idx="11">
                  <c:v>42284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42411</c:v>
                </c:pt>
                <c:pt idx="16">
                  <c:v>42440</c:v>
                </c:pt>
                <c:pt idx="17">
                  <c:v>42471</c:v>
                </c:pt>
                <c:pt idx="18">
                  <c:v>42501</c:v>
                </c:pt>
                <c:pt idx="19">
                  <c:v>42534</c:v>
                </c:pt>
                <c:pt idx="20">
                  <c:v>42564</c:v>
                </c:pt>
                <c:pt idx="21">
                  <c:v>42597</c:v>
                </c:pt>
                <c:pt idx="22">
                  <c:v>42628</c:v>
                </c:pt>
                <c:pt idx="23">
                  <c:v>42660</c:v>
                </c:pt>
                <c:pt idx="24">
                  <c:v>42691</c:v>
                </c:pt>
                <c:pt idx="25">
                  <c:v>42723</c:v>
                </c:pt>
                <c:pt idx="26">
                  <c:v>42754</c:v>
                </c:pt>
                <c:pt idx="27">
                  <c:v>42786</c:v>
                </c:pt>
                <c:pt idx="28">
                  <c:v>42814</c:v>
                </c:pt>
                <c:pt idx="29">
                  <c:v>42845</c:v>
                </c:pt>
                <c:pt idx="30">
                  <c:v>42877</c:v>
                </c:pt>
                <c:pt idx="31">
                  <c:v>42908</c:v>
                </c:pt>
                <c:pt idx="32">
                  <c:v>42940</c:v>
                </c:pt>
                <c:pt idx="33">
                  <c:v>42971</c:v>
                </c:pt>
                <c:pt idx="34">
                  <c:v>43003</c:v>
                </c:pt>
                <c:pt idx="35">
                  <c:v>43033</c:v>
                </c:pt>
                <c:pt idx="36">
                  <c:v>43066</c:v>
                </c:pt>
                <c:pt idx="37">
                  <c:v>43096</c:v>
                </c:pt>
                <c:pt idx="38">
                  <c:v>43129</c:v>
                </c:pt>
                <c:pt idx="39">
                  <c:v>43159</c:v>
                </c:pt>
                <c:pt idx="40">
                  <c:v>43187</c:v>
                </c:pt>
                <c:pt idx="41">
                  <c:v>43220</c:v>
                </c:pt>
                <c:pt idx="42">
                  <c:v>43250</c:v>
                </c:pt>
                <c:pt idx="43">
                  <c:v>43283</c:v>
                </c:pt>
                <c:pt idx="44">
                  <c:v>43314</c:v>
                </c:pt>
                <c:pt idx="45">
                  <c:v>43346</c:v>
                </c:pt>
                <c:pt idx="46">
                  <c:v>43376</c:v>
                </c:pt>
                <c:pt idx="47">
                  <c:v>43409</c:v>
                </c:pt>
                <c:pt idx="48">
                  <c:v>43439</c:v>
                </c:pt>
                <c:pt idx="49">
                  <c:v>43472</c:v>
                </c:pt>
                <c:pt idx="50">
                  <c:v>43503</c:v>
                </c:pt>
                <c:pt idx="51">
                  <c:v>43531</c:v>
                </c:pt>
                <c:pt idx="52">
                  <c:v>43563</c:v>
                </c:pt>
                <c:pt idx="53">
                  <c:v>43593</c:v>
                </c:pt>
                <c:pt idx="54">
                  <c:v>43626</c:v>
                </c:pt>
                <c:pt idx="55">
                  <c:v>43656</c:v>
                </c:pt>
                <c:pt idx="56">
                  <c:v>43689</c:v>
                </c:pt>
                <c:pt idx="57">
                  <c:v>43720</c:v>
                </c:pt>
                <c:pt idx="58">
                  <c:v>43752</c:v>
                </c:pt>
                <c:pt idx="59">
                  <c:v>43783</c:v>
                </c:pt>
                <c:pt idx="60">
                  <c:v>43815</c:v>
                </c:pt>
                <c:pt idx="61">
                  <c:v>43846</c:v>
                </c:pt>
                <c:pt idx="62">
                  <c:v>43878</c:v>
                </c:pt>
                <c:pt idx="63">
                  <c:v>43907</c:v>
                </c:pt>
                <c:pt idx="64">
                  <c:v>43938</c:v>
                </c:pt>
                <c:pt idx="65">
                  <c:v>43969</c:v>
                </c:pt>
                <c:pt idx="66">
                  <c:v>44000</c:v>
                </c:pt>
                <c:pt idx="67">
                  <c:v>44032</c:v>
                </c:pt>
                <c:pt idx="68">
                  <c:v>44063</c:v>
                </c:pt>
                <c:pt idx="69">
                  <c:v>44095</c:v>
                </c:pt>
                <c:pt idx="70">
                  <c:v>44125</c:v>
                </c:pt>
                <c:pt idx="71">
                  <c:v>44158</c:v>
                </c:pt>
                <c:pt idx="72">
                  <c:v>44188</c:v>
                </c:pt>
                <c:pt idx="73">
                  <c:v>44221</c:v>
                </c:pt>
                <c:pt idx="74">
                  <c:v>44252</c:v>
                </c:pt>
                <c:pt idx="75">
                  <c:v>44280</c:v>
                </c:pt>
                <c:pt idx="76">
                  <c:v>44312</c:v>
                </c:pt>
                <c:pt idx="77">
                  <c:v>44342</c:v>
                </c:pt>
                <c:pt idx="78">
                  <c:v>44375</c:v>
                </c:pt>
                <c:pt idx="79">
                  <c:v>44405</c:v>
                </c:pt>
                <c:pt idx="80">
                  <c:v>44438</c:v>
                </c:pt>
                <c:pt idx="81">
                  <c:v>44469</c:v>
                </c:pt>
                <c:pt idx="82">
                  <c:v>44501</c:v>
                </c:pt>
                <c:pt idx="83">
                  <c:v>44531</c:v>
                </c:pt>
                <c:pt idx="84">
                  <c:v>44564</c:v>
                </c:pt>
                <c:pt idx="85">
                  <c:v>44595</c:v>
                </c:pt>
                <c:pt idx="86">
                  <c:v>44623</c:v>
                </c:pt>
                <c:pt idx="87">
                  <c:v>44655</c:v>
                </c:pt>
                <c:pt idx="88">
                  <c:v>44685</c:v>
                </c:pt>
                <c:pt idx="89">
                  <c:v>44718</c:v>
                </c:pt>
                <c:pt idx="90">
                  <c:v>44748</c:v>
                </c:pt>
                <c:pt idx="91">
                  <c:v>44781</c:v>
                </c:pt>
                <c:pt idx="92">
                  <c:v>44812</c:v>
                </c:pt>
                <c:pt idx="93">
                  <c:v>44844</c:v>
                </c:pt>
                <c:pt idx="94">
                  <c:v>44875</c:v>
                </c:pt>
                <c:pt idx="95">
                  <c:v>44907</c:v>
                </c:pt>
                <c:pt idx="96">
                  <c:v>44938</c:v>
                </c:pt>
                <c:pt idx="97">
                  <c:v>44970</c:v>
                </c:pt>
                <c:pt idx="98">
                  <c:v>44998</c:v>
                </c:pt>
                <c:pt idx="99">
                  <c:v>45029</c:v>
                </c:pt>
                <c:pt idx="100">
                  <c:v>45061</c:v>
                </c:pt>
                <c:pt idx="101">
                  <c:v>45092</c:v>
                </c:pt>
                <c:pt idx="102">
                  <c:v>45124</c:v>
                </c:pt>
                <c:pt idx="103">
                  <c:v>45155</c:v>
                </c:pt>
                <c:pt idx="104">
                  <c:v>45187</c:v>
                </c:pt>
                <c:pt idx="105">
                  <c:v>45217</c:v>
                </c:pt>
                <c:pt idx="106">
                  <c:v>45250</c:v>
                </c:pt>
                <c:pt idx="107">
                  <c:v>45280</c:v>
                </c:pt>
                <c:pt idx="108">
                  <c:v>45313</c:v>
                </c:pt>
                <c:pt idx="109">
                  <c:v>45344</c:v>
                </c:pt>
                <c:pt idx="110">
                  <c:v>45373</c:v>
                </c:pt>
                <c:pt idx="111">
                  <c:v>45404</c:v>
                </c:pt>
                <c:pt idx="112">
                  <c:v>45434</c:v>
                </c:pt>
                <c:pt idx="113">
                  <c:v>45467</c:v>
                </c:pt>
                <c:pt idx="114">
                  <c:v>45497</c:v>
                </c:pt>
                <c:pt idx="115">
                  <c:v>45530</c:v>
                </c:pt>
                <c:pt idx="116">
                  <c:v>45561</c:v>
                </c:pt>
                <c:pt idx="117">
                  <c:v>45593</c:v>
                </c:pt>
                <c:pt idx="118">
                  <c:v>45624</c:v>
                </c:pt>
                <c:pt idx="119">
                  <c:v>45656</c:v>
                </c:pt>
                <c:pt idx="120">
                  <c:v>45687</c:v>
                </c:pt>
                <c:pt idx="121">
                  <c:v>45716</c:v>
                </c:pt>
                <c:pt idx="122">
                  <c:v>45744</c:v>
                </c:pt>
                <c:pt idx="123">
                  <c:v>45775</c:v>
                </c:pt>
                <c:pt idx="124">
                  <c:v>45805</c:v>
                </c:pt>
                <c:pt idx="125">
                  <c:v>45838</c:v>
                </c:pt>
                <c:pt idx="126">
                  <c:v>45868</c:v>
                </c:pt>
                <c:pt idx="127">
                  <c:v>45901</c:v>
                </c:pt>
                <c:pt idx="128">
                  <c:v>45931</c:v>
                </c:pt>
                <c:pt idx="129">
                  <c:v>45964</c:v>
                </c:pt>
                <c:pt idx="130">
                  <c:v>45994</c:v>
                </c:pt>
                <c:pt idx="131">
                  <c:v>46027</c:v>
                </c:pt>
                <c:pt idx="132">
                  <c:v>46058</c:v>
                </c:pt>
                <c:pt idx="133">
                  <c:v>46086</c:v>
                </c:pt>
                <c:pt idx="134">
                  <c:v>46119</c:v>
                </c:pt>
                <c:pt idx="135">
                  <c:v>46149</c:v>
                </c:pt>
                <c:pt idx="136">
                  <c:v>46181</c:v>
                </c:pt>
                <c:pt idx="137">
                  <c:v>46211</c:v>
                </c:pt>
                <c:pt idx="138">
                  <c:v>46244</c:v>
                </c:pt>
                <c:pt idx="139">
                  <c:v>46275</c:v>
                </c:pt>
                <c:pt idx="140">
                  <c:v>46307</c:v>
                </c:pt>
                <c:pt idx="141">
                  <c:v>46338</c:v>
                </c:pt>
                <c:pt idx="142">
                  <c:v>46370</c:v>
                </c:pt>
                <c:pt idx="143">
                  <c:v>46401</c:v>
                </c:pt>
                <c:pt idx="144">
                  <c:v>46433</c:v>
                </c:pt>
                <c:pt idx="145">
                  <c:v>46461</c:v>
                </c:pt>
                <c:pt idx="146">
                  <c:v>46492</c:v>
                </c:pt>
                <c:pt idx="147">
                  <c:v>46524</c:v>
                </c:pt>
                <c:pt idx="148">
                  <c:v>46555</c:v>
                </c:pt>
                <c:pt idx="149">
                  <c:v>46587</c:v>
                </c:pt>
                <c:pt idx="150">
                  <c:v>46618</c:v>
                </c:pt>
                <c:pt idx="151">
                  <c:v>46650</c:v>
                </c:pt>
                <c:pt idx="152">
                  <c:v>46680</c:v>
                </c:pt>
                <c:pt idx="153">
                  <c:v>46713</c:v>
                </c:pt>
                <c:pt idx="154">
                  <c:v>46743</c:v>
                </c:pt>
                <c:pt idx="155">
                  <c:v>46776</c:v>
                </c:pt>
                <c:pt idx="156">
                  <c:v>46807</c:v>
                </c:pt>
                <c:pt idx="157">
                  <c:v>46836</c:v>
                </c:pt>
                <c:pt idx="158">
                  <c:v>46867</c:v>
                </c:pt>
                <c:pt idx="159">
                  <c:v>46897</c:v>
                </c:pt>
                <c:pt idx="160">
                  <c:v>46930</c:v>
                </c:pt>
                <c:pt idx="161">
                  <c:v>46960</c:v>
                </c:pt>
                <c:pt idx="162">
                  <c:v>46993</c:v>
                </c:pt>
                <c:pt idx="163">
                  <c:v>47024</c:v>
                </c:pt>
                <c:pt idx="164">
                  <c:v>47056</c:v>
                </c:pt>
                <c:pt idx="165">
                  <c:v>47087</c:v>
                </c:pt>
                <c:pt idx="166">
                  <c:v>47120</c:v>
                </c:pt>
                <c:pt idx="167">
                  <c:v>47151</c:v>
                </c:pt>
                <c:pt idx="168">
                  <c:v>47179</c:v>
                </c:pt>
                <c:pt idx="169">
                  <c:v>47211</c:v>
                </c:pt>
                <c:pt idx="170">
                  <c:v>47241</c:v>
                </c:pt>
                <c:pt idx="171">
                  <c:v>47273</c:v>
                </c:pt>
                <c:pt idx="172">
                  <c:v>47303</c:v>
                </c:pt>
                <c:pt idx="173">
                  <c:v>47336</c:v>
                </c:pt>
                <c:pt idx="174">
                  <c:v>47367</c:v>
                </c:pt>
                <c:pt idx="175">
                  <c:v>47399</c:v>
                </c:pt>
                <c:pt idx="176">
                  <c:v>47430</c:v>
                </c:pt>
                <c:pt idx="177">
                  <c:v>47462</c:v>
                </c:pt>
                <c:pt idx="178">
                  <c:v>47493</c:v>
                </c:pt>
                <c:pt idx="179">
                  <c:v>47525</c:v>
                </c:pt>
                <c:pt idx="180">
                  <c:v>47553</c:v>
                </c:pt>
                <c:pt idx="181">
                  <c:v>47584</c:v>
                </c:pt>
                <c:pt idx="182">
                  <c:v>47616</c:v>
                </c:pt>
                <c:pt idx="183">
                  <c:v>47647</c:v>
                </c:pt>
                <c:pt idx="184">
                  <c:v>47679</c:v>
                </c:pt>
                <c:pt idx="185">
                  <c:v>47710</c:v>
                </c:pt>
                <c:pt idx="186">
                  <c:v>47742</c:v>
                </c:pt>
                <c:pt idx="187">
                  <c:v>47772</c:v>
                </c:pt>
                <c:pt idx="188">
                  <c:v>47805</c:v>
                </c:pt>
                <c:pt idx="189">
                  <c:v>47835</c:v>
                </c:pt>
                <c:pt idx="190">
                  <c:v>47868</c:v>
                </c:pt>
                <c:pt idx="191">
                  <c:v>47899</c:v>
                </c:pt>
                <c:pt idx="192">
                  <c:v>47927</c:v>
                </c:pt>
                <c:pt idx="193">
                  <c:v>47959</c:v>
                </c:pt>
                <c:pt idx="194">
                  <c:v>47989</c:v>
                </c:pt>
                <c:pt idx="195">
                  <c:v>48022</c:v>
                </c:pt>
                <c:pt idx="196">
                  <c:v>48052</c:v>
                </c:pt>
                <c:pt idx="197">
                  <c:v>48085</c:v>
                </c:pt>
                <c:pt idx="198">
                  <c:v>48116</c:v>
                </c:pt>
                <c:pt idx="199">
                  <c:v>48148</c:v>
                </c:pt>
                <c:pt idx="200">
                  <c:v>48179</c:v>
                </c:pt>
                <c:pt idx="201">
                  <c:v>48211</c:v>
                </c:pt>
                <c:pt idx="202">
                  <c:v>48242</c:v>
                </c:pt>
                <c:pt idx="203">
                  <c:v>48274</c:v>
                </c:pt>
                <c:pt idx="204">
                  <c:v>48305</c:v>
                </c:pt>
                <c:pt idx="205">
                  <c:v>48337</c:v>
                </c:pt>
                <c:pt idx="206">
                  <c:v>48368</c:v>
                </c:pt>
                <c:pt idx="207">
                  <c:v>48400</c:v>
                </c:pt>
                <c:pt idx="208">
                  <c:v>48431</c:v>
                </c:pt>
                <c:pt idx="209">
                  <c:v>48463</c:v>
                </c:pt>
                <c:pt idx="210">
                  <c:v>48493</c:v>
                </c:pt>
                <c:pt idx="211">
                  <c:v>48526</c:v>
                </c:pt>
                <c:pt idx="212">
                  <c:v>48556</c:v>
                </c:pt>
                <c:pt idx="213">
                  <c:v>48589</c:v>
                </c:pt>
                <c:pt idx="214">
                  <c:v>48620</c:v>
                </c:pt>
                <c:pt idx="215">
                  <c:v>48648</c:v>
                </c:pt>
                <c:pt idx="216">
                  <c:v>48680</c:v>
                </c:pt>
                <c:pt idx="217">
                  <c:v>48710</c:v>
                </c:pt>
                <c:pt idx="218">
                  <c:v>48743</c:v>
                </c:pt>
                <c:pt idx="219">
                  <c:v>48773</c:v>
                </c:pt>
                <c:pt idx="220">
                  <c:v>48806</c:v>
                </c:pt>
                <c:pt idx="221">
                  <c:v>48837</c:v>
                </c:pt>
                <c:pt idx="222">
                  <c:v>48869</c:v>
                </c:pt>
                <c:pt idx="223">
                  <c:v>48900</c:v>
                </c:pt>
                <c:pt idx="224">
                  <c:v>48932</c:v>
                </c:pt>
                <c:pt idx="225">
                  <c:v>48963</c:v>
                </c:pt>
                <c:pt idx="226">
                  <c:v>48995</c:v>
                </c:pt>
                <c:pt idx="227">
                  <c:v>49023</c:v>
                </c:pt>
                <c:pt idx="228">
                  <c:v>49054</c:v>
                </c:pt>
                <c:pt idx="229">
                  <c:v>49086</c:v>
                </c:pt>
                <c:pt idx="230">
                  <c:v>49117</c:v>
                </c:pt>
                <c:pt idx="231">
                  <c:v>49149</c:v>
                </c:pt>
                <c:pt idx="232">
                  <c:v>49180</c:v>
                </c:pt>
                <c:pt idx="233">
                  <c:v>49212</c:v>
                </c:pt>
                <c:pt idx="234">
                  <c:v>49242</c:v>
                </c:pt>
                <c:pt idx="235">
                  <c:v>49275</c:v>
                </c:pt>
                <c:pt idx="236">
                  <c:v>49305</c:v>
                </c:pt>
                <c:pt idx="237">
                  <c:v>49338</c:v>
                </c:pt>
                <c:pt idx="238">
                  <c:v>49368</c:v>
                </c:pt>
                <c:pt idx="239">
                  <c:v>49396</c:v>
                </c:pt>
                <c:pt idx="240">
                  <c:v>49429</c:v>
                </c:pt>
                <c:pt idx="241">
                  <c:v>49459</c:v>
                </c:pt>
                <c:pt idx="242">
                  <c:v>49492</c:v>
                </c:pt>
                <c:pt idx="243">
                  <c:v>49523</c:v>
                </c:pt>
                <c:pt idx="244">
                  <c:v>49555</c:v>
                </c:pt>
                <c:pt idx="245">
                  <c:v>49585</c:v>
                </c:pt>
                <c:pt idx="246">
                  <c:v>49618</c:v>
                </c:pt>
                <c:pt idx="247">
                  <c:v>49648</c:v>
                </c:pt>
                <c:pt idx="248">
                  <c:v>49681</c:v>
                </c:pt>
                <c:pt idx="249">
                  <c:v>49712</c:v>
                </c:pt>
                <c:pt idx="250">
                  <c:v>49741</c:v>
                </c:pt>
                <c:pt idx="251">
                  <c:v>49772</c:v>
                </c:pt>
                <c:pt idx="252">
                  <c:v>49802</c:v>
                </c:pt>
                <c:pt idx="253">
                  <c:v>49835</c:v>
                </c:pt>
                <c:pt idx="254">
                  <c:v>49865</c:v>
                </c:pt>
                <c:pt idx="255">
                  <c:v>49898</c:v>
                </c:pt>
                <c:pt idx="256">
                  <c:v>49929</c:v>
                </c:pt>
                <c:pt idx="257">
                  <c:v>49961</c:v>
                </c:pt>
                <c:pt idx="258">
                  <c:v>49992</c:v>
                </c:pt>
                <c:pt idx="259">
                  <c:v>50024</c:v>
                </c:pt>
                <c:pt idx="260">
                  <c:v>50055</c:v>
                </c:pt>
                <c:pt idx="261">
                  <c:v>50087</c:v>
                </c:pt>
                <c:pt idx="262">
                  <c:v>50115</c:v>
                </c:pt>
                <c:pt idx="263">
                  <c:v>50146</c:v>
                </c:pt>
                <c:pt idx="264">
                  <c:v>50178</c:v>
                </c:pt>
                <c:pt idx="265">
                  <c:v>50209</c:v>
                </c:pt>
                <c:pt idx="266">
                  <c:v>50241</c:v>
                </c:pt>
                <c:pt idx="267">
                  <c:v>50272</c:v>
                </c:pt>
                <c:pt idx="268">
                  <c:v>50304</c:v>
                </c:pt>
                <c:pt idx="269">
                  <c:v>50334</c:v>
                </c:pt>
                <c:pt idx="270">
                  <c:v>50367</c:v>
                </c:pt>
                <c:pt idx="271">
                  <c:v>50397</c:v>
                </c:pt>
                <c:pt idx="272">
                  <c:v>50430</c:v>
                </c:pt>
                <c:pt idx="273">
                  <c:v>50461</c:v>
                </c:pt>
                <c:pt idx="274">
                  <c:v>50489</c:v>
                </c:pt>
                <c:pt idx="275">
                  <c:v>50522</c:v>
                </c:pt>
                <c:pt idx="276">
                  <c:v>50552</c:v>
                </c:pt>
                <c:pt idx="277">
                  <c:v>50584</c:v>
                </c:pt>
                <c:pt idx="278">
                  <c:v>50614</c:v>
                </c:pt>
                <c:pt idx="279">
                  <c:v>50647</c:v>
                </c:pt>
                <c:pt idx="280">
                  <c:v>50678</c:v>
                </c:pt>
                <c:pt idx="281">
                  <c:v>50710</c:v>
                </c:pt>
                <c:pt idx="282">
                  <c:v>50740</c:v>
                </c:pt>
                <c:pt idx="283">
                  <c:v>50773</c:v>
                </c:pt>
                <c:pt idx="284">
                  <c:v>50804</c:v>
                </c:pt>
                <c:pt idx="285">
                  <c:v>50832</c:v>
                </c:pt>
                <c:pt idx="286">
                  <c:v>50864</c:v>
                </c:pt>
                <c:pt idx="287">
                  <c:v>50894</c:v>
                </c:pt>
                <c:pt idx="288">
                  <c:v>50927</c:v>
                </c:pt>
                <c:pt idx="289">
                  <c:v>50957</c:v>
                </c:pt>
                <c:pt idx="290">
                  <c:v>50990</c:v>
                </c:pt>
                <c:pt idx="291">
                  <c:v>51021</c:v>
                </c:pt>
                <c:pt idx="292">
                  <c:v>51053</c:v>
                </c:pt>
                <c:pt idx="293">
                  <c:v>51084</c:v>
                </c:pt>
                <c:pt idx="294">
                  <c:v>51116</c:v>
                </c:pt>
                <c:pt idx="295">
                  <c:v>51147</c:v>
                </c:pt>
                <c:pt idx="296">
                  <c:v>51179</c:v>
                </c:pt>
                <c:pt idx="297">
                  <c:v>51208</c:v>
                </c:pt>
                <c:pt idx="298">
                  <c:v>51239</c:v>
                </c:pt>
                <c:pt idx="299">
                  <c:v>51270</c:v>
                </c:pt>
                <c:pt idx="300">
                  <c:v>51301</c:v>
                </c:pt>
                <c:pt idx="301">
                  <c:v>51333</c:v>
                </c:pt>
                <c:pt idx="302">
                  <c:v>51364</c:v>
                </c:pt>
                <c:pt idx="303">
                  <c:v>51396</c:v>
                </c:pt>
                <c:pt idx="304">
                  <c:v>51426</c:v>
                </c:pt>
                <c:pt idx="305">
                  <c:v>51459</c:v>
                </c:pt>
                <c:pt idx="306">
                  <c:v>51489</c:v>
                </c:pt>
                <c:pt idx="307">
                  <c:v>51522</c:v>
                </c:pt>
                <c:pt idx="308">
                  <c:v>51553</c:v>
                </c:pt>
                <c:pt idx="309">
                  <c:v>51581</c:v>
                </c:pt>
                <c:pt idx="310">
                  <c:v>51614</c:v>
                </c:pt>
                <c:pt idx="311">
                  <c:v>51644</c:v>
                </c:pt>
                <c:pt idx="312">
                  <c:v>51676</c:v>
                </c:pt>
                <c:pt idx="313">
                  <c:v>51706</c:v>
                </c:pt>
                <c:pt idx="314">
                  <c:v>51739</c:v>
                </c:pt>
                <c:pt idx="315">
                  <c:v>51770</c:v>
                </c:pt>
                <c:pt idx="316">
                  <c:v>51802</c:v>
                </c:pt>
                <c:pt idx="317">
                  <c:v>51833</c:v>
                </c:pt>
                <c:pt idx="318">
                  <c:v>51865</c:v>
                </c:pt>
                <c:pt idx="319">
                  <c:v>51896</c:v>
                </c:pt>
                <c:pt idx="320">
                  <c:v>51925</c:v>
                </c:pt>
                <c:pt idx="321">
                  <c:v>51953</c:v>
                </c:pt>
                <c:pt idx="322">
                  <c:v>51984</c:v>
                </c:pt>
                <c:pt idx="323">
                  <c:v>52014</c:v>
                </c:pt>
                <c:pt idx="324">
                  <c:v>52047</c:v>
                </c:pt>
                <c:pt idx="325">
                  <c:v>52077</c:v>
                </c:pt>
                <c:pt idx="326">
                  <c:v>52110</c:v>
                </c:pt>
                <c:pt idx="327">
                  <c:v>52140</c:v>
                </c:pt>
                <c:pt idx="328">
                  <c:v>52173</c:v>
                </c:pt>
                <c:pt idx="329">
                  <c:v>52203</c:v>
                </c:pt>
                <c:pt idx="330">
                  <c:v>52236</c:v>
                </c:pt>
                <c:pt idx="331">
                  <c:v>52267</c:v>
                </c:pt>
                <c:pt idx="332">
                  <c:v>52295</c:v>
                </c:pt>
                <c:pt idx="333">
                  <c:v>52327</c:v>
                </c:pt>
                <c:pt idx="334">
                  <c:v>52357</c:v>
                </c:pt>
                <c:pt idx="335">
                  <c:v>52390</c:v>
                </c:pt>
                <c:pt idx="336">
                  <c:v>52420</c:v>
                </c:pt>
                <c:pt idx="337">
                  <c:v>52453</c:v>
                </c:pt>
                <c:pt idx="338">
                  <c:v>52484</c:v>
                </c:pt>
                <c:pt idx="339">
                  <c:v>52516</c:v>
                </c:pt>
                <c:pt idx="340">
                  <c:v>52547</c:v>
                </c:pt>
                <c:pt idx="341">
                  <c:v>52579</c:v>
                </c:pt>
                <c:pt idx="342">
                  <c:v>52610</c:v>
                </c:pt>
                <c:pt idx="343">
                  <c:v>52642</c:v>
                </c:pt>
                <c:pt idx="344">
                  <c:v>52671</c:v>
                </c:pt>
                <c:pt idx="345">
                  <c:v>52706</c:v>
                </c:pt>
                <c:pt idx="346">
                  <c:v>52736</c:v>
                </c:pt>
                <c:pt idx="347">
                  <c:v>52768</c:v>
                </c:pt>
                <c:pt idx="348">
                  <c:v>52798</c:v>
                </c:pt>
                <c:pt idx="349">
                  <c:v>52831</c:v>
                </c:pt>
                <c:pt idx="350">
                  <c:v>52862</c:v>
                </c:pt>
                <c:pt idx="351">
                  <c:v>52894</c:v>
                </c:pt>
                <c:pt idx="352">
                  <c:v>52925</c:v>
                </c:pt>
                <c:pt idx="353">
                  <c:v>52958</c:v>
                </c:pt>
                <c:pt idx="354">
                  <c:v>52989</c:v>
                </c:pt>
                <c:pt idx="355">
                  <c:v>53020</c:v>
                </c:pt>
                <c:pt idx="356">
                  <c:v>53048</c:v>
                </c:pt>
                <c:pt idx="357">
                  <c:v>53079</c:v>
                </c:pt>
                <c:pt idx="358">
                  <c:v>53111</c:v>
                </c:pt>
                <c:pt idx="359">
                  <c:v>53142</c:v>
                </c:pt>
                <c:pt idx="360">
                  <c:v>53174</c:v>
                </c:pt>
                <c:pt idx="361">
                  <c:v>53205</c:v>
                </c:pt>
                <c:pt idx="362">
                  <c:v>53237</c:v>
                </c:pt>
                <c:pt idx="363">
                  <c:v>53268</c:v>
                </c:pt>
                <c:pt idx="364">
                  <c:v>53300</c:v>
                </c:pt>
                <c:pt idx="365">
                  <c:v>53331</c:v>
                </c:pt>
                <c:pt idx="366">
                  <c:v>53363</c:v>
                </c:pt>
                <c:pt idx="367">
                  <c:v>53391</c:v>
                </c:pt>
                <c:pt idx="368">
                  <c:v>53422</c:v>
                </c:pt>
                <c:pt idx="369">
                  <c:v>53454</c:v>
                </c:pt>
                <c:pt idx="370">
                  <c:v>53485</c:v>
                </c:pt>
                <c:pt idx="371">
                  <c:v>53517</c:v>
                </c:pt>
                <c:pt idx="372">
                  <c:v>53548</c:v>
                </c:pt>
                <c:pt idx="373">
                  <c:v>53580</c:v>
                </c:pt>
                <c:pt idx="374">
                  <c:v>53610</c:v>
                </c:pt>
                <c:pt idx="375">
                  <c:v>53643</c:v>
                </c:pt>
                <c:pt idx="376">
                  <c:v>53673</c:v>
                </c:pt>
                <c:pt idx="377">
                  <c:v>53706</c:v>
                </c:pt>
                <c:pt idx="378">
                  <c:v>53737</c:v>
                </c:pt>
                <c:pt idx="379">
                  <c:v>53765</c:v>
                </c:pt>
                <c:pt idx="380">
                  <c:v>53798</c:v>
                </c:pt>
                <c:pt idx="381">
                  <c:v>53828</c:v>
                </c:pt>
                <c:pt idx="382">
                  <c:v>53860</c:v>
                </c:pt>
                <c:pt idx="383">
                  <c:v>53890</c:v>
                </c:pt>
                <c:pt idx="384">
                  <c:v>53923</c:v>
                </c:pt>
                <c:pt idx="385">
                  <c:v>53954</c:v>
                </c:pt>
                <c:pt idx="386">
                  <c:v>53986</c:v>
                </c:pt>
                <c:pt idx="387">
                  <c:v>54017</c:v>
                </c:pt>
                <c:pt idx="388">
                  <c:v>54049</c:v>
                </c:pt>
                <c:pt idx="389">
                  <c:v>54080</c:v>
                </c:pt>
                <c:pt idx="390">
                  <c:v>54112</c:v>
                </c:pt>
                <c:pt idx="391">
                  <c:v>54141</c:v>
                </c:pt>
                <c:pt idx="392">
                  <c:v>54172</c:v>
                </c:pt>
                <c:pt idx="393">
                  <c:v>54203</c:v>
                </c:pt>
                <c:pt idx="394">
                  <c:v>54234</c:v>
                </c:pt>
                <c:pt idx="395">
                  <c:v>54266</c:v>
                </c:pt>
                <c:pt idx="396">
                  <c:v>54297</c:v>
                </c:pt>
                <c:pt idx="397">
                  <c:v>54329</c:v>
                </c:pt>
                <c:pt idx="398">
                  <c:v>54359</c:v>
                </c:pt>
                <c:pt idx="399">
                  <c:v>54392</c:v>
                </c:pt>
                <c:pt idx="400">
                  <c:v>54422</c:v>
                </c:pt>
                <c:pt idx="401">
                  <c:v>54455</c:v>
                </c:pt>
                <c:pt idx="402">
                  <c:v>54483</c:v>
                </c:pt>
                <c:pt idx="403">
                  <c:v>54514</c:v>
                </c:pt>
                <c:pt idx="404">
                  <c:v>54546</c:v>
                </c:pt>
                <c:pt idx="405">
                  <c:v>54577</c:v>
                </c:pt>
                <c:pt idx="406">
                  <c:v>54609</c:v>
                </c:pt>
                <c:pt idx="407">
                  <c:v>54640</c:v>
                </c:pt>
                <c:pt idx="408">
                  <c:v>54672</c:v>
                </c:pt>
                <c:pt idx="409">
                  <c:v>54702</c:v>
                </c:pt>
                <c:pt idx="410">
                  <c:v>54735</c:v>
                </c:pt>
                <c:pt idx="411">
                  <c:v>54765</c:v>
                </c:pt>
                <c:pt idx="412">
                  <c:v>54798</c:v>
                </c:pt>
                <c:pt idx="413">
                  <c:v>54829</c:v>
                </c:pt>
                <c:pt idx="414">
                  <c:v>54857</c:v>
                </c:pt>
                <c:pt idx="415">
                  <c:v>54890</c:v>
                </c:pt>
                <c:pt idx="416">
                  <c:v>54920</c:v>
                </c:pt>
                <c:pt idx="417">
                  <c:v>54952</c:v>
                </c:pt>
                <c:pt idx="418">
                  <c:v>54982</c:v>
                </c:pt>
                <c:pt idx="419">
                  <c:v>55015</c:v>
                </c:pt>
                <c:pt idx="420">
                  <c:v>55046</c:v>
                </c:pt>
                <c:pt idx="421">
                  <c:v>55078</c:v>
                </c:pt>
                <c:pt idx="422">
                  <c:v>55109</c:v>
                </c:pt>
                <c:pt idx="423">
                  <c:v>55141</c:v>
                </c:pt>
                <c:pt idx="424">
                  <c:v>55172</c:v>
                </c:pt>
                <c:pt idx="425">
                  <c:v>55204</c:v>
                </c:pt>
                <c:pt idx="426">
                  <c:v>55232</c:v>
                </c:pt>
                <c:pt idx="427">
                  <c:v>55263</c:v>
                </c:pt>
                <c:pt idx="428">
                  <c:v>55295</c:v>
                </c:pt>
                <c:pt idx="429">
                  <c:v>55326</c:v>
                </c:pt>
                <c:pt idx="430">
                  <c:v>55358</c:v>
                </c:pt>
                <c:pt idx="431">
                  <c:v>55389</c:v>
                </c:pt>
                <c:pt idx="432">
                  <c:v>55421</c:v>
                </c:pt>
                <c:pt idx="433">
                  <c:v>55451</c:v>
                </c:pt>
                <c:pt idx="434">
                  <c:v>55484</c:v>
                </c:pt>
                <c:pt idx="435">
                  <c:v>55514</c:v>
                </c:pt>
                <c:pt idx="436">
                  <c:v>55547</c:v>
                </c:pt>
                <c:pt idx="437">
                  <c:v>55578</c:v>
                </c:pt>
                <c:pt idx="438">
                  <c:v>55607</c:v>
                </c:pt>
                <c:pt idx="439">
                  <c:v>55638</c:v>
                </c:pt>
                <c:pt idx="440">
                  <c:v>55668</c:v>
                </c:pt>
                <c:pt idx="441">
                  <c:v>55701</c:v>
                </c:pt>
                <c:pt idx="442">
                  <c:v>55732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55857</c:v>
                </c:pt>
                <c:pt idx="447">
                  <c:v>55890</c:v>
                </c:pt>
                <c:pt idx="448">
                  <c:v>55921</c:v>
                </c:pt>
                <c:pt idx="449">
                  <c:v>55949</c:v>
                </c:pt>
                <c:pt idx="450">
                  <c:v>55982</c:v>
                </c:pt>
                <c:pt idx="451">
                  <c:v>56012</c:v>
                </c:pt>
                <c:pt idx="452">
                  <c:v>56044</c:v>
                </c:pt>
                <c:pt idx="453">
                  <c:v>56074</c:v>
                </c:pt>
                <c:pt idx="454">
                  <c:v>56107</c:v>
                </c:pt>
                <c:pt idx="455">
                  <c:v>56138</c:v>
                </c:pt>
                <c:pt idx="456">
                  <c:v>56170</c:v>
                </c:pt>
                <c:pt idx="457">
                  <c:v>56201</c:v>
                </c:pt>
                <c:pt idx="458">
                  <c:v>56233</c:v>
                </c:pt>
                <c:pt idx="459">
                  <c:v>56264</c:v>
                </c:pt>
                <c:pt idx="460">
                  <c:v>56296</c:v>
                </c:pt>
                <c:pt idx="461">
                  <c:v>56324</c:v>
                </c:pt>
                <c:pt idx="462">
                  <c:v>56355</c:v>
                </c:pt>
                <c:pt idx="463">
                  <c:v>56387</c:v>
                </c:pt>
                <c:pt idx="464">
                  <c:v>56418</c:v>
                </c:pt>
                <c:pt idx="465">
                  <c:v>56450</c:v>
                </c:pt>
                <c:pt idx="466">
                  <c:v>56481</c:v>
                </c:pt>
                <c:pt idx="467">
                  <c:v>56513</c:v>
                </c:pt>
                <c:pt idx="468">
                  <c:v>56543</c:v>
                </c:pt>
                <c:pt idx="469">
                  <c:v>56576</c:v>
                </c:pt>
                <c:pt idx="470">
                  <c:v>56606</c:v>
                </c:pt>
                <c:pt idx="471">
                  <c:v>56639</c:v>
                </c:pt>
                <c:pt idx="472">
                  <c:v>56670</c:v>
                </c:pt>
                <c:pt idx="473">
                  <c:v>56698</c:v>
                </c:pt>
                <c:pt idx="474">
                  <c:v>56730</c:v>
                </c:pt>
                <c:pt idx="475">
                  <c:v>56760</c:v>
                </c:pt>
                <c:pt idx="476">
                  <c:v>56793</c:v>
                </c:pt>
                <c:pt idx="477">
                  <c:v>56823</c:v>
                </c:pt>
                <c:pt idx="478">
                  <c:v>56856</c:v>
                </c:pt>
                <c:pt idx="479">
                  <c:v>56887</c:v>
                </c:pt>
                <c:pt idx="480">
                  <c:v>56919</c:v>
                </c:pt>
                <c:pt idx="481">
                  <c:v>56949</c:v>
                </c:pt>
                <c:pt idx="482">
                  <c:v>56982</c:v>
                </c:pt>
                <c:pt idx="483">
                  <c:v>57013</c:v>
                </c:pt>
                <c:pt idx="484">
                  <c:v>57042</c:v>
                </c:pt>
                <c:pt idx="485">
                  <c:v>57074</c:v>
                </c:pt>
                <c:pt idx="486">
                  <c:v>57104</c:v>
                </c:pt>
                <c:pt idx="487">
                  <c:v>57136</c:v>
                </c:pt>
                <c:pt idx="488">
                  <c:v>57166</c:v>
                </c:pt>
                <c:pt idx="489">
                  <c:v>57199</c:v>
                </c:pt>
                <c:pt idx="490">
                  <c:v>57230</c:v>
                </c:pt>
                <c:pt idx="491">
                  <c:v>57262</c:v>
                </c:pt>
                <c:pt idx="492">
                  <c:v>57293</c:v>
                </c:pt>
                <c:pt idx="493">
                  <c:v>57325</c:v>
                </c:pt>
                <c:pt idx="494">
                  <c:v>57356</c:v>
                </c:pt>
                <c:pt idx="495">
                  <c:v>57388</c:v>
                </c:pt>
                <c:pt idx="496">
                  <c:v>57416</c:v>
                </c:pt>
                <c:pt idx="497">
                  <c:v>57447</c:v>
                </c:pt>
                <c:pt idx="498">
                  <c:v>57479</c:v>
                </c:pt>
                <c:pt idx="499">
                  <c:v>57510</c:v>
                </c:pt>
                <c:pt idx="500">
                  <c:v>57542</c:v>
                </c:pt>
                <c:pt idx="501">
                  <c:v>57573</c:v>
                </c:pt>
                <c:pt idx="502">
                  <c:v>57605</c:v>
                </c:pt>
                <c:pt idx="503">
                  <c:v>57635</c:v>
                </c:pt>
                <c:pt idx="504">
                  <c:v>57668</c:v>
                </c:pt>
                <c:pt idx="505">
                  <c:v>57698</c:v>
                </c:pt>
                <c:pt idx="506">
                  <c:v>57731</c:v>
                </c:pt>
                <c:pt idx="507">
                  <c:v>57762</c:v>
                </c:pt>
                <c:pt idx="508">
                  <c:v>57790</c:v>
                </c:pt>
                <c:pt idx="509">
                  <c:v>57822</c:v>
                </c:pt>
                <c:pt idx="510">
                  <c:v>57852</c:v>
                </c:pt>
                <c:pt idx="511">
                  <c:v>57885</c:v>
                </c:pt>
                <c:pt idx="512">
                  <c:v>57915</c:v>
                </c:pt>
                <c:pt idx="513">
                  <c:v>57948</c:v>
                </c:pt>
                <c:pt idx="514">
                  <c:v>57979</c:v>
                </c:pt>
                <c:pt idx="515">
                  <c:v>58011</c:v>
                </c:pt>
                <c:pt idx="516">
                  <c:v>58042</c:v>
                </c:pt>
                <c:pt idx="517">
                  <c:v>58074</c:v>
                </c:pt>
                <c:pt idx="518">
                  <c:v>58105</c:v>
                </c:pt>
                <c:pt idx="519">
                  <c:v>58134</c:v>
                </c:pt>
                <c:pt idx="520">
                  <c:v>58166</c:v>
                </c:pt>
                <c:pt idx="521">
                  <c:v>58197</c:v>
                </c:pt>
                <c:pt idx="522">
                  <c:v>58228</c:v>
                </c:pt>
                <c:pt idx="523">
                  <c:v>58258</c:v>
                </c:pt>
                <c:pt idx="524">
                  <c:v>58291</c:v>
                </c:pt>
                <c:pt idx="525">
                  <c:v>58322</c:v>
                </c:pt>
                <c:pt idx="526">
                  <c:v>58354</c:v>
                </c:pt>
                <c:pt idx="527">
                  <c:v>58385</c:v>
                </c:pt>
                <c:pt idx="528">
                  <c:v>58417</c:v>
                </c:pt>
                <c:pt idx="529">
                  <c:v>58448</c:v>
                </c:pt>
                <c:pt idx="530">
                  <c:v>58480</c:v>
                </c:pt>
                <c:pt idx="531">
                  <c:v>58509</c:v>
                </c:pt>
                <c:pt idx="532">
                  <c:v>58540</c:v>
                </c:pt>
                <c:pt idx="533">
                  <c:v>58571</c:v>
                </c:pt>
                <c:pt idx="534">
                  <c:v>58602</c:v>
                </c:pt>
                <c:pt idx="535">
                  <c:v>58634</c:v>
                </c:pt>
                <c:pt idx="536">
                  <c:v>58665</c:v>
                </c:pt>
                <c:pt idx="537">
                  <c:v>58697</c:v>
                </c:pt>
                <c:pt idx="538">
                  <c:v>58727</c:v>
                </c:pt>
                <c:pt idx="539">
                  <c:v>58760</c:v>
                </c:pt>
                <c:pt idx="540">
                  <c:v>58790</c:v>
                </c:pt>
                <c:pt idx="541">
                  <c:v>58823</c:v>
                </c:pt>
                <c:pt idx="542">
                  <c:v>58854</c:v>
                </c:pt>
                <c:pt idx="543">
                  <c:v>58882</c:v>
                </c:pt>
                <c:pt idx="544">
                  <c:v>58914</c:v>
                </c:pt>
                <c:pt idx="545">
                  <c:v>58944</c:v>
                </c:pt>
                <c:pt idx="546">
                  <c:v>58977</c:v>
                </c:pt>
                <c:pt idx="547">
                  <c:v>59007</c:v>
                </c:pt>
                <c:pt idx="548">
                  <c:v>59040</c:v>
                </c:pt>
                <c:pt idx="549">
                  <c:v>59071</c:v>
                </c:pt>
                <c:pt idx="550">
                  <c:v>59103</c:v>
                </c:pt>
                <c:pt idx="551">
                  <c:v>59134</c:v>
                </c:pt>
                <c:pt idx="552">
                  <c:v>59167</c:v>
                </c:pt>
                <c:pt idx="553">
                  <c:v>59198</c:v>
                </c:pt>
                <c:pt idx="554">
                  <c:v>59229</c:v>
                </c:pt>
                <c:pt idx="555">
                  <c:v>59258</c:v>
                </c:pt>
                <c:pt idx="556">
                  <c:v>59289</c:v>
                </c:pt>
                <c:pt idx="557">
                  <c:v>59320</c:v>
                </c:pt>
                <c:pt idx="558">
                  <c:v>59351</c:v>
                </c:pt>
                <c:pt idx="559">
                  <c:v>59383</c:v>
                </c:pt>
                <c:pt idx="560">
                  <c:v>59414</c:v>
                </c:pt>
                <c:pt idx="561">
                  <c:v>59446</c:v>
                </c:pt>
                <c:pt idx="562">
                  <c:v>59477</c:v>
                </c:pt>
                <c:pt idx="563">
                  <c:v>59509</c:v>
                </c:pt>
                <c:pt idx="564">
                  <c:v>59540</c:v>
                </c:pt>
                <c:pt idx="565">
                  <c:v>59572</c:v>
                </c:pt>
                <c:pt idx="566">
                  <c:v>59600</c:v>
                </c:pt>
                <c:pt idx="567">
                  <c:v>59631</c:v>
                </c:pt>
                <c:pt idx="568">
                  <c:v>59663</c:v>
                </c:pt>
                <c:pt idx="569">
                  <c:v>59694</c:v>
                </c:pt>
                <c:pt idx="570">
                  <c:v>59726</c:v>
                </c:pt>
                <c:pt idx="571">
                  <c:v>59757</c:v>
                </c:pt>
                <c:pt idx="572">
                  <c:v>59789</c:v>
                </c:pt>
                <c:pt idx="573">
                  <c:v>59819</c:v>
                </c:pt>
                <c:pt idx="574">
                  <c:v>59852</c:v>
                </c:pt>
                <c:pt idx="575">
                  <c:v>59882</c:v>
                </c:pt>
                <c:pt idx="576">
                  <c:v>59915</c:v>
                </c:pt>
                <c:pt idx="577">
                  <c:v>59946</c:v>
                </c:pt>
                <c:pt idx="578">
                  <c:v>59975</c:v>
                </c:pt>
                <c:pt idx="579">
                  <c:v>60006</c:v>
                </c:pt>
              </c:numCache>
            </c:numRef>
          </c:cat>
          <c:val>
            <c:numRef>
              <c:f>'basis 6M '!$Q$2:$Q$581</c:f>
              <c:numCache>
                <c:formatCode>0.0000%</c:formatCode>
                <c:ptCount val="580"/>
                <c:pt idx="0">
                  <c:v>2.0610000000000034E-3</c:v>
                </c:pt>
                <c:pt idx="1">
                  <c:v>2.0401629450812649E-3</c:v>
                </c:pt>
                <c:pt idx="2">
                  <c:v>2.0614239225293486E-3</c:v>
                </c:pt>
                <c:pt idx="3">
                  <c:v>2.0701425803882766E-3</c:v>
                </c:pt>
                <c:pt idx="4">
                  <c:v>2.0693514268782763E-3</c:v>
                </c:pt>
                <c:pt idx="5">
                  <c:v>2.0704651637979267E-3</c:v>
                </c:pt>
                <c:pt idx="6">
                  <c:v>2.0808062927628024E-3</c:v>
                </c:pt>
                <c:pt idx="7">
                  <c:v>2.0917653763848783E-3</c:v>
                </c:pt>
                <c:pt idx="8">
                  <c:v>2.1288775855839463E-3</c:v>
                </c:pt>
                <c:pt idx="9">
                  <c:v>2.1832237991270182E-3</c:v>
                </c:pt>
                <c:pt idx="10">
                  <c:v>2.231953979231763E-3</c:v>
                </c:pt>
                <c:pt idx="11">
                  <c:v>2.297213470164271E-3</c:v>
                </c:pt>
                <c:pt idx="12">
                  <c:v>2.3894002017304647E-3</c:v>
                </c:pt>
                <c:pt idx="13">
                  <c:v>2.473705990897941E-3</c:v>
                </c:pt>
                <c:pt idx="14">
                  <c:v>2.5629259900170403E-3</c:v>
                </c:pt>
                <c:pt idx="15">
                  <c:v>2.6605794099942149E-3</c:v>
                </c:pt>
                <c:pt idx="16">
                  <c:v>2.7574035673652024E-3</c:v>
                </c:pt>
                <c:pt idx="17">
                  <c:v>2.8579832043188064E-3</c:v>
                </c:pt>
                <c:pt idx="18">
                  <c:v>2.9788056396894079E-3</c:v>
                </c:pt>
                <c:pt idx="19">
                  <c:v>3.1071555149953878E-3</c:v>
                </c:pt>
                <c:pt idx="20">
                  <c:v>3.2201791931817528E-3</c:v>
                </c:pt>
                <c:pt idx="21">
                  <c:v>3.3623041590118809E-3</c:v>
                </c:pt>
                <c:pt idx="22">
                  <c:v>3.4838411837447465E-3</c:v>
                </c:pt>
                <c:pt idx="23">
                  <c:v>3.6175780114721862E-3</c:v>
                </c:pt>
                <c:pt idx="24">
                  <c:v>3.7447230441217151E-3</c:v>
                </c:pt>
                <c:pt idx="25">
                  <c:v>3.8901160580723055E-3</c:v>
                </c:pt>
                <c:pt idx="26">
                  <c:v>4.0331848745999961E-3</c:v>
                </c:pt>
                <c:pt idx="27">
                  <c:v>4.1932308020420726E-3</c:v>
                </c:pt>
                <c:pt idx="28">
                  <c:v>4.3425773367236275E-3</c:v>
                </c:pt>
                <c:pt idx="29">
                  <c:v>4.5057270120471065E-3</c:v>
                </c:pt>
                <c:pt idx="30">
                  <c:v>4.687161123787773E-3</c:v>
                </c:pt>
                <c:pt idx="31">
                  <c:v>4.8637106594610928E-3</c:v>
                </c:pt>
                <c:pt idx="32">
                  <c:v>5.0585538196821983E-3</c:v>
                </c:pt>
                <c:pt idx="33">
                  <c:v>5.2564596968658122E-3</c:v>
                </c:pt>
                <c:pt idx="34">
                  <c:v>5.4462197847887214E-3</c:v>
                </c:pt>
                <c:pt idx="35">
                  <c:v>5.6407142530193344E-3</c:v>
                </c:pt>
                <c:pt idx="36">
                  <c:v>5.8591133680486731E-3</c:v>
                </c:pt>
                <c:pt idx="37">
                  <c:v>6.0615820360711966E-3</c:v>
                </c:pt>
                <c:pt idx="38">
                  <c:v>6.2886147975629034E-3</c:v>
                </c:pt>
                <c:pt idx="39">
                  <c:v>6.5062527276491342E-3</c:v>
                </c:pt>
                <c:pt idx="40">
                  <c:v>6.7060491215584581E-3</c:v>
                </c:pt>
                <c:pt idx="41">
                  <c:v>6.9457081493637272E-3</c:v>
                </c:pt>
                <c:pt idx="42">
                  <c:v>7.1673830779213658E-3</c:v>
                </c:pt>
                <c:pt idx="43">
                  <c:v>7.414639090570883E-3</c:v>
                </c:pt>
                <c:pt idx="44">
                  <c:v>7.6570934690702429E-3</c:v>
                </c:pt>
                <c:pt idx="45">
                  <c:v>7.8852072422831414E-3</c:v>
                </c:pt>
                <c:pt idx="46">
                  <c:v>8.1142876760408825E-3</c:v>
                </c:pt>
                <c:pt idx="47">
                  <c:v>8.3659965914365496E-3</c:v>
                </c:pt>
                <c:pt idx="48">
                  <c:v>8.5939333554608671E-3</c:v>
                </c:pt>
                <c:pt idx="49">
                  <c:v>8.8435802812748161E-3</c:v>
                </c:pt>
                <c:pt idx="50">
                  <c:v>9.0732068588664089E-3</c:v>
                </c:pt>
                <c:pt idx="51">
                  <c:v>9.3024732533641599E-3</c:v>
                </c:pt>
                <c:pt idx="52">
                  <c:v>9.5299521550451516E-3</c:v>
                </c:pt>
                <c:pt idx="53">
                  <c:v>9.756889761545642E-3</c:v>
                </c:pt>
                <c:pt idx="54">
                  <c:v>9.997828019817398E-3</c:v>
                </c:pt>
                <c:pt idx="55">
                  <c:v>1.0224750110588746E-2</c:v>
                </c:pt>
                <c:pt idx="56">
                  <c:v>1.0472079444674577E-2</c:v>
                </c:pt>
                <c:pt idx="57">
                  <c:v>1.0699409693210881E-2</c:v>
                </c:pt>
                <c:pt idx="58">
                  <c:v>1.0950893260127277E-2</c:v>
                </c:pt>
                <c:pt idx="59">
                  <c:v>1.1191862324454741E-2</c:v>
                </c:pt>
                <c:pt idx="60">
                  <c:v>1.1455723887088884E-2</c:v>
                </c:pt>
                <c:pt idx="61">
                  <c:v>1.1708972420585197E-2</c:v>
                </c:pt>
                <c:pt idx="62">
                  <c:v>1.1981388361958275E-2</c:v>
                </c:pt>
                <c:pt idx="63">
                  <c:v>1.2243361402324826E-2</c:v>
                </c:pt>
                <c:pt idx="64">
                  <c:v>1.2524350578490688E-2</c:v>
                </c:pt>
                <c:pt idx="65">
                  <c:v>1.2801801782927216E-2</c:v>
                </c:pt>
                <c:pt idx="66">
                  <c:v>1.3084077598563315E-2</c:v>
                </c:pt>
                <c:pt idx="67">
                  <c:v>1.338871834455454E-2</c:v>
                </c:pt>
                <c:pt idx="68">
                  <c:v>1.3689963060414237E-2</c:v>
                </c:pt>
                <c:pt idx="69">
                  <c:v>1.3970160923782992E-2</c:v>
                </c:pt>
                <c:pt idx="70">
                  <c:v>1.4248578579684507E-2</c:v>
                </c:pt>
                <c:pt idx="71">
                  <c:v>1.4549726225749489E-2</c:v>
                </c:pt>
                <c:pt idx="72">
                  <c:v>1.4818216846271789E-2</c:v>
                </c:pt>
                <c:pt idx="73">
                  <c:v>1.5107738015796136E-2</c:v>
                </c:pt>
                <c:pt idx="74">
                  <c:v>1.536966114979065E-2</c:v>
                </c:pt>
                <c:pt idx="75">
                  <c:v>1.5627864218815211E-2</c:v>
                </c:pt>
                <c:pt idx="76">
                  <c:v>1.5878860982948207E-2</c:v>
                </c:pt>
                <c:pt idx="77">
                  <c:v>1.612572468814652E-2</c:v>
                </c:pt>
                <c:pt idx="78">
                  <c:v>1.6382888463863533E-2</c:v>
                </c:pt>
                <c:pt idx="79">
                  <c:v>1.6620252733453484E-2</c:v>
                </c:pt>
                <c:pt idx="80">
                  <c:v>1.6864032391963057E-2</c:v>
                </c:pt>
                <c:pt idx="81">
                  <c:v>1.7097086737274027E-2</c:v>
                </c:pt>
                <c:pt idx="82">
                  <c:v>1.7334289801395689E-2</c:v>
                </c:pt>
                <c:pt idx="83">
                  <c:v>1.7553896985409653E-2</c:v>
                </c:pt>
                <c:pt idx="84">
                  <c:v>1.7792430049654535E-2</c:v>
                </c:pt>
                <c:pt idx="85">
                  <c:v>1.8009659708141886E-2</c:v>
                </c:pt>
                <c:pt idx="86">
                  <c:v>1.8226639751684783E-2</c:v>
                </c:pt>
                <c:pt idx="87">
                  <c:v>1.8437604518339867E-2</c:v>
                </c:pt>
                <c:pt idx="88">
                  <c:v>1.8647529737558982E-2</c:v>
                </c:pt>
                <c:pt idx="89">
                  <c:v>1.8867123340398487E-2</c:v>
                </c:pt>
                <c:pt idx="90">
                  <c:v>1.9070354015515326E-2</c:v>
                </c:pt>
                <c:pt idx="91">
                  <c:v>1.9284857520477566E-2</c:v>
                </c:pt>
                <c:pt idx="92">
                  <c:v>1.9470281270679794E-2</c:v>
                </c:pt>
                <c:pt idx="93">
                  <c:v>1.967345483912052E-2</c:v>
                </c:pt>
                <c:pt idx="94">
                  <c:v>1.984979908982408E-2</c:v>
                </c:pt>
                <c:pt idx="95">
                  <c:v>2.0034403988134993E-2</c:v>
                </c:pt>
                <c:pt idx="96">
                  <c:v>2.0199394556769265E-2</c:v>
                </c:pt>
                <c:pt idx="97">
                  <c:v>2.0368238241107707E-2</c:v>
                </c:pt>
                <c:pt idx="98">
                  <c:v>2.0512552678984143E-2</c:v>
                </c:pt>
                <c:pt idx="99">
                  <c:v>2.0655900894135711E-2</c:v>
                </c:pt>
                <c:pt idx="100">
                  <c:v>2.0801746473406182E-2</c:v>
                </c:pt>
                <c:pt idx="101">
                  <c:v>2.0930755239234891E-2</c:v>
                </c:pt>
                <c:pt idx="102">
                  <c:v>2.1062971015823353E-2</c:v>
                </c:pt>
                <c:pt idx="103">
                  <c:v>2.1188556290679266E-2</c:v>
                </c:pt>
                <c:pt idx="104">
                  <c:v>2.1299205420686758E-2</c:v>
                </c:pt>
                <c:pt idx="105">
                  <c:v>2.1411904559023785E-2</c:v>
                </c:pt>
                <c:pt idx="106">
                  <c:v>2.1528780565493767E-2</c:v>
                </c:pt>
                <c:pt idx="107">
                  <c:v>2.1638255695357746E-2</c:v>
                </c:pt>
                <c:pt idx="108">
                  <c:v>2.1752128226706479E-2</c:v>
                </c:pt>
                <c:pt idx="109">
                  <c:v>2.1859910265514339E-2</c:v>
                </c:pt>
                <c:pt idx="110">
                  <c:v>2.1966525331145029E-2</c:v>
                </c:pt>
                <c:pt idx="111">
                  <c:v>2.2066883722150616E-2</c:v>
                </c:pt>
                <c:pt idx="112">
                  <c:v>2.2169527852962501E-2</c:v>
                </c:pt>
                <c:pt idx="113">
                  <c:v>2.2275876349008423E-2</c:v>
                </c:pt>
                <c:pt idx="114">
                  <c:v>2.2375155643377064E-2</c:v>
                </c:pt>
                <c:pt idx="115">
                  <c:v>2.247962958673394E-2</c:v>
                </c:pt>
                <c:pt idx="116">
                  <c:v>2.2568848925960713E-2</c:v>
                </c:pt>
                <c:pt idx="117">
                  <c:v>2.2667349181896536E-2</c:v>
                </c:pt>
                <c:pt idx="118">
                  <c:v>2.2755765428465129E-2</c:v>
                </c:pt>
                <c:pt idx="119">
                  <c:v>2.284840305907208E-2</c:v>
                </c:pt>
                <c:pt idx="120">
                  <c:v>2.2931241390352144E-2</c:v>
                </c:pt>
                <c:pt idx="121">
                  <c:v>2.3010144173557012E-2</c:v>
                </c:pt>
                <c:pt idx="122">
                  <c:v>2.3087920311346426E-2</c:v>
                </c:pt>
                <c:pt idx="123">
                  <c:v>2.3160932491061919E-2</c:v>
                </c:pt>
                <c:pt idx="124">
                  <c:v>2.3234598330248969E-2</c:v>
                </c:pt>
                <c:pt idx="125">
                  <c:v>2.3310509563323239E-2</c:v>
                </c:pt>
                <c:pt idx="126">
                  <c:v>2.3376779565017301E-2</c:v>
                </c:pt>
                <c:pt idx="127">
                  <c:v>2.3443158605089321E-2</c:v>
                </c:pt>
                <c:pt idx="128">
                  <c:v>2.3504026450502476E-2</c:v>
                </c:pt>
                <c:pt idx="129">
                  <c:v>2.3567966307692464E-2</c:v>
                </c:pt>
                <c:pt idx="130">
                  <c:v>2.3623352501224635E-2</c:v>
                </c:pt>
                <c:pt idx="131">
                  <c:v>2.368126200271807E-2</c:v>
                </c:pt>
                <c:pt idx="132">
                  <c:v>2.3731239986520339E-2</c:v>
                </c:pt>
                <c:pt idx="133">
                  <c:v>2.3782940833862575E-2</c:v>
                </c:pt>
                <c:pt idx="134">
                  <c:v>2.382748612862557E-2</c:v>
                </c:pt>
                <c:pt idx="135">
                  <c:v>2.3873597850281168E-2</c:v>
                </c:pt>
                <c:pt idx="136">
                  <c:v>2.3911201465113257E-2</c:v>
                </c:pt>
                <c:pt idx="137">
                  <c:v>2.3949439070972932E-2</c:v>
                </c:pt>
                <c:pt idx="138">
                  <c:v>2.3987659710872453E-2</c:v>
                </c:pt>
                <c:pt idx="139">
                  <c:v>2.4017711566252976E-2</c:v>
                </c:pt>
                <c:pt idx="140">
                  <c:v>2.4052490320907831E-2</c:v>
                </c:pt>
                <c:pt idx="141">
                  <c:v>2.408232314434695E-2</c:v>
                </c:pt>
                <c:pt idx="142">
                  <c:v>2.4114530691568433E-2</c:v>
                </c:pt>
                <c:pt idx="143">
                  <c:v>2.4142112141110405E-2</c:v>
                </c:pt>
                <c:pt idx="144">
                  <c:v>2.4171938687111691E-2</c:v>
                </c:pt>
                <c:pt idx="145">
                  <c:v>2.4198394918260712E-2</c:v>
                </c:pt>
                <c:pt idx="146">
                  <c:v>2.4222705870859115E-2</c:v>
                </c:pt>
                <c:pt idx="147">
                  <c:v>2.4249057797453448E-2</c:v>
                </c:pt>
                <c:pt idx="148">
                  <c:v>2.4271126647218515E-2</c:v>
                </c:pt>
                <c:pt idx="149">
                  <c:v>2.4295096054956236E-2</c:v>
                </c:pt>
                <c:pt idx="150">
                  <c:v>2.4318309255389414E-2</c:v>
                </c:pt>
                <c:pt idx="151">
                  <c:v>2.4334285436551119E-2</c:v>
                </c:pt>
                <c:pt idx="152">
                  <c:v>2.4353508814517606E-2</c:v>
                </c:pt>
                <c:pt idx="153">
                  <c:v>2.4371141978367872E-2</c:v>
                </c:pt>
                <c:pt idx="154">
                  <c:v>2.4388128689546849E-2</c:v>
                </c:pt>
                <c:pt idx="155">
                  <c:v>2.4403373647697443E-2</c:v>
                </c:pt>
                <c:pt idx="156">
                  <c:v>2.4417535838609745E-2</c:v>
                </c:pt>
                <c:pt idx="157">
                  <c:v>2.4432800036740698E-2</c:v>
                </c:pt>
                <c:pt idx="158">
                  <c:v>2.4442758075403366E-2</c:v>
                </c:pt>
                <c:pt idx="159">
                  <c:v>2.4454258535630959E-2</c:v>
                </c:pt>
                <c:pt idx="160">
                  <c:v>2.4464605608046787E-2</c:v>
                </c:pt>
                <c:pt idx="161">
                  <c:v>2.4472910577583648E-2</c:v>
                </c:pt>
                <c:pt idx="162">
                  <c:v>2.4480834421893475E-2</c:v>
                </c:pt>
                <c:pt idx="163">
                  <c:v>2.4484408666677664E-2</c:v>
                </c:pt>
                <c:pt idx="164">
                  <c:v>2.4490665176316487E-2</c:v>
                </c:pt>
                <c:pt idx="165">
                  <c:v>2.4494711666092708E-2</c:v>
                </c:pt>
                <c:pt idx="166">
                  <c:v>2.4496938877127439E-2</c:v>
                </c:pt>
                <c:pt idx="167">
                  <c:v>2.4498691025202246E-2</c:v>
                </c:pt>
                <c:pt idx="168">
                  <c:v>2.4502570437363487E-2</c:v>
                </c:pt>
                <c:pt idx="169">
                  <c:v>2.4500493825693758E-2</c:v>
                </c:pt>
                <c:pt idx="170">
                  <c:v>2.4501324476379524E-2</c:v>
                </c:pt>
                <c:pt idx="171">
                  <c:v>2.4496248681508292E-2</c:v>
                </c:pt>
                <c:pt idx="172">
                  <c:v>2.4493429045548774E-2</c:v>
                </c:pt>
                <c:pt idx="173">
                  <c:v>2.4488471146785498E-2</c:v>
                </c:pt>
                <c:pt idx="174">
                  <c:v>2.448076294152076E-2</c:v>
                </c:pt>
                <c:pt idx="175">
                  <c:v>2.4474977149024742E-2</c:v>
                </c:pt>
                <c:pt idx="176">
                  <c:v>2.4467273833516916E-2</c:v>
                </c:pt>
                <c:pt idx="177">
                  <c:v>2.4460085151373885E-2</c:v>
                </c:pt>
                <c:pt idx="178">
                  <c:v>2.4451130345768561E-2</c:v>
                </c:pt>
                <c:pt idx="179">
                  <c:v>2.4442612005744158E-2</c:v>
                </c:pt>
                <c:pt idx="180">
                  <c:v>2.4435335071401443E-2</c:v>
                </c:pt>
                <c:pt idx="181">
                  <c:v>2.4424560159283779E-2</c:v>
                </c:pt>
                <c:pt idx="182">
                  <c:v>2.441409829531203E-2</c:v>
                </c:pt>
                <c:pt idx="183">
                  <c:v>2.4402077992569687E-2</c:v>
                </c:pt>
                <c:pt idx="184">
                  <c:v>2.4390285965950657E-2</c:v>
                </c:pt>
                <c:pt idx="185">
                  <c:v>2.4378828426595875E-2</c:v>
                </c:pt>
                <c:pt idx="186">
                  <c:v>2.4362714865110106E-2</c:v>
                </c:pt>
                <c:pt idx="187">
                  <c:v>2.4349265347860308E-2</c:v>
                </c:pt>
                <c:pt idx="188">
                  <c:v>2.4333796483569717E-2</c:v>
                </c:pt>
                <c:pt idx="189">
                  <c:v>2.4319120806367008E-2</c:v>
                </c:pt>
                <c:pt idx="190">
                  <c:v>2.4302303196631417E-2</c:v>
                </c:pt>
                <c:pt idx="191">
                  <c:v>2.4285325414585762E-2</c:v>
                </c:pt>
                <c:pt idx="192">
                  <c:v>2.4272575637478633E-2</c:v>
                </c:pt>
                <c:pt idx="193">
                  <c:v>2.4252781278118831E-2</c:v>
                </c:pt>
                <c:pt idx="194">
                  <c:v>2.423560047759411E-2</c:v>
                </c:pt>
                <c:pt idx="195">
                  <c:v>2.4214971347561436E-2</c:v>
                </c:pt>
                <c:pt idx="196">
                  <c:v>2.4196541478109356E-2</c:v>
                </c:pt>
                <c:pt idx="197">
                  <c:v>2.4175054445603486E-2</c:v>
                </c:pt>
                <c:pt idx="198">
                  <c:v>2.4153313542342365E-2</c:v>
                </c:pt>
                <c:pt idx="199">
                  <c:v>2.4131627807828879E-2</c:v>
                </c:pt>
                <c:pt idx="200">
                  <c:v>2.4109111185883769E-2</c:v>
                </c:pt>
                <c:pt idx="201">
                  <c:v>2.4086094521964932E-2</c:v>
                </c:pt>
                <c:pt idx="202">
                  <c:v>2.4062334790890767E-2</c:v>
                </c:pt>
                <c:pt idx="203">
                  <c:v>2.403838437927372E-2</c:v>
                </c:pt>
                <c:pt idx="204">
                  <c:v>2.4013370343163965E-2</c:v>
                </c:pt>
                <c:pt idx="205">
                  <c:v>2.3987679267958403E-2</c:v>
                </c:pt>
                <c:pt idx="206">
                  <c:v>2.3961422557203467E-2</c:v>
                </c:pt>
                <c:pt idx="207">
                  <c:v>2.3934400266614152E-2</c:v>
                </c:pt>
                <c:pt idx="208">
                  <c:v>2.3907913438459064E-2</c:v>
                </c:pt>
                <c:pt idx="209">
                  <c:v>2.3877896527196938E-2</c:v>
                </c:pt>
                <c:pt idx="210">
                  <c:v>2.3850418564335389E-2</c:v>
                </c:pt>
                <c:pt idx="211">
                  <c:v>2.3819518914388521E-2</c:v>
                </c:pt>
                <c:pt idx="212">
                  <c:v>2.3790815722190082E-2</c:v>
                </c:pt>
                <c:pt idx="213">
                  <c:v>2.3758568380233356E-2</c:v>
                </c:pt>
                <c:pt idx="214">
                  <c:v>2.3727367279280365E-2</c:v>
                </c:pt>
                <c:pt idx="215">
                  <c:v>2.3700169136256086E-2</c:v>
                </c:pt>
                <c:pt idx="216">
                  <c:v>2.3666228285625451E-2</c:v>
                </c:pt>
                <c:pt idx="217">
                  <c:v>2.363474813197609E-2</c:v>
                </c:pt>
                <c:pt idx="218">
                  <c:v>2.3598964595015495E-2</c:v>
                </c:pt>
                <c:pt idx="219">
                  <c:v>2.3566234661764548E-2</c:v>
                </c:pt>
                <c:pt idx="220">
                  <c:v>2.3529320070765362E-2</c:v>
                </c:pt>
                <c:pt idx="221">
                  <c:v>2.3493461930739694E-2</c:v>
                </c:pt>
                <c:pt idx="222">
                  <c:v>2.3456554278225773E-2</c:v>
                </c:pt>
                <c:pt idx="223">
                  <c:v>2.3419838963545603E-2</c:v>
                </c:pt>
                <c:pt idx="224">
                  <c:v>2.3381599999277393E-2</c:v>
                </c:pt>
                <c:pt idx="225">
                  <c:v>2.3343644764698284E-2</c:v>
                </c:pt>
                <c:pt idx="226">
                  <c:v>2.3304074488178738E-2</c:v>
                </c:pt>
                <c:pt idx="227">
                  <c:v>2.3269002266862463E-2</c:v>
                </c:pt>
                <c:pt idx="228">
                  <c:v>2.322923191778864E-2</c:v>
                </c:pt>
                <c:pt idx="229">
                  <c:v>2.318771986647206E-2</c:v>
                </c:pt>
                <c:pt idx="230">
                  <c:v>2.3146806095661596E-2</c:v>
                </c:pt>
                <c:pt idx="231">
                  <c:v>2.3104301665447479E-2</c:v>
                </c:pt>
                <c:pt idx="232">
                  <c:v>2.3062914734125077E-2</c:v>
                </c:pt>
                <c:pt idx="233">
                  <c:v>2.3019735810182591E-2</c:v>
                </c:pt>
                <c:pt idx="234">
                  <c:v>2.2979372234348393E-2</c:v>
                </c:pt>
                <c:pt idx="235">
                  <c:v>2.293517185898377E-2</c:v>
                </c:pt>
                <c:pt idx="236">
                  <c:v>2.2895142958617099E-2</c:v>
                </c:pt>
                <c:pt idx="237">
                  <c:v>2.2851279902607342E-2</c:v>
                </c:pt>
                <c:pt idx="238">
                  <c:v>2.2811680985480542E-2</c:v>
                </c:pt>
                <c:pt idx="239">
                  <c:v>2.277473869040406E-2</c:v>
                </c:pt>
                <c:pt idx="240">
                  <c:v>2.2731362934852357E-2</c:v>
                </c:pt>
                <c:pt idx="241">
                  <c:v>2.2692083815646892E-2</c:v>
                </c:pt>
                <c:pt idx="242">
                  <c:v>2.2649045498269547E-2</c:v>
                </c:pt>
                <c:pt idx="243">
                  <c:v>2.2608899474013424E-2</c:v>
                </c:pt>
                <c:pt idx="244">
                  <c:v>2.2567249270320604E-2</c:v>
                </c:pt>
                <c:pt idx="245">
                  <c:v>2.2528645036810725E-2</c:v>
                </c:pt>
                <c:pt idx="246">
                  <c:v>2.2486219894358204E-2</c:v>
                </c:pt>
                <c:pt idx="247">
                  <c:v>2.2447922369758143E-2</c:v>
                </c:pt>
                <c:pt idx="248">
                  <c:v>2.2405834384778431E-2</c:v>
                </c:pt>
                <c:pt idx="249">
                  <c:v>2.2366515946731069E-2</c:v>
                </c:pt>
                <c:pt idx="250">
                  <c:v>2.233006080152352E-2</c:v>
                </c:pt>
                <c:pt idx="251">
                  <c:v>2.2290920468894006E-2</c:v>
                </c:pt>
                <c:pt idx="252">
                  <c:v>2.2253372886118894E-2</c:v>
                </c:pt>
                <c:pt idx="253">
                  <c:v>2.2212108794845479E-2</c:v>
                </c:pt>
                <c:pt idx="254">
                  <c:v>2.2174868017071241E-2</c:v>
                </c:pt>
                <c:pt idx="255">
                  <c:v>2.2134003311133427E-2</c:v>
                </c:pt>
                <c:pt idx="256">
                  <c:v>2.2095588012841328E-2</c:v>
                </c:pt>
                <c:pt idx="257">
                  <c:v>2.2056353445130617E-2</c:v>
                </c:pt>
                <c:pt idx="258">
                  <c:v>2.201837943121469E-2</c:v>
                </c:pt>
                <c:pt idx="259">
                  <c:v>2.197947208941594E-2</c:v>
                </c:pt>
                <c:pt idx="260">
                  <c:v>2.1941814211072799E-2</c:v>
                </c:pt>
                <c:pt idx="261">
                  <c:v>2.1903234112482725E-2</c:v>
                </c:pt>
                <c:pt idx="262">
                  <c:v>2.1869685172522694E-2</c:v>
                </c:pt>
                <c:pt idx="263">
                  <c:v>2.1832484298492192E-2</c:v>
                </c:pt>
                <c:pt idx="264">
                  <c:v>2.1794377518212348E-2</c:v>
                </c:pt>
                <c:pt idx="265">
                  <c:v>2.1757492611327423E-2</c:v>
                </c:pt>
                <c:pt idx="266">
                  <c:v>2.1719713171680789E-2</c:v>
                </c:pt>
                <c:pt idx="267">
                  <c:v>2.1683340860645023E-2</c:v>
                </c:pt>
                <c:pt idx="268">
                  <c:v>2.1645560250427812E-2</c:v>
                </c:pt>
                <c:pt idx="269">
                  <c:v>2.1610537486040304E-2</c:v>
                </c:pt>
                <c:pt idx="270">
                  <c:v>2.1572180855914599E-2</c:v>
                </c:pt>
                <c:pt idx="271">
                  <c:v>2.15374642845488E-2</c:v>
                </c:pt>
                <c:pt idx="272">
                  <c:v>2.1499444448338928E-2</c:v>
                </c:pt>
                <c:pt idx="273">
                  <c:v>2.1463821746501778E-2</c:v>
                </c:pt>
                <c:pt idx="274">
                  <c:v>2.1432181965608182E-2</c:v>
                </c:pt>
                <c:pt idx="275">
                  <c:v>2.1394449757144943E-2</c:v>
                </c:pt>
                <c:pt idx="276">
                  <c:v>2.1360694015291774E-2</c:v>
                </c:pt>
                <c:pt idx="277">
                  <c:v>2.132442031304908E-2</c:v>
                </c:pt>
                <c:pt idx="278">
                  <c:v>2.1290828572104254E-2</c:v>
                </c:pt>
                <c:pt idx="279">
                  <c:v>2.1253828595034618E-2</c:v>
                </c:pt>
                <c:pt idx="280">
                  <c:v>2.1219363120883926E-2</c:v>
                </c:pt>
                <c:pt idx="281">
                  <c:v>2.1183949069219114E-2</c:v>
                </c:pt>
                <c:pt idx="282">
                  <c:v>2.1150898970527018E-2</c:v>
                </c:pt>
                <c:pt idx="283">
                  <c:v>2.1114712156882966E-2</c:v>
                </c:pt>
                <c:pt idx="284">
                  <c:v>2.1080806035221111E-2</c:v>
                </c:pt>
                <c:pt idx="285">
                  <c:v>2.1050748196094919E-2</c:v>
                </c:pt>
                <c:pt idx="286">
                  <c:v>2.1015911772166076E-2</c:v>
                </c:pt>
                <c:pt idx="287">
                  <c:v>2.098368486873561E-2</c:v>
                </c:pt>
                <c:pt idx="288">
                  <c:v>2.0948273311437358E-2</c:v>
                </c:pt>
                <c:pt idx="289">
                  <c:v>2.0916498110975706E-2</c:v>
                </c:pt>
                <c:pt idx="290">
                  <c:v>2.0881870039584954E-2</c:v>
                </c:pt>
                <c:pt idx="291">
                  <c:v>2.0849639187835896E-2</c:v>
                </c:pt>
                <c:pt idx="292">
                  <c:v>2.0817278351891087E-2</c:v>
                </c:pt>
                <c:pt idx="293">
                  <c:v>2.0786412410705966E-2</c:v>
                </c:pt>
                <c:pt idx="294">
                  <c:v>2.0755586264392251E-2</c:v>
                </c:pt>
                <c:pt idx="295">
                  <c:v>2.0726237541172126E-2</c:v>
                </c:pt>
                <c:pt idx="296">
                  <c:v>2.0696874050884075E-2</c:v>
                </c:pt>
                <c:pt idx="297">
                  <c:v>2.0671287720850171E-2</c:v>
                </c:pt>
                <c:pt idx="298">
                  <c:v>2.0644519356437168E-2</c:v>
                </c:pt>
                <c:pt idx="299">
                  <c:v>2.0618163285185304E-2</c:v>
                </c:pt>
                <c:pt idx="300">
                  <c:v>2.0592545492448849E-2</c:v>
                </c:pt>
                <c:pt idx="301">
                  <c:v>2.05672943146438E-2</c:v>
                </c:pt>
                <c:pt idx="302">
                  <c:v>2.0543850030578001E-2</c:v>
                </c:pt>
                <c:pt idx="303">
                  <c:v>2.0519105808236938E-2</c:v>
                </c:pt>
                <c:pt idx="304">
                  <c:v>2.0497457524989156E-2</c:v>
                </c:pt>
                <c:pt idx="305">
                  <c:v>2.0474465817803569E-2</c:v>
                </c:pt>
                <c:pt idx="306">
                  <c:v>2.0454310972873858E-2</c:v>
                </c:pt>
                <c:pt idx="307">
                  <c:v>2.0432961994710092E-2</c:v>
                </c:pt>
                <c:pt idx="308">
                  <c:v>2.0413406744473311E-2</c:v>
                </c:pt>
                <c:pt idx="309">
                  <c:v>2.0398115744214608E-2</c:v>
                </c:pt>
                <c:pt idx="310">
                  <c:v>2.0378292999923216E-2</c:v>
                </c:pt>
                <c:pt idx="311">
                  <c:v>2.0362776177458224E-2</c:v>
                </c:pt>
                <c:pt idx="312">
                  <c:v>2.0345038799869923E-2</c:v>
                </c:pt>
                <c:pt idx="313">
                  <c:v>2.0330378513220237E-2</c:v>
                </c:pt>
                <c:pt idx="314">
                  <c:v>2.0314711412628153E-2</c:v>
                </c:pt>
                <c:pt idx="315">
                  <c:v>2.0299687000841754E-2</c:v>
                </c:pt>
                <c:pt idx="316">
                  <c:v>2.0286439564944622E-2</c:v>
                </c:pt>
                <c:pt idx="317">
                  <c:v>2.0273638891509502E-2</c:v>
                </c:pt>
                <c:pt idx="318">
                  <c:v>2.0262007387265378E-2</c:v>
                </c:pt>
                <c:pt idx="319">
                  <c:v>2.025072582968062E-2</c:v>
                </c:pt>
                <c:pt idx="320">
                  <c:v>2.0241653429602331E-2</c:v>
                </c:pt>
                <c:pt idx="321">
                  <c:v>2.0234425047497711E-2</c:v>
                </c:pt>
                <c:pt idx="322">
                  <c:v>2.0224855426637083E-2</c:v>
                </c:pt>
                <c:pt idx="323">
                  <c:v>2.0217609801720576E-2</c:v>
                </c:pt>
                <c:pt idx="324">
                  <c:v>2.0209972271167363E-2</c:v>
                </c:pt>
                <c:pt idx="325">
                  <c:v>2.0203775554054882E-2</c:v>
                </c:pt>
                <c:pt idx="326">
                  <c:v>2.0196795952011449E-2</c:v>
                </c:pt>
                <c:pt idx="327">
                  <c:v>2.0192069028581193E-2</c:v>
                </c:pt>
                <c:pt idx="328">
                  <c:v>2.0187690441439539E-2</c:v>
                </c:pt>
                <c:pt idx="329">
                  <c:v>2.0184456292730697E-2</c:v>
                </c:pt>
                <c:pt idx="330">
                  <c:v>2.0181719748459948E-2</c:v>
                </c:pt>
                <c:pt idx="331">
                  <c:v>2.0179379739273969E-2</c:v>
                </c:pt>
                <c:pt idx="332">
                  <c:v>2.0181228823276859E-2</c:v>
                </c:pt>
                <c:pt idx="333">
                  <c:v>2.0179206390099826E-2</c:v>
                </c:pt>
                <c:pt idx="334">
                  <c:v>2.0180221947497995E-2</c:v>
                </c:pt>
                <c:pt idx="335">
                  <c:v>2.0180923471120583E-2</c:v>
                </c:pt>
                <c:pt idx="336">
                  <c:v>2.0183456924755372E-2</c:v>
                </c:pt>
                <c:pt idx="337">
                  <c:v>2.0186402648273958E-2</c:v>
                </c:pt>
                <c:pt idx="338">
                  <c:v>2.0188674568473029E-2</c:v>
                </c:pt>
                <c:pt idx="339">
                  <c:v>2.0193762529911136E-2</c:v>
                </c:pt>
                <c:pt idx="340">
                  <c:v>2.0198178799330301E-2</c:v>
                </c:pt>
                <c:pt idx="341">
                  <c:v>2.0204884568438448E-2</c:v>
                </c:pt>
                <c:pt idx="342">
                  <c:v>2.0210817897142169E-2</c:v>
                </c:pt>
                <c:pt idx="343">
                  <c:v>2.0218438328545869E-2</c:v>
                </c:pt>
                <c:pt idx="344">
                  <c:v>2.0227473735084163E-2</c:v>
                </c:pt>
                <c:pt idx="345">
                  <c:v>2.023683527179275E-2</c:v>
                </c:pt>
                <c:pt idx="346">
                  <c:v>2.0248465362839502E-2</c:v>
                </c:pt>
                <c:pt idx="347">
                  <c:v>2.0256987797128673E-2</c:v>
                </c:pt>
                <c:pt idx="348">
                  <c:v>2.0268395127420156E-2</c:v>
                </c:pt>
                <c:pt idx="349">
                  <c:v>2.0280638289046846E-2</c:v>
                </c:pt>
                <c:pt idx="350">
                  <c:v>2.0290225915131965E-2</c:v>
                </c:pt>
                <c:pt idx="351">
                  <c:v>2.0303541757341382E-2</c:v>
                </c:pt>
                <c:pt idx="352">
                  <c:v>2.0315098466453942E-2</c:v>
                </c:pt>
                <c:pt idx="353">
                  <c:v>2.0329149198406577E-2</c:v>
                </c:pt>
                <c:pt idx="354">
                  <c:v>2.0340984707640345E-2</c:v>
                </c:pt>
                <c:pt idx="355">
                  <c:v>2.0354516998910312E-2</c:v>
                </c:pt>
                <c:pt idx="356">
                  <c:v>2.036772459545521E-2</c:v>
                </c:pt>
                <c:pt idx="357">
                  <c:v>2.0379957568451696E-2</c:v>
                </c:pt>
                <c:pt idx="358">
                  <c:v>2.0394331625406225E-2</c:v>
                </c:pt>
                <c:pt idx="359">
                  <c:v>2.0406838818406856E-2</c:v>
                </c:pt>
                <c:pt idx="360">
                  <c:v>2.0421508212364881E-2</c:v>
                </c:pt>
                <c:pt idx="361">
                  <c:v>2.0432689277076876E-2</c:v>
                </c:pt>
                <c:pt idx="362">
                  <c:v>2.0447647672910196E-2</c:v>
                </c:pt>
                <c:pt idx="363">
                  <c:v>2.0460697412641053E-2</c:v>
                </c:pt>
                <c:pt idx="364">
                  <c:v>2.0475951202114945E-2</c:v>
                </c:pt>
                <c:pt idx="365">
                  <c:v>2.0489275060832784E-2</c:v>
                </c:pt>
                <c:pt idx="366">
                  <c:v>2.0504824290891507E-2</c:v>
                </c:pt>
                <c:pt idx="367">
                  <c:v>2.0519476358816215E-2</c:v>
                </c:pt>
                <c:pt idx="368">
                  <c:v>2.0533202032488148E-2</c:v>
                </c:pt>
                <c:pt idx="369">
                  <c:v>2.054918460115716E-2</c:v>
                </c:pt>
                <c:pt idx="370">
                  <c:v>2.0563184371732927E-2</c:v>
                </c:pt>
                <c:pt idx="371">
                  <c:v>2.0579462534292645E-2</c:v>
                </c:pt>
                <c:pt idx="372">
                  <c:v>2.059623855095186E-2</c:v>
                </c:pt>
                <c:pt idx="373">
                  <c:v>2.0608635979796012E-2</c:v>
                </c:pt>
                <c:pt idx="374">
                  <c:v>2.0623519582866456E-2</c:v>
                </c:pt>
                <c:pt idx="375">
                  <c:v>2.0640040749741018E-2</c:v>
                </c:pt>
                <c:pt idx="376">
                  <c:v>2.0655195635054722E-2</c:v>
                </c:pt>
                <c:pt idx="377">
                  <c:v>2.0672015219488079E-2</c:v>
                </c:pt>
                <c:pt idx="378">
                  <c:v>2.0687105083417777E-2</c:v>
                </c:pt>
                <c:pt idx="379">
                  <c:v>2.0705899534209773E-2</c:v>
                </c:pt>
                <c:pt idx="380">
                  <c:v>2.0720590618373599E-2</c:v>
                </c:pt>
                <c:pt idx="381">
                  <c:v>2.073900297895E-2</c:v>
                </c:pt>
                <c:pt idx="382">
                  <c:v>2.0753438948599094E-2</c:v>
                </c:pt>
                <c:pt idx="383">
                  <c:v>2.0770399983081011E-2</c:v>
                </c:pt>
                <c:pt idx="384">
                  <c:v>2.0788254349722677E-2</c:v>
                </c:pt>
                <c:pt idx="385">
                  <c:v>2.0803418880637168E-2</c:v>
                </c:pt>
                <c:pt idx="386">
                  <c:v>2.0821895713114512E-2</c:v>
                </c:pt>
                <c:pt idx="387">
                  <c:v>2.0838206087751207E-2</c:v>
                </c:pt>
                <c:pt idx="388">
                  <c:v>2.0856978916780851E-2</c:v>
                </c:pt>
                <c:pt idx="389">
                  <c:v>2.0873563164028972E-2</c:v>
                </c:pt>
                <c:pt idx="390">
                  <c:v>2.0891740565194786E-2</c:v>
                </c:pt>
                <c:pt idx="391">
                  <c:v>2.0910129980645255E-2</c:v>
                </c:pt>
                <c:pt idx="392">
                  <c:v>2.0928913152705068E-2</c:v>
                </c:pt>
                <c:pt idx="393">
                  <c:v>2.0946038368297282E-2</c:v>
                </c:pt>
                <c:pt idx="394">
                  <c:v>2.0966008762859794E-2</c:v>
                </c:pt>
                <c:pt idx="395">
                  <c:v>2.0983091433273971E-2</c:v>
                </c:pt>
                <c:pt idx="396">
                  <c:v>2.1000622044042485E-2</c:v>
                </c:pt>
                <c:pt idx="397">
                  <c:v>2.1018885615555906E-2</c:v>
                </c:pt>
                <c:pt idx="398">
                  <c:v>2.1036995350919529E-2</c:v>
                </c:pt>
                <c:pt idx="399">
                  <c:v>2.1057065355895278E-2</c:v>
                </c:pt>
                <c:pt idx="400">
                  <c:v>2.1075446542504556E-2</c:v>
                </c:pt>
                <c:pt idx="401">
                  <c:v>2.1095815152458851E-2</c:v>
                </c:pt>
                <c:pt idx="402">
                  <c:v>2.1115082326900521E-2</c:v>
                </c:pt>
                <c:pt idx="403">
                  <c:v>2.1133555919243673E-2</c:v>
                </c:pt>
                <c:pt idx="404">
                  <c:v>2.1154669126558841E-2</c:v>
                </c:pt>
                <c:pt idx="405">
                  <c:v>2.1173367397549592E-2</c:v>
                </c:pt>
                <c:pt idx="406">
                  <c:v>2.1194467647356476E-2</c:v>
                </c:pt>
                <c:pt idx="407">
                  <c:v>2.1215529220625619E-2</c:v>
                </c:pt>
                <c:pt idx="408">
                  <c:v>2.1231174407698897E-2</c:v>
                </c:pt>
                <c:pt idx="409">
                  <c:v>2.1248601772215221E-2</c:v>
                </c:pt>
                <c:pt idx="410">
                  <c:v>2.1266771241702426E-2</c:v>
                </c:pt>
                <c:pt idx="411">
                  <c:v>2.1282247076559554E-2</c:v>
                </c:pt>
                <c:pt idx="412">
                  <c:v>2.1298110380737052E-2</c:v>
                </c:pt>
                <c:pt idx="413">
                  <c:v>2.1311079488618257E-2</c:v>
                </c:pt>
                <c:pt idx="414">
                  <c:v>2.1326682635698653E-2</c:v>
                </c:pt>
                <c:pt idx="415">
                  <c:v>2.1336710645048853E-2</c:v>
                </c:pt>
                <c:pt idx="416">
                  <c:v>2.1349308306402956E-2</c:v>
                </c:pt>
                <c:pt idx="417">
                  <c:v>2.1356827915426042E-2</c:v>
                </c:pt>
                <c:pt idx="418">
                  <c:v>2.1365764399600046E-2</c:v>
                </c:pt>
                <c:pt idx="419">
                  <c:v>2.1373599285429291E-2</c:v>
                </c:pt>
                <c:pt idx="420">
                  <c:v>2.1377727508129496E-2</c:v>
                </c:pt>
                <c:pt idx="421">
                  <c:v>2.1383800189050256E-2</c:v>
                </c:pt>
                <c:pt idx="422">
                  <c:v>2.138723289867268E-2</c:v>
                </c:pt>
                <c:pt idx="423">
                  <c:v>2.1391020714311471E-2</c:v>
                </c:pt>
                <c:pt idx="424">
                  <c:v>2.1392308327185066E-2</c:v>
                </c:pt>
                <c:pt idx="425">
                  <c:v>2.1393810994871483E-2</c:v>
                </c:pt>
                <c:pt idx="426">
                  <c:v>2.1394839170503947E-2</c:v>
                </c:pt>
                <c:pt idx="427">
                  <c:v>2.1392994707545007E-2</c:v>
                </c:pt>
                <c:pt idx="428">
                  <c:v>2.1391159427297718E-2</c:v>
                </c:pt>
                <c:pt idx="429">
                  <c:v>2.138717025271138E-2</c:v>
                </c:pt>
                <c:pt idx="430">
                  <c:v>2.1383048923293232E-2</c:v>
                </c:pt>
                <c:pt idx="431">
                  <c:v>2.1378462911806805E-2</c:v>
                </c:pt>
                <c:pt idx="432">
                  <c:v>2.1369511438603675E-2</c:v>
                </c:pt>
                <c:pt idx="433">
                  <c:v>2.1362497685898176E-2</c:v>
                </c:pt>
                <c:pt idx="434">
                  <c:v>2.1352611927398742E-2</c:v>
                </c:pt>
                <c:pt idx="435">
                  <c:v>2.1343452358075377E-2</c:v>
                </c:pt>
                <c:pt idx="436">
                  <c:v>2.1331282426807058E-2</c:v>
                </c:pt>
                <c:pt idx="437">
                  <c:v>2.1319568501232511E-2</c:v>
                </c:pt>
                <c:pt idx="438">
                  <c:v>2.1308021492156541E-2</c:v>
                </c:pt>
                <c:pt idx="439">
                  <c:v>2.1293025280175338E-2</c:v>
                </c:pt>
                <c:pt idx="440">
                  <c:v>2.1278601602326301E-2</c:v>
                </c:pt>
                <c:pt idx="441">
                  <c:v>2.1261500654504811E-2</c:v>
                </c:pt>
                <c:pt idx="442">
                  <c:v>2.1244312190941174E-2</c:v>
                </c:pt>
                <c:pt idx="443">
                  <c:v>2.1223907805729962E-2</c:v>
                </c:pt>
                <c:pt idx="444">
                  <c:v>2.1204928643658128E-2</c:v>
                </c:pt>
                <c:pt idx="445">
                  <c:v>2.1182891587815132E-2</c:v>
                </c:pt>
                <c:pt idx="446">
                  <c:v>2.1161803408389579E-2</c:v>
                </c:pt>
                <c:pt idx="447">
                  <c:v>2.1137446508654654E-2</c:v>
                </c:pt>
                <c:pt idx="448">
                  <c:v>2.1113254250022601E-2</c:v>
                </c:pt>
                <c:pt idx="449">
                  <c:v>2.1091618073264359E-2</c:v>
                </c:pt>
                <c:pt idx="450">
                  <c:v>2.1063294107072868E-2</c:v>
                </c:pt>
                <c:pt idx="451">
                  <c:v>2.1037444172906431E-2</c:v>
                </c:pt>
                <c:pt idx="452">
                  <c:v>2.1007845035216837E-2</c:v>
                </c:pt>
                <c:pt idx="453">
                  <c:v>2.0979585966501894E-2</c:v>
                </c:pt>
                <c:pt idx="454">
                  <c:v>2.0947199266325423E-2</c:v>
                </c:pt>
                <c:pt idx="455">
                  <c:v>2.0915453519944154E-2</c:v>
                </c:pt>
                <c:pt idx="456">
                  <c:v>2.0881893134987256E-2</c:v>
                </c:pt>
                <c:pt idx="457">
                  <c:v>2.0848189338739311E-2</c:v>
                </c:pt>
                <c:pt idx="458">
                  <c:v>2.0812341430826851E-2</c:v>
                </c:pt>
                <c:pt idx="459">
                  <c:v>2.0776498758690549E-2</c:v>
                </c:pt>
                <c:pt idx="460">
                  <c:v>2.0738363328266982E-2</c:v>
                </c:pt>
                <c:pt idx="461">
                  <c:v>2.0703974767643785E-2</c:v>
                </c:pt>
                <c:pt idx="462">
                  <c:v>2.0665005267922604E-2</c:v>
                </c:pt>
                <c:pt idx="463">
                  <c:v>2.0623535044983585E-2</c:v>
                </c:pt>
                <c:pt idx="464">
                  <c:v>2.0582600160663635E-2</c:v>
                </c:pt>
                <c:pt idx="465">
                  <c:v>2.0539502198631328E-2</c:v>
                </c:pt>
                <c:pt idx="466">
                  <c:v>2.0497300210795114E-2</c:v>
                </c:pt>
                <c:pt idx="467">
                  <c:v>2.0454252655679267E-2</c:v>
                </c:pt>
                <c:pt idx="468">
                  <c:v>2.0413738565054518E-2</c:v>
                </c:pt>
                <c:pt idx="469">
                  <c:v>2.036969114196184E-2</c:v>
                </c:pt>
                <c:pt idx="470">
                  <c:v>2.033020860100036E-2</c:v>
                </c:pt>
                <c:pt idx="471">
                  <c:v>2.0287395535922605E-2</c:v>
                </c:pt>
                <c:pt idx="472">
                  <c:v>2.0247824841531249E-2</c:v>
                </c:pt>
                <c:pt idx="473">
                  <c:v>2.0212257837535934E-2</c:v>
                </c:pt>
                <c:pt idx="474">
                  <c:v>2.0172643338291579E-2</c:v>
                </c:pt>
                <c:pt idx="475">
                  <c:v>2.0135875434070902E-2</c:v>
                </c:pt>
                <c:pt idx="476">
                  <c:v>2.0096126813080376E-2</c:v>
                </c:pt>
                <c:pt idx="477">
                  <c:v>2.0060496291398371E-2</c:v>
                </c:pt>
                <c:pt idx="478">
                  <c:v>2.0021968214941569E-2</c:v>
                </c:pt>
                <c:pt idx="479">
                  <c:v>1.9986351077845445E-2</c:v>
                </c:pt>
                <c:pt idx="480">
                  <c:v>1.9950167280125036E-2</c:v>
                </c:pt>
                <c:pt idx="481">
                  <c:v>1.9916804941561572E-2</c:v>
                </c:pt>
                <c:pt idx="482">
                  <c:v>1.988070946118085E-2</c:v>
                </c:pt>
                <c:pt idx="483">
                  <c:v>1.9847396777914011E-2</c:v>
                </c:pt>
                <c:pt idx="484">
                  <c:v>1.9816836211101682E-2</c:v>
                </c:pt>
                <c:pt idx="485">
                  <c:v>1.9783548548945207E-2</c:v>
                </c:pt>
                <c:pt idx="486">
                  <c:v>1.9753079207282941E-2</c:v>
                </c:pt>
                <c:pt idx="487">
                  <c:v>1.9720895784938405E-2</c:v>
                </c:pt>
                <c:pt idx="488">
                  <c:v>1.9691458049264161E-2</c:v>
                </c:pt>
                <c:pt idx="489">
                  <c:v>1.9659637176682902E-2</c:v>
                </c:pt>
                <c:pt idx="490">
                  <c:v>1.9630111103239423E-2</c:v>
                </c:pt>
                <c:pt idx="491">
                  <c:v>1.9600519221895964E-2</c:v>
                </c:pt>
                <c:pt idx="492">
                  <c:v>1.9572270351141674E-2</c:v>
                </c:pt>
                <c:pt idx="493">
                  <c:v>1.9543890722136231E-2</c:v>
                </c:pt>
                <c:pt idx="494">
                  <c:v>1.9516785394352143E-2</c:v>
                </c:pt>
                <c:pt idx="495">
                  <c:v>1.9489618051715576E-2</c:v>
                </c:pt>
                <c:pt idx="496">
                  <c:v>1.9466494349121458E-2</c:v>
                </c:pt>
                <c:pt idx="497">
                  <c:v>1.9441055729881116E-2</c:v>
                </c:pt>
                <c:pt idx="498">
                  <c:v>1.941565613102272E-2</c:v>
                </c:pt>
                <c:pt idx="499">
                  <c:v>1.9391360629536367E-2</c:v>
                </c:pt>
                <c:pt idx="500">
                  <c:v>1.9367173551432589E-2</c:v>
                </c:pt>
                <c:pt idx="501">
                  <c:v>1.9344503836043556E-2</c:v>
                </c:pt>
                <c:pt idx="502">
                  <c:v>1.9320708532104009E-2</c:v>
                </c:pt>
                <c:pt idx="503">
                  <c:v>1.9299555532079016E-2</c:v>
                </c:pt>
                <c:pt idx="504">
                  <c:v>1.9276904007893E-2</c:v>
                </c:pt>
                <c:pt idx="505">
                  <c:v>1.9256872400571098E-2</c:v>
                </c:pt>
                <c:pt idx="506">
                  <c:v>1.9235454368861156E-2</c:v>
                </c:pt>
                <c:pt idx="507">
                  <c:v>1.9215713261634532E-2</c:v>
                </c:pt>
                <c:pt idx="508">
                  <c:v>1.919964180306925E-2</c:v>
                </c:pt>
                <c:pt idx="509">
                  <c:v>1.9179965499122899E-2</c:v>
                </c:pt>
                <c:pt idx="510">
                  <c:v>1.916291667164435E-2</c:v>
                </c:pt>
                <c:pt idx="511">
                  <c:v>1.9144288442291012E-2</c:v>
                </c:pt>
                <c:pt idx="512">
                  <c:v>1.912837769955501E-2</c:v>
                </c:pt>
                <c:pt idx="513">
                  <c:v>1.9111225573405187E-2</c:v>
                </c:pt>
                <c:pt idx="514">
                  <c:v>1.9094897969872043E-2</c:v>
                </c:pt>
                <c:pt idx="515">
                  <c:v>1.9079721331317672E-2</c:v>
                </c:pt>
                <c:pt idx="516">
                  <c:v>1.9065054142956013E-2</c:v>
                </c:pt>
                <c:pt idx="517">
                  <c:v>1.9051090378902617E-2</c:v>
                </c:pt>
                <c:pt idx="518">
                  <c:v>1.9037564327565801E-2</c:v>
                </c:pt>
                <c:pt idx="519">
                  <c:v>1.902601141324899E-2</c:v>
                </c:pt>
                <c:pt idx="520">
                  <c:v>1.9013827994732634E-2</c:v>
                </c:pt>
                <c:pt idx="521">
                  <c:v>1.9002959763215956E-2</c:v>
                </c:pt>
                <c:pt idx="522">
                  <c:v>1.8991348691826969E-2</c:v>
                </c:pt>
                <c:pt idx="523">
                  <c:v>1.8981626697613749E-2</c:v>
                </c:pt>
                <c:pt idx="524">
                  <c:v>1.8971162985315818E-2</c:v>
                </c:pt>
                <c:pt idx="525">
                  <c:v>1.8961176602565272E-2</c:v>
                </c:pt>
                <c:pt idx="526">
                  <c:v>1.8952532916556263E-2</c:v>
                </c:pt>
                <c:pt idx="527">
                  <c:v>1.8943973699083325E-2</c:v>
                </c:pt>
                <c:pt idx="528">
                  <c:v>1.8936458789481195E-2</c:v>
                </c:pt>
                <c:pt idx="529">
                  <c:v>1.892895462140684E-2</c:v>
                </c:pt>
                <c:pt idx="530">
                  <c:v>1.8922159298839343E-2</c:v>
                </c:pt>
                <c:pt idx="531">
                  <c:v>1.8917306162778934E-2</c:v>
                </c:pt>
                <c:pt idx="532">
                  <c:v>1.8912186506183447E-2</c:v>
                </c:pt>
                <c:pt idx="533">
                  <c:v>1.8906756650087692E-2</c:v>
                </c:pt>
                <c:pt idx="534">
                  <c:v>1.8901837435654979E-2</c:v>
                </c:pt>
                <c:pt idx="535">
                  <c:v>1.889819605691944E-2</c:v>
                </c:pt>
                <c:pt idx="536">
                  <c:v>1.8895686737910613E-2</c:v>
                </c:pt>
                <c:pt idx="537">
                  <c:v>1.8890891209575177E-2</c:v>
                </c:pt>
                <c:pt idx="538">
                  <c:v>1.8888599780381096E-2</c:v>
                </c:pt>
                <c:pt idx="539">
                  <c:v>1.8886649128993425E-2</c:v>
                </c:pt>
                <c:pt idx="540">
                  <c:v>1.8885393917875522E-2</c:v>
                </c:pt>
                <c:pt idx="541">
                  <c:v>1.888458310365668E-2</c:v>
                </c:pt>
                <c:pt idx="542">
                  <c:v>1.8883862617910765E-2</c:v>
                </c:pt>
                <c:pt idx="543">
                  <c:v>1.888666496517314E-2</c:v>
                </c:pt>
                <c:pt idx="544">
                  <c:v>1.8885959902998468E-2</c:v>
                </c:pt>
                <c:pt idx="545">
                  <c:v>1.8887773837142668E-2</c:v>
                </c:pt>
                <c:pt idx="546">
                  <c:v>1.8889230550872094E-2</c:v>
                </c:pt>
                <c:pt idx="547">
                  <c:v>1.8892098254466465E-2</c:v>
                </c:pt>
                <c:pt idx="548">
                  <c:v>1.8895231969194175E-2</c:v>
                </c:pt>
                <c:pt idx="549">
                  <c:v>1.8897030496349672E-2</c:v>
                </c:pt>
                <c:pt idx="550">
                  <c:v>1.890172833448121E-2</c:v>
                </c:pt>
                <c:pt idx="551">
                  <c:v>1.8905688899647433E-2</c:v>
                </c:pt>
                <c:pt idx="552">
                  <c:v>1.8911682593565911E-2</c:v>
                </c:pt>
                <c:pt idx="553">
                  <c:v>1.8916712826993216E-2</c:v>
                </c:pt>
                <c:pt idx="554">
                  <c:v>1.8923467376909819E-2</c:v>
                </c:pt>
                <c:pt idx="555">
                  <c:v>1.8930935326685522E-2</c:v>
                </c:pt>
                <c:pt idx="556">
                  <c:v>1.8939379597933983E-2</c:v>
                </c:pt>
                <c:pt idx="557">
                  <c:v>1.894584915127907E-2</c:v>
                </c:pt>
                <c:pt idx="558">
                  <c:v>1.8953453595720208E-2</c:v>
                </c:pt>
                <c:pt idx="559">
                  <c:v>1.8963162723012319E-2</c:v>
                </c:pt>
                <c:pt idx="560">
                  <c:v>1.8970498217013434E-2</c:v>
                </c:pt>
                <c:pt idx="561">
                  <c:v>1.8981312080388824E-2</c:v>
                </c:pt>
                <c:pt idx="562">
                  <c:v>1.8991004283768785E-2</c:v>
                </c:pt>
                <c:pt idx="563">
                  <c:v>1.9002941959510907E-2</c:v>
                </c:pt>
                <c:pt idx="564">
                  <c:v>1.9013686633028177E-2</c:v>
                </c:pt>
                <c:pt idx="565">
                  <c:v>1.9026748274062671E-2</c:v>
                </c:pt>
                <c:pt idx="566">
                  <c:v>1.9039458652615134E-2</c:v>
                </c:pt>
                <c:pt idx="567">
                  <c:v>1.9051741343961249E-2</c:v>
                </c:pt>
                <c:pt idx="568">
                  <c:v>1.9066446238487706E-2</c:v>
                </c:pt>
                <c:pt idx="569">
                  <c:v>1.9079781323442728E-2</c:v>
                </c:pt>
                <c:pt idx="570">
                  <c:v>1.9095610697875642E-2</c:v>
                </c:pt>
                <c:pt idx="571">
                  <c:v>1.9112286309577533E-2</c:v>
                </c:pt>
                <c:pt idx="572">
                  <c:v>1.9125408078902326E-2</c:v>
                </c:pt>
                <c:pt idx="573">
                  <c:v>1.9141860599360596E-2</c:v>
                </c:pt>
                <c:pt idx="574">
                  <c:v>1.9158888480304372E-2</c:v>
                </c:pt>
                <c:pt idx="575">
                  <c:v>1.9176396733812526E-2</c:v>
                </c:pt>
                <c:pt idx="576">
                  <c:v>1.9194545826978816E-2</c:v>
                </c:pt>
                <c:pt idx="577">
                  <c:v>1.9212890686469638E-2</c:v>
                </c:pt>
                <c:pt idx="578">
                  <c:v>1.9233015423219584E-2</c:v>
                </c:pt>
                <c:pt idx="579">
                  <c:v>1.9250732400208661E-2</c:v>
                </c:pt>
              </c:numCache>
            </c:numRef>
          </c:val>
          <c:smooth val="0"/>
        </c:ser>
        <c:ser>
          <c:idx val="1"/>
          <c:order val="1"/>
          <c:tx>
            <c:v>OIS 6M Curve</c:v>
          </c:tx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41943</c:v>
                </c:pt>
                <c:pt idx="1">
                  <c:v>41974</c:v>
                </c:pt>
                <c:pt idx="2">
                  <c:v>42006</c:v>
                </c:pt>
                <c:pt idx="3">
                  <c:v>42037</c:v>
                </c:pt>
                <c:pt idx="4">
                  <c:v>42065</c:v>
                </c:pt>
                <c:pt idx="5">
                  <c:v>42096</c:v>
                </c:pt>
                <c:pt idx="6">
                  <c:v>42128</c:v>
                </c:pt>
                <c:pt idx="7">
                  <c:v>42159</c:v>
                </c:pt>
                <c:pt idx="8">
                  <c:v>42191</c:v>
                </c:pt>
                <c:pt idx="9">
                  <c:v>42222</c:v>
                </c:pt>
                <c:pt idx="10">
                  <c:v>42254</c:v>
                </c:pt>
                <c:pt idx="11">
                  <c:v>42284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42411</c:v>
                </c:pt>
                <c:pt idx="16">
                  <c:v>42440</c:v>
                </c:pt>
                <c:pt idx="17">
                  <c:v>42471</c:v>
                </c:pt>
                <c:pt idx="18">
                  <c:v>42501</c:v>
                </c:pt>
                <c:pt idx="19">
                  <c:v>42534</c:v>
                </c:pt>
                <c:pt idx="20">
                  <c:v>42564</c:v>
                </c:pt>
                <c:pt idx="21">
                  <c:v>42597</c:v>
                </c:pt>
                <c:pt idx="22">
                  <c:v>42628</c:v>
                </c:pt>
                <c:pt idx="23">
                  <c:v>42660</c:v>
                </c:pt>
                <c:pt idx="24">
                  <c:v>42691</c:v>
                </c:pt>
                <c:pt idx="25">
                  <c:v>42723</c:v>
                </c:pt>
                <c:pt idx="26">
                  <c:v>42754</c:v>
                </c:pt>
                <c:pt idx="27">
                  <c:v>42786</c:v>
                </c:pt>
                <c:pt idx="28">
                  <c:v>42814</c:v>
                </c:pt>
                <c:pt idx="29">
                  <c:v>42845</c:v>
                </c:pt>
                <c:pt idx="30">
                  <c:v>42877</c:v>
                </c:pt>
                <c:pt idx="31">
                  <c:v>42908</c:v>
                </c:pt>
                <c:pt idx="32">
                  <c:v>42940</c:v>
                </c:pt>
                <c:pt idx="33">
                  <c:v>42971</c:v>
                </c:pt>
                <c:pt idx="34">
                  <c:v>43003</c:v>
                </c:pt>
                <c:pt idx="35">
                  <c:v>43033</c:v>
                </c:pt>
                <c:pt idx="36">
                  <c:v>43066</c:v>
                </c:pt>
                <c:pt idx="37">
                  <c:v>43096</c:v>
                </c:pt>
                <c:pt idx="38">
                  <c:v>43129</c:v>
                </c:pt>
                <c:pt idx="39">
                  <c:v>43159</c:v>
                </c:pt>
                <c:pt idx="40">
                  <c:v>43187</c:v>
                </c:pt>
                <c:pt idx="41">
                  <c:v>43220</c:v>
                </c:pt>
                <c:pt idx="42">
                  <c:v>43250</c:v>
                </c:pt>
                <c:pt idx="43">
                  <c:v>43283</c:v>
                </c:pt>
                <c:pt idx="44">
                  <c:v>43314</c:v>
                </c:pt>
                <c:pt idx="45">
                  <c:v>43346</c:v>
                </c:pt>
                <c:pt idx="46">
                  <c:v>43376</c:v>
                </c:pt>
                <c:pt idx="47">
                  <c:v>43409</c:v>
                </c:pt>
                <c:pt idx="48">
                  <c:v>43439</c:v>
                </c:pt>
                <c:pt idx="49">
                  <c:v>43472</c:v>
                </c:pt>
                <c:pt idx="50">
                  <c:v>43503</c:v>
                </c:pt>
                <c:pt idx="51">
                  <c:v>43531</c:v>
                </c:pt>
                <c:pt idx="52">
                  <c:v>43563</c:v>
                </c:pt>
                <c:pt idx="53">
                  <c:v>43593</c:v>
                </c:pt>
                <c:pt idx="54">
                  <c:v>43626</c:v>
                </c:pt>
                <c:pt idx="55">
                  <c:v>43656</c:v>
                </c:pt>
                <c:pt idx="56">
                  <c:v>43689</c:v>
                </c:pt>
                <c:pt idx="57">
                  <c:v>43720</c:v>
                </c:pt>
                <c:pt idx="58">
                  <c:v>43752</c:v>
                </c:pt>
                <c:pt idx="59">
                  <c:v>43783</c:v>
                </c:pt>
                <c:pt idx="60">
                  <c:v>43815</c:v>
                </c:pt>
                <c:pt idx="61">
                  <c:v>43846</c:v>
                </c:pt>
                <c:pt idx="62">
                  <c:v>43878</c:v>
                </c:pt>
                <c:pt idx="63">
                  <c:v>43907</c:v>
                </c:pt>
                <c:pt idx="64">
                  <c:v>43938</c:v>
                </c:pt>
                <c:pt idx="65">
                  <c:v>43969</c:v>
                </c:pt>
                <c:pt idx="66">
                  <c:v>44000</c:v>
                </c:pt>
                <c:pt idx="67">
                  <c:v>44032</c:v>
                </c:pt>
                <c:pt idx="68">
                  <c:v>44063</c:v>
                </c:pt>
                <c:pt idx="69">
                  <c:v>44095</c:v>
                </c:pt>
                <c:pt idx="70">
                  <c:v>44125</c:v>
                </c:pt>
                <c:pt idx="71">
                  <c:v>44158</c:v>
                </c:pt>
                <c:pt idx="72">
                  <c:v>44188</c:v>
                </c:pt>
                <c:pt idx="73">
                  <c:v>44221</c:v>
                </c:pt>
                <c:pt idx="74">
                  <c:v>44252</c:v>
                </c:pt>
                <c:pt idx="75">
                  <c:v>44280</c:v>
                </c:pt>
                <c:pt idx="76">
                  <c:v>44312</c:v>
                </c:pt>
                <c:pt idx="77">
                  <c:v>44342</c:v>
                </c:pt>
                <c:pt idx="78">
                  <c:v>44375</c:v>
                </c:pt>
                <c:pt idx="79">
                  <c:v>44405</c:v>
                </c:pt>
                <c:pt idx="80">
                  <c:v>44438</c:v>
                </c:pt>
                <c:pt idx="81">
                  <c:v>44469</c:v>
                </c:pt>
                <c:pt idx="82">
                  <c:v>44501</c:v>
                </c:pt>
                <c:pt idx="83">
                  <c:v>44531</c:v>
                </c:pt>
                <c:pt idx="84">
                  <c:v>44564</c:v>
                </c:pt>
                <c:pt idx="85">
                  <c:v>44595</c:v>
                </c:pt>
                <c:pt idx="86">
                  <c:v>44623</c:v>
                </c:pt>
                <c:pt idx="87">
                  <c:v>44655</c:v>
                </c:pt>
                <c:pt idx="88">
                  <c:v>44685</c:v>
                </c:pt>
                <c:pt idx="89">
                  <c:v>44718</c:v>
                </c:pt>
                <c:pt idx="90">
                  <c:v>44748</c:v>
                </c:pt>
                <c:pt idx="91">
                  <c:v>44781</c:v>
                </c:pt>
                <c:pt idx="92">
                  <c:v>44812</c:v>
                </c:pt>
                <c:pt idx="93">
                  <c:v>44844</c:v>
                </c:pt>
                <c:pt idx="94">
                  <c:v>44875</c:v>
                </c:pt>
                <c:pt idx="95">
                  <c:v>44907</c:v>
                </c:pt>
                <c:pt idx="96">
                  <c:v>44938</c:v>
                </c:pt>
                <c:pt idx="97">
                  <c:v>44970</c:v>
                </c:pt>
                <c:pt idx="98">
                  <c:v>44998</c:v>
                </c:pt>
                <c:pt idx="99">
                  <c:v>45029</c:v>
                </c:pt>
                <c:pt idx="100">
                  <c:v>45061</c:v>
                </c:pt>
                <c:pt idx="101">
                  <c:v>45092</c:v>
                </c:pt>
                <c:pt idx="102">
                  <c:v>45124</c:v>
                </c:pt>
                <c:pt idx="103">
                  <c:v>45155</c:v>
                </c:pt>
                <c:pt idx="104">
                  <c:v>45187</c:v>
                </c:pt>
                <c:pt idx="105">
                  <c:v>45217</c:v>
                </c:pt>
                <c:pt idx="106">
                  <c:v>45250</c:v>
                </c:pt>
                <c:pt idx="107">
                  <c:v>45280</c:v>
                </c:pt>
                <c:pt idx="108">
                  <c:v>45313</c:v>
                </c:pt>
                <c:pt idx="109">
                  <c:v>45344</c:v>
                </c:pt>
                <c:pt idx="110">
                  <c:v>45373</c:v>
                </c:pt>
                <c:pt idx="111">
                  <c:v>45404</c:v>
                </c:pt>
                <c:pt idx="112">
                  <c:v>45434</c:v>
                </c:pt>
                <c:pt idx="113">
                  <c:v>45467</c:v>
                </c:pt>
                <c:pt idx="114">
                  <c:v>45497</c:v>
                </c:pt>
                <c:pt idx="115">
                  <c:v>45530</c:v>
                </c:pt>
                <c:pt idx="116">
                  <c:v>45561</c:v>
                </c:pt>
                <c:pt idx="117">
                  <c:v>45593</c:v>
                </c:pt>
                <c:pt idx="118">
                  <c:v>45624</c:v>
                </c:pt>
                <c:pt idx="119">
                  <c:v>45656</c:v>
                </c:pt>
                <c:pt idx="120">
                  <c:v>45687</c:v>
                </c:pt>
                <c:pt idx="121">
                  <c:v>45716</c:v>
                </c:pt>
                <c:pt idx="122">
                  <c:v>45744</c:v>
                </c:pt>
                <c:pt idx="123">
                  <c:v>45775</c:v>
                </c:pt>
                <c:pt idx="124">
                  <c:v>45805</c:v>
                </c:pt>
                <c:pt idx="125">
                  <c:v>45838</c:v>
                </c:pt>
                <c:pt idx="126">
                  <c:v>45868</c:v>
                </c:pt>
                <c:pt idx="127">
                  <c:v>45901</c:v>
                </c:pt>
                <c:pt idx="128">
                  <c:v>45931</c:v>
                </c:pt>
                <c:pt idx="129">
                  <c:v>45964</c:v>
                </c:pt>
                <c:pt idx="130">
                  <c:v>45994</c:v>
                </c:pt>
                <c:pt idx="131">
                  <c:v>46027</c:v>
                </c:pt>
                <c:pt idx="132">
                  <c:v>46058</c:v>
                </c:pt>
                <c:pt idx="133">
                  <c:v>46086</c:v>
                </c:pt>
                <c:pt idx="134">
                  <c:v>46119</c:v>
                </c:pt>
                <c:pt idx="135">
                  <c:v>46149</c:v>
                </c:pt>
                <c:pt idx="136">
                  <c:v>46181</c:v>
                </c:pt>
                <c:pt idx="137">
                  <c:v>46211</c:v>
                </c:pt>
                <c:pt idx="138">
                  <c:v>46244</c:v>
                </c:pt>
                <c:pt idx="139">
                  <c:v>46275</c:v>
                </c:pt>
                <c:pt idx="140">
                  <c:v>46307</c:v>
                </c:pt>
                <c:pt idx="141">
                  <c:v>46338</c:v>
                </c:pt>
                <c:pt idx="142">
                  <c:v>46370</c:v>
                </c:pt>
                <c:pt idx="143">
                  <c:v>46401</c:v>
                </c:pt>
                <c:pt idx="144">
                  <c:v>46433</c:v>
                </c:pt>
                <c:pt idx="145">
                  <c:v>46461</c:v>
                </c:pt>
                <c:pt idx="146">
                  <c:v>46492</c:v>
                </c:pt>
                <c:pt idx="147">
                  <c:v>46524</c:v>
                </c:pt>
                <c:pt idx="148">
                  <c:v>46555</c:v>
                </c:pt>
                <c:pt idx="149">
                  <c:v>46587</c:v>
                </c:pt>
                <c:pt idx="150">
                  <c:v>46618</c:v>
                </c:pt>
                <c:pt idx="151">
                  <c:v>46650</c:v>
                </c:pt>
                <c:pt idx="152">
                  <c:v>46680</c:v>
                </c:pt>
                <c:pt idx="153">
                  <c:v>46713</c:v>
                </c:pt>
                <c:pt idx="154">
                  <c:v>46743</c:v>
                </c:pt>
                <c:pt idx="155">
                  <c:v>46776</c:v>
                </c:pt>
                <c:pt idx="156">
                  <c:v>46807</c:v>
                </c:pt>
                <c:pt idx="157">
                  <c:v>46836</c:v>
                </c:pt>
                <c:pt idx="158">
                  <c:v>46867</c:v>
                </c:pt>
                <c:pt idx="159">
                  <c:v>46897</c:v>
                </c:pt>
                <c:pt idx="160">
                  <c:v>46930</c:v>
                </c:pt>
                <c:pt idx="161">
                  <c:v>46960</c:v>
                </c:pt>
                <c:pt idx="162">
                  <c:v>46993</c:v>
                </c:pt>
                <c:pt idx="163">
                  <c:v>47024</c:v>
                </c:pt>
                <c:pt idx="164">
                  <c:v>47056</c:v>
                </c:pt>
                <c:pt idx="165">
                  <c:v>47087</c:v>
                </c:pt>
                <c:pt idx="166">
                  <c:v>47120</c:v>
                </c:pt>
                <c:pt idx="167">
                  <c:v>47151</c:v>
                </c:pt>
                <c:pt idx="168">
                  <c:v>47179</c:v>
                </c:pt>
                <c:pt idx="169">
                  <c:v>47211</c:v>
                </c:pt>
                <c:pt idx="170">
                  <c:v>47241</c:v>
                </c:pt>
                <c:pt idx="171">
                  <c:v>47273</c:v>
                </c:pt>
                <c:pt idx="172">
                  <c:v>47303</c:v>
                </c:pt>
                <c:pt idx="173">
                  <c:v>47336</c:v>
                </c:pt>
                <c:pt idx="174">
                  <c:v>47367</c:v>
                </c:pt>
                <c:pt idx="175">
                  <c:v>47399</c:v>
                </c:pt>
                <c:pt idx="176">
                  <c:v>47430</c:v>
                </c:pt>
                <c:pt idx="177">
                  <c:v>47462</c:v>
                </c:pt>
                <c:pt idx="178">
                  <c:v>47493</c:v>
                </c:pt>
                <c:pt idx="179">
                  <c:v>47525</c:v>
                </c:pt>
                <c:pt idx="180">
                  <c:v>47553</c:v>
                </c:pt>
                <c:pt idx="181">
                  <c:v>47584</c:v>
                </c:pt>
                <c:pt idx="182">
                  <c:v>47616</c:v>
                </c:pt>
                <c:pt idx="183">
                  <c:v>47647</c:v>
                </c:pt>
                <c:pt idx="184">
                  <c:v>47679</c:v>
                </c:pt>
                <c:pt idx="185">
                  <c:v>47710</c:v>
                </c:pt>
                <c:pt idx="186">
                  <c:v>47742</c:v>
                </c:pt>
                <c:pt idx="187">
                  <c:v>47772</c:v>
                </c:pt>
                <c:pt idx="188">
                  <c:v>47805</c:v>
                </c:pt>
                <c:pt idx="189">
                  <c:v>47835</c:v>
                </c:pt>
                <c:pt idx="190">
                  <c:v>47868</c:v>
                </c:pt>
                <c:pt idx="191">
                  <c:v>47899</c:v>
                </c:pt>
                <c:pt idx="192">
                  <c:v>47927</c:v>
                </c:pt>
                <c:pt idx="193">
                  <c:v>47959</c:v>
                </c:pt>
                <c:pt idx="194">
                  <c:v>47989</c:v>
                </c:pt>
                <c:pt idx="195">
                  <c:v>48022</c:v>
                </c:pt>
                <c:pt idx="196">
                  <c:v>48052</c:v>
                </c:pt>
                <c:pt idx="197">
                  <c:v>48085</c:v>
                </c:pt>
                <c:pt idx="198">
                  <c:v>48116</c:v>
                </c:pt>
                <c:pt idx="199">
                  <c:v>48148</c:v>
                </c:pt>
                <c:pt idx="200">
                  <c:v>48179</c:v>
                </c:pt>
                <c:pt idx="201">
                  <c:v>48211</c:v>
                </c:pt>
                <c:pt idx="202">
                  <c:v>48242</c:v>
                </c:pt>
                <c:pt idx="203">
                  <c:v>48274</c:v>
                </c:pt>
                <c:pt idx="204">
                  <c:v>48305</c:v>
                </c:pt>
                <c:pt idx="205">
                  <c:v>48337</c:v>
                </c:pt>
                <c:pt idx="206">
                  <c:v>48368</c:v>
                </c:pt>
                <c:pt idx="207">
                  <c:v>48400</c:v>
                </c:pt>
                <c:pt idx="208">
                  <c:v>48431</c:v>
                </c:pt>
                <c:pt idx="209">
                  <c:v>48463</c:v>
                </c:pt>
                <c:pt idx="210">
                  <c:v>48493</c:v>
                </c:pt>
                <c:pt idx="211">
                  <c:v>48526</c:v>
                </c:pt>
                <c:pt idx="212">
                  <c:v>48556</c:v>
                </c:pt>
                <c:pt idx="213">
                  <c:v>48589</c:v>
                </c:pt>
                <c:pt idx="214">
                  <c:v>48620</c:v>
                </c:pt>
                <c:pt idx="215">
                  <c:v>48648</c:v>
                </c:pt>
                <c:pt idx="216">
                  <c:v>48680</c:v>
                </c:pt>
                <c:pt idx="217">
                  <c:v>48710</c:v>
                </c:pt>
                <c:pt idx="218">
                  <c:v>48743</c:v>
                </c:pt>
                <c:pt idx="219">
                  <c:v>48773</c:v>
                </c:pt>
                <c:pt idx="220">
                  <c:v>48806</c:v>
                </c:pt>
                <c:pt idx="221">
                  <c:v>48837</c:v>
                </c:pt>
                <c:pt idx="222">
                  <c:v>48869</c:v>
                </c:pt>
                <c:pt idx="223">
                  <c:v>48900</c:v>
                </c:pt>
                <c:pt idx="224">
                  <c:v>48932</c:v>
                </c:pt>
                <c:pt idx="225">
                  <c:v>48963</c:v>
                </c:pt>
                <c:pt idx="226">
                  <c:v>48995</c:v>
                </c:pt>
                <c:pt idx="227">
                  <c:v>49023</c:v>
                </c:pt>
                <c:pt idx="228">
                  <c:v>49054</c:v>
                </c:pt>
                <c:pt idx="229">
                  <c:v>49086</c:v>
                </c:pt>
                <c:pt idx="230">
                  <c:v>49117</c:v>
                </c:pt>
                <c:pt idx="231">
                  <c:v>49149</c:v>
                </c:pt>
                <c:pt idx="232">
                  <c:v>49180</c:v>
                </c:pt>
                <c:pt idx="233">
                  <c:v>49212</c:v>
                </c:pt>
                <c:pt idx="234">
                  <c:v>49242</c:v>
                </c:pt>
                <c:pt idx="235">
                  <c:v>49275</c:v>
                </c:pt>
                <c:pt idx="236">
                  <c:v>49305</c:v>
                </c:pt>
                <c:pt idx="237">
                  <c:v>49338</c:v>
                </c:pt>
                <c:pt idx="238">
                  <c:v>49368</c:v>
                </c:pt>
                <c:pt idx="239">
                  <c:v>49396</c:v>
                </c:pt>
                <c:pt idx="240">
                  <c:v>49429</c:v>
                </c:pt>
                <c:pt idx="241">
                  <c:v>49459</c:v>
                </c:pt>
                <c:pt idx="242">
                  <c:v>49492</c:v>
                </c:pt>
                <c:pt idx="243">
                  <c:v>49523</c:v>
                </c:pt>
                <c:pt idx="244">
                  <c:v>49555</c:v>
                </c:pt>
                <c:pt idx="245">
                  <c:v>49585</c:v>
                </c:pt>
                <c:pt idx="246">
                  <c:v>49618</c:v>
                </c:pt>
                <c:pt idx="247">
                  <c:v>49648</c:v>
                </c:pt>
                <c:pt idx="248">
                  <c:v>49681</c:v>
                </c:pt>
                <c:pt idx="249">
                  <c:v>49712</c:v>
                </c:pt>
                <c:pt idx="250">
                  <c:v>49741</c:v>
                </c:pt>
                <c:pt idx="251">
                  <c:v>49772</c:v>
                </c:pt>
                <c:pt idx="252">
                  <c:v>49802</c:v>
                </c:pt>
                <c:pt idx="253">
                  <c:v>49835</c:v>
                </c:pt>
                <c:pt idx="254">
                  <c:v>49865</c:v>
                </c:pt>
                <c:pt idx="255">
                  <c:v>49898</c:v>
                </c:pt>
                <c:pt idx="256">
                  <c:v>49929</c:v>
                </c:pt>
                <c:pt idx="257">
                  <c:v>49961</c:v>
                </c:pt>
                <c:pt idx="258">
                  <c:v>49992</c:v>
                </c:pt>
                <c:pt idx="259">
                  <c:v>50024</c:v>
                </c:pt>
                <c:pt idx="260">
                  <c:v>50055</c:v>
                </c:pt>
                <c:pt idx="261">
                  <c:v>50087</c:v>
                </c:pt>
                <c:pt idx="262">
                  <c:v>50115</c:v>
                </c:pt>
                <c:pt idx="263">
                  <c:v>50146</c:v>
                </c:pt>
                <c:pt idx="264">
                  <c:v>50178</c:v>
                </c:pt>
                <c:pt idx="265">
                  <c:v>50209</c:v>
                </c:pt>
                <c:pt idx="266">
                  <c:v>50241</c:v>
                </c:pt>
                <c:pt idx="267">
                  <c:v>50272</c:v>
                </c:pt>
                <c:pt idx="268">
                  <c:v>50304</c:v>
                </c:pt>
                <c:pt idx="269">
                  <c:v>50334</c:v>
                </c:pt>
                <c:pt idx="270">
                  <c:v>50367</c:v>
                </c:pt>
                <c:pt idx="271">
                  <c:v>50397</c:v>
                </c:pt>
                <c:pt idx="272">
                  <c:v>50430</c:v>
                </c:pt>
                <c:pt idx="273">
                  <c:v>50461</c:v>
                </c:pt>
                <c:pt idx="274">
                  <c:v>50489</c:v>
                </c:pt>
                <c:pt idx="275">
                  <c:v>50522</c:v>
                </c:pt>
                <c:pt idx="276">
                  <c:v>50552</c:v>
                </c:pt>
                <c:pt idx="277">
                  <c:v>50584</c:v>
                </c:pt>
                <c:pt idx="278">
                  <c:v>50614</c:v>
                </c:pt>
                <c:pt idx="279">
                  <c:v>50647</c:v>
                </c:pt>
                <c:pt idx="280">
                  <c:v>50678</c:v>
                </c:pt>
                <c:pt idx="281">
                  <c:v>50710</c:v>
                </c:pt>
                <c:pt idx="282">
                  <c:v>50740</c:v>
                </c:pt>
                <c:pt idx="283">
                  <c:v>50773</c:v>
                </c:pt>
                <c:pt idx="284">
                  <c:v>50804</c:v>
                </c:pt>
                <c:pt idx="285">
                  <c:v>50832</c:v>
                </c:pt>
                <c:pt idx="286">
                  <c:v>50864</c:v>
                </c:pt>
                <c:pt idx="287">
                  <c:v>50894</c:v>
                </c:pt>
                <c:pt idx="288">
                  <c:v>50927</c:v>
                </c:pt>
                <c:pt idx="289">
                  <c:v>50957</c:v>
                </c:pt>
                <c:pt idx="290">
                  <c:v>50990</c:v>
                </c:pt>
                <c:pt idx="291">
                  <c:v>51021</c:v>
                </c:pt>
                <c:pt idx="292">
                  <c:v>51053</c:v>
                </c:pt>
                <c:pt idx="293">
                  <c:v>51084</c:v>
                </c:pt>
                <c:pt idx="294">
                  <c:v>51116</c:v>
                </c:pt>
                <c:pt idx="295">
                  <c:v>51147</c:v>
                </c:pt>
                <c:pt idx="296">
                  <c:v>51179</c:v>
                </c:pt>
                <c:pt idx="297">
                  <c:v>51208</c:v>
                </c:pt>
                <c:pt idx="298">
                  <c:v>51239</c:v>
                </c:pt>
                <c:pt idx="299">
                  <c:v>51270</c:v>
                </c:pt>
                <c:pt idx="300">
                  <c:v>51301</c:v>
                </c:pt>
                <c:pt idx="301">
                  <c:v>51333</c:v>
                </c:pt>
                <c:pt idx="302">
                  <c:v>51364</c:v>
                </c:pt>
                <c:pt idx="303">
                  <c:v>51396</c:v>
                </c:pt>
                <c:pt idx="304">
                  <c:v>51426</c:v>
                </c:pt>
                <c:pt idx="305">
                  <c:v>51459</c:v>
                </c:pt>
                <c:pt idx="306">
                  <c:v>51489</c:v>
                </c:pt>
                <c:pt idx="307">
                  <c:v>51522</c:v>
                </c:pt>
                <c:pt idx="308">
                  <c:v>51553</c:v>
                </c:pt>
                <c:pt idx="309">
                  <c:v>51581</c:v>
                </c:pt>
                <c:pt idx="310">
                  <c:v>51614</c:v>
                </c:pt>
                <c:pt idx="311">
                  <c:v>51644</c:v>
                </c:pt>
                <c:pt idx="312">
                  <c:v>51676</c:v>
                </c:pt>
                <c:pt idx="313">
                  <c:v>51706</c:v>
                </c:pt>
                <c:pt idx="314">
                  <c:v>51739</c:v>
                </c:pt>
                <c:pt idx="315">
                  <c:v>51770</c:v>
                </c:pt>
                <c:pt idx="316">
                  <c:v>51802</c:v>
                </c:pt>
                <c:pt idx="317">
                  <c:v>51833</c:v>
                </c:pt>
                <c:pt idx="318">
                  <c:v>51865</c:v>
                </c:pt>
                <c:pt idx="319">
                  <c:v>51896</c:v>
                </c:pt>
                <c:pt idx="320">
                  <c:v>51925</c:v>
                </c:pt>
                <c:pt idx="321">
                  <c:v>51953</c:v>
                </c:pt>
                <c:pt idx="322">
                  <c:v>51984</c:v>
                </c:pt>
                <c:pt idx="323">
                  <c:v>52014</c:v>
                </c:pt>
                <c:pt idx="324">
                  <c:v>52047</c:v>
                </c:pt>
                <c:pt idx="325">
                  <c:v>52077</c:v>
                </c:pt>
                <c:pt idx="326">
                  <c:v>52110</c:v>
                </c:pt>
                <c:pt idx="327">
                  <c:v>52140</c:v>
                </c:pt>
                <c:pt idx="328">
                  <c:v>52173</c:v>
                </c:pt>
                <c:pt idx="329">
                  <c:v>52203</c:v>
                </c:pt>
                <c:pt idx="330">
                  <c:v>52236</c:v>
                </c:pt>
                <c:pt idx="331">
                  <c:v>52267</c:v>
                </c:pt>
                <c:pt idx="332">
                  <c:v>52295</c:v>
                </c:pt>
                <c:pt idx="333">
                  <c:v>52327</c:v>
                </c:pt>
                <c:pt idx="334">
                  <c:v>52357</c:v>
                </c:pt>
                <c:pt idx="335">
                  <c:v>52390</c:v>
                </c:pt>
                <c:pt idx="336">
                  <c:v>52420</c:v>
                </c:pt>
                <c:pt idx="337">
                  <c:v>52453</c:v>
                </c:pt>
                <c:pt idx="338">
                  <c:v>52484</c:v>
                </c:pt>
                <c:pt idx="339">
                  <c:v>52516</c:v>
                </c:pt>
                <c:pt idx="340">
                  <c:v>52547</c:v>
                </c:pt>
                <c:pt idx="341">
                  <c:v>52579</c:v>
                </c:pt>
                <c:pt idx="342">
                  <c:v>52610</c:v>
                </c:pt>
                <c:pt idx="343">
                  <c:v>52642</c:v>
                </c:pt>
                <c:pt idx="344">
                  <c:v>52671</c:v>
                </c:pt>
                <c:pt idx="345">
                  <c:v>52706</c:v>
                </c:pt>
                <c:pt idx="346">
                  <c:v>52736</c:v>
                </c:pt>
                <c:pt idx="347">
                  <c:v>52768</c:v>
                </c:pt>
                <c:pt idx="348">
                  <c:v>52798</c:v>
                </c:pt>
                <c:pt idx="349">
                  <c:v>52831</c:v>
                </c:pt>
                <c:pt idx="350">
                  <c:v>52862</c:v>
                </c:pt>
                <c:pt idx="351">
                  <c:v>52894</c:v>
                </c:pt>
                <c:pt idx="352">
                  <c:v>52925</c:v>
                </c:pt>
                <c:pt idx="353">
                  <c:v>52958</c:v>
                </c:pt>
                <c:pt idx="354">
                  <c:v>52989</c:v>
                </c:pt>
                <c:pt idx="355">
                  <c:v>53020</c:v>
                </c:pt>
                <c:pt idx="356">
                  <c:v>53048</c:v>
                </c:pt>
                <c:pt idx="357">
                  <c:v>53079</c:v>
                </c:pt>
                <c:pt idx="358">
                  <c:v>53111</c:v>
                </c:pt>
                <c:pt idx="359">
                  <c:v>53142</c:v>
                </c:pt>
                <c:pt idx="360">
                  <c:v>53174</c:v>
                </c:pt>
                <c:pt idx="361">
                  <c:v>53205</c:v>
                </c:pt>
                <c:pt idx="362">
                  <c:v>53237</c:v>
                </c:pt>
                <c:pt idx="363">
                  <c:v>53268</c:v>
                </c:pt>
                <c:pt idx="364">
                  <c:v>53300</c:v>
                </c:pt>
                <c:pt idx="365">
                  <c:v>53331</c:v>
                </c:pt>
                <c:pt idx="366">
                  <c:v>53363</c:v>
                </c:pt>
                <c:pt idx="367">
                  <c:v>53391</c:v>
                </c:pt>
                <c:pt idx="368">
                  <c:v>53422</c:v>
                </c:pt>
                <c:pt idx="369">
                  <c:v>53454</c:v>
                </c:pt>
                <c:pt idx="370">
                  <c:v>53485</c:v>
                </c:pt>
                <c:pt idx="371">
                  <c:v>53517</c:v>
                </c:pt>
                <c:pt idx="372">
                  <c:v>53548</c:v>
                </c:pt>
                <c:pt idx="373">
                  <c:v>53580</c:v>
                </c:pt>
                <c:pt idx="374">
                  <c:v>53610</c:v>
                </c:pt>
                <c:pt idx="375">
                  <c:v>53643</c:v>
                </c:pt>
                <c:pt idx="376">
                  <c:v>53673</c:v>
                </c:pt>
                <c:pt idx="377">
                  <c:v>53706</c:v>
                </c:pt>
                <c:pt idx="378">
                  <c:v>53737</c:v>
                </c:pt>
                <c:pt idx="379">
                  <c:v>53765</c:v>
                </c:pt>
                <c:pt idx="380">
                  <c:v>53798</c:v>
                </c:pt>
                <c:pt idx="381">
                  <c:v>53828</c:v>
                </c:pt>
                <c:pt idx="382">
                  <c:v>53860</c:v>
                </c:pt>
                <c:pt idx="383">
                  <c:v>53890</c:v>
                </c:pt>
                <c:pt idx="384">
                  <c:v>53923</c:v>
                </c:pt>
                <c:pt idx="385">
                  <c:v>53954</c:v>
                </c:pt>
                <c:pt idx="386">
                  <c:v>53986</c:v>
                </c:pt>
                <c:pt idx="387">
                  <c:v>54017</c:v>
                </c:pt>
                <c:pt idx="388">
                  <c:v>54049</c:v>
                </c:pt>
                <c:pt idx="389">
                  <c:v>54080</c:v>
                </c:pt>
                <c:pt idx="390">
                  <c:v>54112</c:v>
                </c:pt>
                <c:pt idx="391">
                  <c:v>54141</c:v>
                </c:pt>
                <c:pt idx="392">
                  <c:v>54172</c:v>
                </c:pt>
                <c:pt idx="393">
                  <c:v>54203</c:v>
                </c:pt>
                <c:pt idx="394">
                  <c:v>54234</c:v>
                </c:pt>
                <c:pt idx="395">
                  <c:v>54266</c:v>
                </c:pt>
                <c:pt idx="396">
                  <c:v>54297</c:v>
                </c:pt>
                <c:pt idx="397">
                  <c:v>54329</c:v>
                </c:pt>
                <c:pt idx="398">
                  <c:v>54359</c:v>
                </c:pt>
                <c:pt idx="399">
                  <c:v>54392</c:v>
                </c:pt>
                <c:pt idx="400">
                  <c:v>54422</c:v>
                </c:pt>
                <c:pt idx="401">
                  <c:v>54455</c:v>
                </c:pt>
                <c:pt idx="402">
                  <c:v>54483</c:v>
                </c:pt>
                <c:pt idx="403">
                  <c:v>54514</c:v>
                </c:pt>
                <c:pt idx="404">
                  <c:v>54546</c:v>
                </c:pt>
                <c:pt idx="405">
                  <c:v>54577</c:v>
                </c:pt>
                <c:pt idx="406">
                  <c:v>54609</c:v>
                </c:pt>
                <c:pt idx="407">
                  <c:v>54640</c:v>
                </c:pt>
                <c:pt idx="408">
                  <c:v>54672</c:v>
                </c:pt>
                <c:pt idx="409">
                  <c:v>54702</c:v>
                </c:pt>
                <c:pt idx="410">
                  <c:v>54735</c:v>
                </c:pt>
                <c:pt idx="411">
                  <c:v>54765</c:v>
                </c:pt>
                <c:pt idx="412">
                  <c:v>54798</c:v>
                </c:pt>
                <c:pt idx="413">
                  <c:v>54829</c:v>
                </c:pt>
                <c:pt idx="414">
                  <c:v>54857</c:v>
                </c:pt>
                <c:pt idx="415">
                  <c:v>54890</c:v>
                </c:pt>
                <c:pt idx="416">
                  <c:v>54920</c:v>
                </c:pt>
                <c:pt idx="417">
                  <c:v>54952</c:v>
                </c:pt>
                <c:pt idx="418">
                  <c:v>54982</c:v>
                </c:pt>
                <c:pt idx="419">
                  <c:v>55015</c:v>
                </c:pt>
                <c:pt idx="420">
                  <c:v>55046</c:v>
                </c:pt>
                <c:pt idx="421">
                  <c:v>55078</c:v>
                </c:pt>
                <c:pt idx="422">
                  <c:v>55109</c:v>
                </c:pt>
                <c:pt idx="423">
                  <c:v>55141</c:v>
                </c:pt>
                <c:pt idx="424">
                  <c:v>55172</c:v>
                </c:pt>
                <c:pt idx="425">
                  <c:v>55204</c:v>
                </c:pt>
                <c:pt idx="426">
                  <c:v>55232</c:v>
                </c:pt>
                <c:pt idx="427">
                  <c:v>55263</c:v>
                </c:pt>
                <c:pt idx="428">
                  <c:v>55295</c:v>
                </c:pt>
                <c:pt idx="429">
                  <c:v>55326</c:v>
                </c:pt>
                <c:pt idx="430">
                  <c:v>55358</c:v>
                </c:pt>
                <c:pt idx="431">
                  <c:v>55389</c:v>
                </c:pt>
                <c:pt idx="432">
                  <c:v>55421</c:v>
                </c:pt>
                <c:pt idx="433">
                  <c:v>55451</c:v>
                </c:pt>
                <c:pt idx="434">
                  <c:v>55484</c:v>
                </c:pt>
                <c:pt idx="435">
                  <c:v>55514</c:v>
                </c:pt>
                <c:pt idx="436">
                  <c:v>55547</c:v>
                </c:pt>
                <c:pt idx="437">
                  <c:v>55578</c:v>
                </c:pt>
                <c:pt idx="438">
                  <c:v>55607</c:v>
                </c:pt>
                <c:pt idx="439">
                  <c:v>55638</c:v>
                </c:pt>
                <c:pt idx="440">
                  <c:v>55668</c:v>
                </c:pt>
                <c:pt idx="441">
                  <c:v>55701</c:v>
                </c:pt>
                <c:pt idx="442">
                  <c:v>55732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55857</c:v>
                </c:pt>
                <c:pt idx="447">
                  <c:v>55890</c:v>
                </c:pt>
                <c:pt idx="448">
                  <c:v>55921</c:v>
                </c:pt>
                <c:pt idx="449">
                  <c:v>55949</c:v>
                </c:pt>
                <c:pt idx="450">
                  <c:v>55982</c:v>
                </c:pt>
                <c:pt idx="451">
                  <c:v>56012</c:v>
                </c:pt>
                <c:pt idx="452">
                  <c:v>56044</c:v>
                </c:pt>
                <c:pt idx="453">
                  <c:v>56074</c:v>
                </c:pt>
                <c:pt idx="454">
                  <c:v>56107</c:v>
                </c:pt>
                <c:pt idx="455">
                  <c:v>56138</c:v>
                </c:pt>
                <c:pt idx="456">
                  <c:v>56170</c:v>
                </c:pt>
                <c:pt idx="457">
                  <c:v>56201</c:v>
                </c:pt>
                <c:pt idx="458">
                  <c:v>56233</c:v>
                </c:pt>
                <c:pt idx="459">
                  <c:v>56264</c:v>
                </c:pt>
                <c:pt idx="460">
                  <c:v>56296</c:v>
                </c:pt>
                <c:pt idx="461">
                  <c:v>56324</c:v>
                </c:pt>
                <c:pt idx="462">
                  <c:v>56355</c:v>
                </c:pt>
                <c:pt idx="463">
                  <c:v>56387</c:v>
                </c:pt>
                <c:pt idx="464">
                  <c:v>56418</c:v>
                </c:pt>
                <c:pt idx="465">
                  <c:v>56450</c:v>
                </c:pt>
                <c:pt idx="466">
                  <c:v>56481</c:v>
                </c:pt>
                <c:pt idx="467">
                  <c:v>56513</c:v>
                </c:pt>
                <c:pt idx="468">
                  <c:v>56543</c:v>
                </c:pt>
                <c:pt idx="469">
                  <c:v>56576</c:v>
                </c:pt>
                <c:pt idx="470">
                  <c:v>56606</c:v>
                </c:pt>
                <c:pt idx="471">
                  <c:v>56639</c:v>
                </c:pt>
                <c:pt idx="472">
                  <c:v>56670</c:v>
                </c:pt>
                <c:pt idx="473">
                  <c:v>56698</c:v>
                </c:pt>
                <c:pt idx="474">
                  <c:v>56730</c:v>
                </c:pt>
                <c:pt idx="475">
                  <c:v>56760</c:v>
                </c:pt>
                <c:pt idx="476">
                  <c:v>56793</c:v>
                </c:pt>
                <c:pt idx="477">
                  <c:v>56823</c:v>
                </c:pt>
                <c:pt idx="478">
                  <c:v>56856</c:v>
                </c:pt>
                <c:pt idx="479">
                  <c:v>56887</c:v>
                </c:pt>
                <c:pt idx="480">
                  <c:v>56919</c:v>
                </c:pt>
                <c:pt idx="481">
                  <c:v>56949</c:v>
                </c:pt>
                <c:pt idx="482">
                  <c:v>56982</c:v>
                </c:pt>
                <c:pt idx="483">
                  <c:v>57013</c:v>
                </c:pt>
                <c:pt idx="484">
                  <c:v>57042</c:v>
                </c:pt>
                <c:pt idx="485">
                  <c:v>57074</c:v>
                </c:pt>
                <c:pt idx="486">
                  <c:v>57104</c:v>
                </c:pt>
                <c:pt idx="487">
                  <c:v>57136</c:v>
                </c:pt>
                <c:pt idx="488">
                  <c:v>57166</c:v>
                </c:pt>
                <c:pt idx="489">
                  <c:v>57199</c:v>
                </c:pt>
                <c:pt idx="490">
                  <c:v>57230</c:v>
                </c:pt>
                <c:pt idx="491">
                  <c:v>57262</c:v>
                </c:pt>
                <c:pt idx="492">
                  <c:v>57293</c:v>
                </c:pt>
                <c:pt idx="493">
                  <c:v>57325</c:v>
                </c:pt>
                <c:pt idx="494">
                  <c:v>57356</c:v>
                </c:pt>
                <c:pt idx="495">
                  <c:v>57388</c:v>
                </c:pt>
                <c:pt idx="496">
                  <c:v>57416</c:v>
                </c:pt>
                <c:pt idx="497">
                  <c:v>57447</c:v>
                </c:pt>
                <c:pt idx="498">
                  <c:v>57479</c:v>
                </c:pt>
                <c:pt idx="499">
                  <c:v>57510</c:v>
                </c:pt>
                <c:pt idx="500">
                  <c:v>57542</c:v>
                </c:pt>
                <c:pt idx="501">
                  <c:v>57573</c:v>
                </c:pt>
                <c:pt idx="502">
                  <c:v>57605</c:v>
                </c:pt>
                <c:pt idx="503">
                  <c:v>57635</c:v>
                </c:pt>
                <c:pt idx="504">
                  <c:v>57668</c:v>
                </c:pt>
                <c:pt idx="505">
                  <c:v>57698</c:v>
                </c:pt>
                <c:pt idx="506">
                  <c:v>57731</c:v>
                </c:pt>
                <c:pt idx="507">
                  <c:v>57762</c:v>
                </c:pt>
                <c:pt idx="508">
                  <c:v>57790</c:v>
                </c:pt>
                <c:pt idx="509">
                  <c:v>57822</c:v>
                </c:pt>
                <c:pt idx="510">
                  <c:v>57852</c:v>
                </c:pt>
                <c:pt idx="511">
                  <c:v>57885</c:v>
                </c:pt>
                <c:pt idx="512">
                  <c:v>57915</c:v>
                </c:pt>
                <c:pt idx="513">
                  <c:v>57948</c:v>
                </c:pt>
                <c:pt idx="514">
                  <c:v>57979</c:v>
                </c:pt>
                <c:pt idx="515">
                  <c:v>58011</c:v>
                </c:pt>
                <c:pt idx="516">
                  <c:v>58042</c:v>
                </c:pt>
                <c:pt idx="517">
                  <c:v>58074</c:v>
                </c:pt>
                <c:pt idx="518">
                  <c:v>58105</c:v>
                </c:pt>
                <c:pt idx="519">
                  <c:v>58134</c:v>
                </c:pt>
                <c:pt idx="520">
                  <c:v>58166</c:v>
                </c:pt>
                <c:pt idx="521">
                  <c:v>58197</c:v>
                </c:pt>
                <c:pt idx="522">
                  <c:v>58228</c:v>
                </c:pt>
                <c:pt idx="523">
                  <c:v>58258</c:v>
                </c:pt>
                <c:pt idx="524">
                  <c:v>58291</c:v>
                </c:pt>
                <c:pt idx="525">
                  <c:v>58322</c:v>
                </c:pt>
                <c:pt idx="526">
                  <c:v>58354</c:v>
                </c:pt>
                <c:pt idx="527">
                  <c:v>58385</c:v>
                </c:pt>
                <c:pt idx="528">
                  <c:v>58417</c:v>
                </c:pt>
                <c:pt idx="529">
                  <c:v>58448</c:v>
                </c:pt>
                <c:pt idx="530">
                  <c:v>58480</c:v>
                </c:pt>
                <c:pt idx="531">
                  <c:v>58509</c:v>
                </c:pt>
                <c:pt idx="532">
                  <c:v>58540</c:v>
                </c:pt>
                <c:pt idx="533">
                  <c:v>58571</c:v>
                </c:pt>
                <c:pt idx="534">
                  <c:v>58602</c:v>
                </c:pt>
                <c:pt idx="535">
                  <c:v>58634</c:v>
                </c:pt>
                <c:pt idx="536">
                  <c:v>58665</c:v>
                </c:pt>
                <c:pt idx="537">
                  <c:v>58697</c:v>
                </c:pt>
                <c:pt idx="538">
                  <c:v>58727</c:v>
                </c:pt>
                <c:pt idx="539">
                  <c:v>58760</c:v>
                </c:pt>
                <c:pt idx="540">
                  <c:v>58790</c:v>
                </c:pt>
                <c:pt idx="541">
                  <c:v>58823</c:v>
                </c:pt>
                <c:pt idx="542">
                  <c:v>58854</c:v>
                </c:pt>
                <c:pt idx="543">
                  <c:v>58882</c:v>
                </c:pt>
                <c:pt idx="544">
                  <c:v>58914</c:v>
                </c:pt>
                <c:pt idx="545">
                  <c:v>58944</c:v>
                </c:pt>
                <c:pt idx="546">
                  <c:v>58977</c:v>
                </c:pt>
                <c:pt idx="547">
                  <c:v>59007</c:v>
                </c:pt>
                <c:pt idx="548">
                  <c:v>59040</c:v>
                </c:pt>
                <c:pt idx="549">
                  <c:v>59071</c:v>
                </c:pt>
                <c:pt idx="550">
                  <c:v>59103</c:v>
                </c:pt>
                <c:pt idx="551">
                  <c:v>59134</c:v>
                </c:pt>
                <c:pt idx="552">
                  <c:v>59167</c:v>
                </c:pt>
                <c:pt idx="553">
                  <c:v>59198</c:v>
                </c:pt>
                <c:pt idx="554">
                  <c:v>59229</c:v>
                </c:pt>
                <c:pt idx="555">
                  <c:v>59258</c:v>
                </c:pt>
                <c:pt idx="556">
                  <c:v>59289</c:v>
                </c:pt>
                <c:pt idx="557">
                  <c:v>59320</c:v>
                </c:pt>
                <c:pt idx="558">
                  <c:v>59351</c:v>
                </c:pt>
                <c:pt idx="559">
                  <c:v>59383</c:v>
                </c:pt>
                <c:pt idx="560">
                  <c:v>59414</c:v>
                </c:pt>
                <c:pt idx="561">
                  <c:v>59446</c:v>
                </c:pt>
                <c:pt idx="562">
                  <c:v>59477</c:v>
                </c:pt>
                <c:pt idx="563">
                  <c:v>59509</c:v>
                </c:pt>
                <c:pt idx="564">
                  <c:v>59540</c:v>
                </c:pt>
                <c:pt idx="565">
                  <c:v>59572</c:v>
                </c:pt>
                <c:pt idx="566">
                  <c:v>59600</c:v>
                </c:pt>
                <c:pt idx="567">
                  <c:v>59631</c:v>
                </c:pt>
                <c:pt idx="568">
                  <c:v>59663</c:v>
                </c:pt>
                <c:pt idx="569">
                  <c:v>59694</c:v>
                </c:pt>
                <c:pt idx="570">
                  <c:v>59726</c:v>
                </c:pt>
                <c:pt idx="571">
                  <c:v>59757</c:v>
                </c:pt>
                <c:pt idx="572">
                  <c:v>59789</c:v>
                </c:pt>
                <c:pt idx="573">
                  <c:v>59819</c:v>
                </c:pt>
                <c:pt idx="574">
                  <c:v>59852</c:v>
                </c:pt>
                <c:pt idx="575">
                  <c:v>59882</c:v>
                </c:pt>
                <c:pt idx="576">
                  <c:v>59915</c:v>
                </c:pt>
                <c:pt idx="577">
                  <c:v>59946</c:v>
                </c:pt>
                <c:pt idx="578">
                  <c:v>59975</c:v>
                </c:pt>
                <c:pt idx="579">
                  <c:v>60006</c:v>
                </c:pt>
              </c:numCache>
            </c:numRef>
          </c:cat>
          <c:val>
            <c:numRef>
              <c:f>'basis 6M '!$R$2:$R$581</c:f>
              <c:numCache>
                <c:formatCode>0.0000%</c:formatCode>
                <c:ptCount val="580"/>
                <c:pt idx="0">
                  <c:v>4.022555950291219E-5</c:v>
                </c:pt>
                <c:pt idx="1">
                  <c:v>6.150826338807153E-6</c:v>
                </c:pt>
                <c:pt idx="2">
                  <c:v>1.8464785108918136E-5</c:v>
                </c:pt>
                <c:pt idx="3">
                  <c:v>-1.4174735847939855E-4</c:v>
                </c:pt>
                <c:pt idx="4">
                  <c:v>-3.2989759821563334E-4</c:v>
                </c:pt>
                <c:pt idx="5">
                  <c:v>-4.4249951119817695E-4</c:v>
                </c:pt>
                <c:pt idx="6">
                  <c:v>-4.1500504990260833E-4</c:v>
                </c:pt>
                <c:pt idx="7">
                  <c:v>-4.9247968966273001E-4</c:v>
                </c:pt>
                <c:pt idx="8">
                  <c:v>-5.1494183221478806E-4</c:v>
                </c:pt>
                <c:pt idx="9">
                  <c:v>-6.145562948699164E-4</c:v>
                </c:pt>
                <c:pt idx="10">
                  <c:v>-5.3224703901024839E-4</c:v>
                </c:pt>
                <c:pt idx="11">
                  <c:v>-3.7074468464411451E-4</c:v>
                </c:pt>
                <c:pt idx="12">
                  <c:v>-2.7668699385163332E-4</c:v>
                </c:pt>
                <c:pt idx="13">
                  <c:v>-2.8883213556478671E-4</c:v>
                </c:pt>
                <c:pt idx="14">
                  <c:v>-4.6418760246964738E-4</c:v>
                </c:pt>
                <c:pt idx="15">
                  <c:v>-4.3554382642252421E-4</c:v>
                </c:pt>
                <c:pt idx="16">
                  <c:v>-3.1332187250880043E-4</c:v>
                </c:pt>
                <c:pt idx="17">
                  <c:v>-1.7279543225685518E-4</c:v>
                </c:pt>
                <c:pt idx="18">
                  <c:v>-6.1390859771400742E-5</c:v>
                </c:pt>
                <c:pt idx="19">
                  <c:v>1.5353555430508905E-5</c:v>
                </c:pt>
                <c:pt idx="20">
                  <c:v>7.2381283519872426E-5</c:v>
                </c:pt>
                <c:pt idx="21">
                  <c:v>1.4769815594475034E-4</c:v>
                </c:pt>
                <c:pt idx="22">
                  <c:v>2.3282084497849428E-4</c:v>
                </c:pt>
                <c:pt idx="23">
                  <c:v>3.3798832727365664E-4</c:v>
                </c:pt>
                <c:pt idx="24">
                  <c:v>4.4953136847371354E-4</c:v>
                </c:pt>
                <c:pt idx="25">
                  <c:v>5.695992355960964E-4</c:v>
                </c:pt>
                <c:pt idx="26">
                  <c:v>6.9184506100494758E-4</c:v>
                </c:pt>
                <c:pt idx="27">
                  <c:v>8.2869450900885681E-4</c:v>
                </c:pt>
                <c:pt idx="28">
                  <c:v>9.5421699107647493E-4</c:v>
                </c:pt>
                <c:pt idx="29">
                  <c:v>1.0941483106512756E-3</c:v>
                </c:pt>
                <c:pt idx="30">
                  <c:v>1.2498481810481767E-3</c:v>
                </c:pt>
                <c:pt idx="31">
                  <c:v>1.4045541238324418E-3</c:v>
                </c:pt>
                <c:pt idx="32">
                  <c:v>1.5706417958384201E-3</c:v>
                </c:pt>
                <c:pt idx="33">
                  <c:v>1.7376304084595533E-3</c:v>
                </c:pt>
                <c:pt idx="34">
                  <c:v>1.9181647532954867E-3</c:v>
                </c:pt>
                <c:pt idx="35">
                  <c:v>2.0855447391993319E-3</c:v>
                </c:pt>
                <c:pt idx="36">
                  <c:v>2.2755619627586347E-3</c:v>
                </c:pt>
                <c:pt idx="37">
                  <c:v>2.4445708038030038E-3</c:v>
                </c:pt>
                <c:pt idx="38">
                  <c:v>2.6423044185804306E-3</c:v>
                </c:pt>
                <c:pt idx="39">
                  <c:v>2.8154894003245431E-3</c:v>
                </c:pt>
                <c:pt idx="40">
                  <c:v>2.9937957404744062E-3</c:v>
                </c:pt>
                <c:pt idx="41">
                  <c:v>3.1924352662830832E-3</c:v>
                </c:pt>
                <c:pt idx="42">
                  <c:v>3.381130336984086E-3</c:v>
                </c:pt>
                <c:pt idx="43">
                  <c:v>3.5876772645784933E-3</c:v>
                </c:pt>
                <c:pt idx="44">
                  <c:v>3.7839971915830332E-3</c:v>
                </c:pt>
                <c:pt idx="45">
                  <c:v>3.9859639553585643E-3</c:v>
                </c:pt>
                <c:pt idx="46">
                  <c:v>4.18507426790596E-3</c:v>
                </c:pt>
                <c:pt idx="47">
                  <c:v>4.4056376417926828E-3</c:v>
                </c:pt>
                <c:pt idx="48">
                  <c:v>4.6046286618270926E-3</c:v>
                </c:pt>
                <c:pt idx="49">
                  <c:v>4.8410839406466876E-3</c:v>
                </c:pt>
                <c:pt idx="50">
                  <c:v>5.0583757091416069E-3</c:v>
                </c:pt>
                <c:pt idx="51">
                  <c:v>5.2777684833506316E-3</c:v>
                </c:pt>
                <c:pt idx="52">
                  <c:v>5.5175090134246324E-3</c:v>
                </c:pt>
                <c:pt idx="53">
                  <c:v>5.7555431189302581E-3</c:v>
                </c:pt>
                <c:pt idx="54">
                  <c:v>6.0193439986752518E-3</c:v>
                </c:pt>
                <c:pt idx="55">
                  <c:v>6.2648925927034985E-3</c:v>
                </c:pt>
                <c:pt idx="56">
                  <c:v>6.5412900432384163E-3</c:v>
                </c:pt>
                <c:pt idx="57">
                  <c:v>6.8021041032772954E-3</c:v>
                </c:pt>
                <c:pt idx="58">
                  <c:v>7.0849277369115487E-3</c:v>
                </c:pt>
                <c:pt idx="59">
                  <c:v>7.3580853524096972E-3</c:v>
                </c:pt>
                <c:pt idx="60">
                  <c:v>7.6384534734486769E-3</c:v>
                </c:pt>
                <c:pt idx="61">
                  <c:v>7.9173011300630296E-3</c:v>
                </c:pt>
                <c:pt idx="62">
                  <c:v>8.2080933949776388E-3</c:v>
                </c:pt>
                <c:pt idx="63">
                  <c:v>8.4789443605967525E-3</c:v>
                </c:pt>
                <c:pt idx="64">
                  <c:v>8.7614072373955638E-3</c:v>
                </c:pt>
                <c:pt idx="65">
                  <c:v>9.0562522751673653E-3</c:v>
                </c:pt>
                <c:pt idx="66">
                  <c:v>9.3491279830226776E-3</c:v>
                </c:pt>
                <c:pt idx="67">
                  <c:v>9.6544043269577162E-3</c:v>
                </c:pt>
                <c:pt idx="68">
                  <c:v>9.9529165060271395E-3</c:v>
                </c:pt>
                <c:pt idx="69">
                  <c:v>1.0257817834165262E-2</c:v>
                </c:pt>
                <c:pt idx="70">
                  <c:v>1.0553357615074274E-2</c:v>
                </c:pt>
                <c:pt idx="71">
                  <c:v>1.0871288124174594E-2</c:v>
                </c:pt>
                <c:pt idx="72">
                  <c:v>1.1148418945803762E-2</c:v>
                </c:pt>
                <c:pt idx="73">
                  <c:v>1.146677913989346E-2</c:v>
                </c:pt>
                <c:pt idx="74">
                  <c:v>1.1749313532762748E-2</c:v>
                </c:pt>
                <c:pt idx="75">
                  <c:v>1.2026105279992025E-2</c:v>
                </c:pt>
                <c:pt idx="76">
                  <c:v>1.2318815012993093E-2</c:v>
                </c:pt>
                <c:pt idx="77">
                  <c:v>1.2600553192534393E-2</c:v>
                </c:pt>
                <c:pt idx="78">
                  <c:v>1.290289109799689E-2</c:v>
                </c:pt>
                <c:pt idx="79">
                  <c:v>1.3175683347587071E-2</c:v>
                </c:pt>
                <c:pt idx="80">
                  <c:v>1.3473155180718403E-2</c:v>
                </c:pt>
                <c:pt idx="81">
                  <c:v>1.3743927344165369E-2</c:v>
                </c:pt>
                <c:pt idx="82">
                  <c:v>1.4026721023220673E-2</c:v>
                </c:pt>
                <c:pt idx="83">
                  <c:v>1.4271710334702092E-2</c:v>
                </c:pt>
                <c:pt idx="84">
                  <c:v>1.4547288370641377E-2</c:v>
                </c:pt>
                <c:pt idx="85">
                  <c:v>1.4785963276638784E-2</c:v>
                </c:pt>
                <c:pt idx="86">
                  <c:v>1.5015044639693257E-2</c:v>
                </c:pt>
                <c:pt idx="87">
                  <c:v>1.5251122139290488E-2</c:v>
                </c:pt>
                <c:pt idx="88">
                  <c:v>1.5472851702627121E-2</c:v>
                </c:pt>
                <c:pt idx="89">
                  <c:v>1.5704301335822634E-2</c:v>
                </c:pt>
                <c:pt idx="90">
                  <c:v>1.5907340224857399E-2</c:v>
                </c:pt>
                <c:pt idx="91">
                  <c:v>1.612257943063947E-2</c:v>
                </c:pt>
                <c:pt idx="92">
                  <c:v>1.631414072488472E-2</c:v>
                </c:pt>
                <c:pt idx="93">
                  <c:v>1.6513118359134119E-2</c:v>
                </c:pt>
                <c:pt idx="94">
                  <c:v>1.6698675463901736E-2</c:v>
                </c:pt>
                <c:pt idx="95">
                  <c:v>1.6883993954410002E-2</c:v>
                </c:pt>
                <c:pt idx="96">
                  <c:v>1.7060737060580422E-2</c:v>
                </c:pt>
                <c:pt idx="97">
                  <c:v>1.7246975426637161E-2</c:v>
                </c:pt>
                <c:pt idx="98">
                  <c:v>1.7407906198145903E-2</c:v>
                </c:pt>
                <c:pt idx="99">
                  <c:v>1.757676936506453E-2</c:v>
                </c:pt>
                <c:pt idx="100">
                  <c:v>1.7754660554753283E-2</c:v>
                </c:pt>
                <c:pt idx="101">
                  <c:v>1.7921178746924865E-2</c:v>
                </c:pt>
                <c:pt idx="102">
                  <c:v>1.809022666789506E-2</c:v>
                </c:pt>
                <c:pt idx="103">
                  <c:v>1.8251212300941899E-2</c:v>
                </c:pt>
                <c:pt idx="104">
                  <c:v>1.8411027154359064E-2</c:v>
                </c:pt>
                <c:pt idx="105">
                  <c:v>1.8562504957173986E-2</c:v>
                </c:pt>
                <c:pt idx="106">
                  <c:v>1.8720339953173914E-2</c:v>
                </c:pt>
                <c:pt idx="107">
                  <c:v>1.8855683991163306E-2</c:v>
                </c:pt>
                <c:pt idx="108">
                  <c:v>1.900163722123744E-2</c:v>
                </c:pt>
                <c:pt idx="109">
                  <c:v>1.9130488168203286E-2</c:v>
                </c:pt>
                <c:pt idx="110">
                  <c:v>1.9258301697639788E-2</c:v>
                </c:pt>
                <c:pt idx="111">
                  <c:v>1.9371594596139449E-2</c:v>
                </c:pt>
                <c:pt idx="112">
                  <c:v>1.9485392354847409E-2</c:v>
                </c:pt>
                <c:pt idx="113">
                  <c:v>1.9601961165157042E-2</c:v>
                </c:pt>
                <c:pt idx="114">
                  <c:v>1.9702483576194734E-2</c:v>
                </c:pt>
                <c:pt idx="115">
                  <c:v>1.9807291624885009E-2</c:v>
                </c:pt>
                <c:pt idx="116">
                  <c:v>1.9901987145414347E-2</c:v>
                </c:pt>
                <c:pt idx="117">
                  <c:v>1.9998422861228941E-2</c:v>
                </c:pt>
                <c:pt idx="118">
                  <c:v>2.0092668717797427E-2</c:v>
                </c:pt>
                <c:pt idx="119">
                  <c:v>2.0189231601506798E-2</c:v>
                </c:pt>
                <c:pt idx="120">
                  <c:v>2.0284019106259876E-2</c:v>
                </c:pt>
                <c:pt idx="121">
                  <c:v>2.0373715723671335E-2</c:v>
                </c:pt>
                <c:pt idx="122">
                  <c:v>2.0474542271138787E-2</c:v>
                </c:pt>
                <c:pt idx="123">
                  <c:v>2.0568670985193101E-2</c:v>
                </c:pt>
                <c:pt idx="124">
                  <c:v>2.0669706010169476E-2</c:v>
                </c:pt>
                <c:pt idx="125">
                  <c:v>2.0779838550480403E-2</c:v>
                </c:pt>
                <c:pt idx="126">
                  <c:v>2.0881277879682969E-2</c:v>
                </c:pt>
                <c:pt idx="127">
                  <c:v>2.099162273796747E-2</c:v>
                </c:pt>
                <c:pt idx="128">
                  <c:v>2.109793954661731E-2</c:v>
                </c:pt>
                <c:pt idx="129">
                  <c:v>2.1204541092940676E-2</c:v>
                </c:pt>
                <c:pt idx="130">
                  <c:v>2.1294895096453104E-2</c:v>
                </c:pt>
                <c:pt idx="131">
                  <c:v>2.1398144777621111E-2</c:v>
                </c:pt>
                <c:pt idx="132">
                  <c:v>2.1480300430285482E-2</c:v>
                </c:pt>
                <c:pt idx="133">
                  <c:v>2.1561803820913304E-2</c:v>
                </c:pt>
                <c:pt idx="134">
                  <c:v>2.1644049314657469E-2</c:v>
                </c:pt>
                <c:pt idx="135">
                  <c:v>2.1717706820288805E-2</c:v>
                </c:pt>
                <c:pt idx="136">
                  <c:v>2.178943865783689E-2</c:v>
                </c:pt>
                <c:pt idx="137">
                  <c:v>2.1852124425748146E-2</c:v>
                </c:pt>
                <c:pt idx="138">
                  <c:v>2.191598700064255E-2</c:v>
                </c:pt>
                <c:pt idx="139">
                  <c:v>2.1970059517223944E-2</c:v>
                </c:pt>
                <c:pt idx="140">
                  <c:v>2.2025647588187914E-2</c:v>
                </c:pt>
                <c:pt idx="141">
                  <c:v>2.2076002064132492E-2</c:v>
                </c:pt>
                <c:pt idx="142">
                  <c:v>2.2125123962842747E-2</c:v>
                </c:pt>
                <c:pt idx="143">
                  <c:v>2.2171373791453952E-2</c:v>
                </c:pt>
                <c:pt idx="144">
                  <c:v>2.2220650923863744E-2</c:v>
                </c:pt>
                <c:pt idx="145">
                  <c:v>2.2262769319827399E-2</c:v>
                </c:pt>
                <c:pt idx="146">
                  <c:v>2.2305219090346547E-2</c:v>
                </c:pt>
                <c:pt idx="147">
                  <c:v>2.2350463526212647E-2</c:v>
                </c:pt>
                <c:pt idx="148">
                  <c:v>2.2391633258832196E-2</c:v>
                </c:pt>
                <c:pt idx="149">
                  <c:v>2.2432760202109239E-2</c:v>
                </c:pt>
                <c:pt idx="150">
                  <c:v>2.2471273881313324E-2</c:v>
                </c:pt>
                <c:pt idx="151">
                  <c:v>2.2508377992530332E-2</c:v>
                </c:pt>
                <c:pt idx="152">
                  <c:v>2.2544380185289911E-2</c:v>
                </c:pt>
                <c:pt idx="153">
                  <c:v>2.25811596298581E-2</c:v>
                </c:pt>
                <c:pt idx="154">
                  <c:v>2.2612085886681378E-2</c:v>
                </c:pt>
                <c:pt idx="155">
                  <c:v>2.2646057834888877E-2</c:v>
                </c:pt>
                <c:pt idx="156">
                  <c:v>2.2675436476995436E-2</c:v>
                </c:pt>
                <c:pt idx="157">
                  <c:v>2.2707529385438428E-2</c:v>
                </c:pt>
                <c:pt idx="158">
                  <c:v>2.2732063996650575E-2</c:v>
                </c:pt>
                <c:pt idx="159">
                  <c:v>2.2759077558110873E-2</c:v>
                </c:pt>
                <c:pt idx="160">
                  <c:v>2.2786116201669787E-2</c:v>
                </c:pt>
                <c:pt idx="161">
                  <c:v>2.2809411233960762E-2</c:v>
                </c:pt>
                <c:pt idx="162">
                  <c:v>2.2833621634654553E-2</c:v>
                </c:pt>
                <c:pt idx="163">
                  <c:v>2.2853966844616009E-2</c:v>
                </c:pt>
                <c:pt idx="164">
                  <c:v>2.2875727548614378E-2</c:v>
                </c:pt>
                <c:pt idx="165">
                  <c:v>2.2892447751884148E-2</c:v>
                </c:pt>
                <c:pt idx="166">
                  <c:v>2.2911986144299765E-2</c:v>
                </c:pt>
                <c:pt idx="167">
                  <c:v>2.2926109084618833E-2</c:v>
                </c:pt>
                <c:pt idx="168">
                  <c:v>2.2944267556488891E-2</c:v>
                </c:pt>
                <c:pt idx="169">
                  <c:v>2.2955408488563308E-2</c:v>
                </c:pt>
                <c:pt idx="170">
                  <c:v>2.2968162248811028E-2</c:v>
                </c:pt>
                <c:pt idx="171">
                  <c:v>2.2979427159508323E-2</c:v>
                </c:pt>
                <c:pt idx="172">
                  <c:v>2.2988722679131053E-2</c:v>
                </c:pt>
                <c:pt idx="173">
                  <c:v>2.2997533661962222E-2</c:v>
                </c:pt>
                <c:pt idx="174">
                  <c:v>2.3003688105338083E-2</c:v>
                </c:pt>
                <c:pt idx="175">
                  <c:v>2.3010602776167843E-2</c:v>
                </c:pt>
                <c:pt idx="176">
                  <c:v>2.3015614574916892E-2</c:v>
                </c:pt>
                <c:pt idx="177">
                  <c:v>2.3019226258711275E-2</c:v>
                </c:pt>
                <c:pt idx="178">
                  <c:v>2.3021990376768109E-2</c:v>
                </c:pt>
                <c:pt idx="179">
                  <c:v>2.3025673763705352E-2</c:v>
                </c:pt>
                <c:pt idx="180">
                  <c:v>2.3028341768588902E-2</c:v>
                </c:pt>
                <c:pt idx="181">
                  <c:v>2.3029012167777217E-2</c:v>
                </c:pt>
                <c:pt idx="182">
                  <c:v>2.3030465253100603E-2</c:v>
                </c:pt>
                <c:pt idx="183">
                  <c:v>2.3030417122653152E-2</c:v>
                </c:pt>
                <c:pt idx="184">
                  <c:v>2.3029611252950877E-2</c:v>
                </c:pt>
                <c:pt idx="185">
                  <c:v>2.3028098011292814E-2</c:v>
                </c:pt>
                <c:pt idx="186">
                  <c:v>2.3025092702956825E-2</c:v>
                </c:pt>
                <c:pt idx="187">
                  <c:v>2.302290874915195E-2</c:v>
                </c:pt>
                <c:pt idx="188">
                  <c:v>2.3018970813168563E-2</c:v>
                </c:pt>
                <c:pt idx="189">
                  <c:v>2.3013378766225223E-2</c:v>
                </c:pt>
                <c:pt idx="190">
                  <c:v>2.3008545646695366E-2</c:v>
                </c:pt>
                <c:pt idx="191">
                  <c:v>2.3001394916164382E-2</c:v>
                </c:pt>
                <c:pt idx="192">
                  <c:v>2.299731946900754E-2</c:v>
                </c:pt>
                <c:pt idx="193">
                  <c:v>2.2989188624515936E-2</c:v>
                </c:pt>
                <c:pt idx="194">
                  <c:v>2.2982037366088764E-2</c:v>
                </c:pt>
                <c:pt idx="195">
                  <c:v>2.297272746942822E-2</c:v>
                </c:pt>
                <c:pt idx="196">
                  <c:v>2.2963555033027369E-2</c:v>
                </c:pt>
                <c:pt idx="197">
                  <c:v>2.2952685575421215E-2</c:v>
                </c:pt>
                <c:pt idx="198">
                  <c:v>2.2943353610839223E-2</c:v>
                </c:pt>
                <c:pt idx="199">
                  <c:v>2.2929666373262887E-2</c:v>
                </c:pt>
                <c:pt idx="200">
                  <c:v>2.291724652503737E-2</c:v>
                </c:pt>
                <c:pt idx="201">
                  <c:v>2.290366991518971E-2</c:v>
                </c:pt>
                <c:pt idx="202">
                  <c:v>2.2889294195221302E-2</c:v>
                </c:pt>
                <c:pt idx="203">
                  <c:v>2.2874696260197974E-2</c:v>
                </c:pt>
                <c:pt idx="204">
                  <c:v>2.2858881148936853E-2</c:v>
                </c:pt>
                <c:pt idx="205">
                  <c:v>2.2842745474036821E-2</c:v>
                </c:pt>
                <c:pt idx="206">
                  <c:v>2.2825930790547767E-2</c:v>
                </c:pt>
                <c:pt idx="207">
                  <c:v>2.2807817629212603E-2</c:v>
                </c:pt>
                <c:pt idx="208">
                  <c:v>2.2789538072519069E-2</c:v>
                </c:pt>
                <c:pt idx="209">
                  <c:v>2.2769512368144468E-2</c:v>
                </c:pt>
                <c:pt idx="210">
                  <c:v>2.2750816582760139E-2</c:v>
                </c:pt>
                <c:pt idx="211">
                  <c:v>2.2729031087380284E-2</c:v>
                </c:pt>
                <c:pt idx="212">
                  <c:v>2.270779367162223E-2</c:v>
                </c:pt>
                <c:pt idx="213">
                  <c:v>2.2684824714281671E-2</c:v>
                </c:pt>
                <c:pt idx="214">
                  <c:v>2.2661493431545783E-2</c:v>
                </c:pt>
                <c:pt idx="215">
                  <c:v>2.2641399511115264E-2</c:v>
                </c:pt>
                <c:pt idx="216">
                  <c:v>2.2616256810675257E-2</c:v>
                </c:pt>
                <c:pt idx="217">
                  <c:v>2.259258759605667E-2</c:v>
                </c:pt>
                <c:pt idx="218">
                  <c:v>2.2565431530832319E-2</c:v>
                </c:pt>
                <c:pt idx="219">
                  <c:v>2.2540035524599572E-2</c:v>
                </c:pt>
                <c:pt idx="220">
                  <c:v>2.2511320392211161E-2</c:v>
                </c:pt>
                <c:pt idx="221">
                  <c:v>2.2483359420822802E-2</c:v>
                </c:pt>
                <c:pt idx="222">
                  <c:v>2.2454232947014881E-2</c:v>
                </c:pt>
                <c:pt idx="223">
                  <c:v>2.2425049751397426E-2</c:v>
                </c:pt>
                <c:pt idx="224">
                  <c:v>2.2393968238110094E-2</c:v>
                </c:pt>
                <c:pt idx="225">
                  <c:v>2.2363146295539593E-2</c:v>
                </c:pt>
                <c:pt idx="226">
                  <c:v>2.233095609714307E-2</c:v>
                </c:pt>
                <c:pt idx="227">
                  <c:v>2.2302156798645889E-2</c:v>
                </c:pt>
                <c:pt idx="228">
                  <c:v>2.2269246402500907E-2</c:v>
                </c:pt>
                <c:pt idx="229">
                  <c:v>2.2234818664453728E-2</c:v>
                </c:pt>
                <c:pt idx="230">
                  <c:v>2.2200591660336711E-2</c:v>
                </c:pt>
                <c:pt idx="231">
                  <c:v>2.216450485110109E-2</c:v>
                </c:pt>
                <c:pt idx="232">
                  <c:v>2.2128833098926368E-2</c:v>
                </c:pt>
                <c:pt idx="233">
                  <c:v>2.2091550021938165E-2</c:v>
                </c:pt>
                <c:pt idx="234">
                  <c:v>2.205616343920706E-2</c:v>
                </c:pt>
                <c:pt idx="235">
                  <c:v>2.2017290054057073E-2</c:v>
                </c:pt>
                <c:pt idx="236">
                  <c:v>2.1981811191753131E-2</c:v>
                </c:pt>
                <c:pt idx="237">
                  <c:v>2.1943074515000854E-2</c:v>
                </c:pt>
                <c:pt idx="238">
                  <c:v>2.1907653232893478E-2</c:v>
                </c:pt>
                <c:pt idx="239">
                  <c:v>2.1874992308089796E-2</c:v>
                </c:pt>
                <c:pt idx="240">
                  <c:v>2.1836174612209099E-2</c:v>
                </c:pt>
                <c:pt idx="241">
                  <c:v>2.1801052138331566E-2</c:v>
                </c:pt>
                <c:pt idx="242">
                  <c:v>2.176236221986343E-2</c:v>
                </c:pt>
                <c:pt idx="243">
                  <c:v>2.1726042599455733E-2</c:v>
                </c:pt>
                <c:pt idx="244">
                  <c:v>2.168851009998074E-2</c:v>
                </c:pt>
                <c:pt idx="245">
                  <c:v>2.1653477333081688E-2</c:v>
                </c:pt>
                <c:pt idx="246">
                  <c:v>2.1614894103592946E-2</c:v>
                </c:pt>
                <c:pt idx="247">
                  <c:v>2.1579780866884165E-2</c:v>
                </c:pt>
                <c:pt idx="248">
                  <c:v>2.1541252855368939E-2</c:v>
                </c:pt>
                <c:pt idx="249">
                  <c:v>2.1505027101891727E-2</c:v>
                </c:pt>
                <c:pt idx="250">
                  <c:v>2.1471443007711366E-2</c:v>
                </c:pt>
                <c:pt idx="251">
                  <c:v>2.1435153660887392E-2</c:v>
                </c:pt>
                <c:pt idx="252">
                  <c:v>2.1400275561520868E-2</c:v>
                </c:pt>
                <c:pt idx="253">
                  <c:v>2.1361876046347192E-2</c:v>
                </c:pt>
                <c:pt idx="254">
                  <c:v>2.1326991637365719E-2</c:v>
                </c:pt>
                <c:pt idx="255">
                  <c:v>2.1288645452033447E-2</c:v>
                </c:pt>
                <c:pt idx="256">
                  <c:v>2.1252602711469407E-2</c:v>
                </c:pt>
                <c:pt idx="257">
                  <c:v>2.1215516664941494E-2</c:v>
                </c:pt>
                <c:pt idx="258">
                  <c:v>2.1179570029799949E-2</c:v>
                </c:pt>
                <c:pt idx="259">
                  <c:v>2.1142448918215085E-2</c:v>
                </c:pt>
                <c:pt idx="260">
                  <c:v>2.1106514983981306E-2</c:v>
                </c:pt>
                <c:pt idx="261">
                  <c:v>2.1069527184817027E-2</c:v>
                </c:pt>
                <c:pt idx="262">
                  <c:v>2.1037185968375272E-2</c:v>
                </c:pt>
                <c:pt idx="263">
                  <c:v>2.1001327685419732E-2</c:v>
                </c:pt>
                <c:pt idx="264">
                  <c:v>2.0964407807592175E-2</c:v>
                </c:pt>
                <c:pt idx="265">
                  <c:v>2.0928633695761915E-2</c:v>
                </c:pt>
                <c:pt idx="266">
                  <c:v>2.0891731429086461E-2</c:v>
                </c:pt>
                <c:pt idx="267">
                  <c:v>2.0856007398545755E-2</c:v>
                </c:pt>
                <c:pt idx="268">
                  <c:v>2.0819131269499698E-2</c:v>
                </c:pt>
                <c:pt idx="269">
                  <c:v>2.0784633263298491E-2</c:v>
                </c:pt>
                <c:pt idx="270">
                  <c:v>2.0746683996550313E-2</c:v>
                </c:pt>
                <c:pt idx="271">
                  <c:v>2.0712167663887726E-2</c:v>
                </c:pt>
                <c:pt idx="272">
                  <c:v>2.0674312931361832E-2</c:v>
                </c:pt>
                <c:pt idx="273">
                  <c:v>2.0638687396821627E-2</c:v>
                </c:pt>
                <c:pt idx="274">
                  <c:v>2.0606629128189276E-2</c:v>
                </c:pt>
                <c:pt idx="275">
                  <c:v>2.0568797004083369E-2</c:v>
                </c:pt>
                <c:pt idx="276">
                  <c:v>2.0534455116929626E-2</c:v>
                </c:pt>
                <c:pt idx="277">
                  <c:v>2.0497834268721832E-2</c:v>
                </c:pt>
                <c:pt idx="278">
                  <c:v>2.0463526064342652E-2</c:v>
                </c:pt>
                <c:pt idx="279">
                  <c:v>2.0425813686673261E-2</c:v>
                </c:pt>
                <c:pt idx="280">
                  <c:v>2.0390406459818083E-2</c:v>
                </c:pt>
                <c:pt idx="281">
                  <c:v>2.0353894845467398E-2</c:v>
                </c:pt>
                <c:pt idx="282">
                  <c:v>2.0319678136847763E-2</c:v>
                </c:pt>
                <c:pt idx="283">
                  <c:v>2.0282076749396669E-2</c:v>
                </c:pt>
                <c:pt idx="284">
                  <c:v>2.0246778189990617E-2</c:v>
                </c:pt>
                <c:pt idx="285">
                  <c:v>2.0214912696314608E-2</c:v>
                </c:pt>
                <c:pt idx="286">
                  <c:v>2.0178525163639535E-2</c:v>
                </c:pt>
                <c:pt idx="287">
                  <c:v>2.0144428618609791E-2</c:v>
                </c:pt>
                <c:pt idx="288">
                  <c:v>2.0106953072712853E-2</c:v>
                </c:pt>
                <c:pt idx="289">
                  <c:v>2.007290861281558E-2</c:v>
                </c:pt>
                <c:pt idx="290">
                  <c:v>2.0035487394049263E-2</c:v>
                </c:pt>
                <c:pt idx="291">
                  <c:v>2.0000482596426256E-2</c:v>
                </c:pt>
                <c:pt idx="292">
                  <c:v>1.9964853806482566E-2</c:v>
                </c:pt>
                <c:pt idx="293">
                  <c:v>1.9931212277146382E-2</c:v>
                </c:pt>
                <c:pt idx="294">
                  <c:v>1.989758831956303E-2</c:v>
                </c:pt>
                <c:pt idx="295">
                  <c:v>1.9866167865150677E-2</c:v>
                </c:pt>
                <c:pt idx="296">
                  <c:v>1.9834898229919642E-2</c:v>
                </c:pt>
                <c:pt idx="297">
                  <c:v>1.9807672169355729E-2</c:v>
                </c:pt>
                <c:pt idx="298">
                  <c:v>1.977945575774594E-2</c:v>
                </c:pt>
                <c:pt idx="299">
                  <c:v>1.9752562845397569E-2</c:v>
                </c:pt>
                <c:pt idx="300">
                  <c:v>1.972667328178029E-2</c:v>
                </c:pt>
                <c:pt idx="301">
                  <c:v>1.970111289570823E-2</c:v>
                </c:pt>
                <c:pt idx="302">
                  <c:v>1.9677479189778555E-2</c:v>
                </c:pt>
                <c:pt idx="303">
                  <c:v>1.9654056856171262E-2</c:v>
                </c:pt>
                <c:pt idx="304">
                  <c:v>1.9633541741996736E-2</c:v>
                </c:pt>
                <c:pt idx="305">
                  <c:v>1.9611966156380368E-2</c:v>
                </c:pt>
                <c:pt idx="306">
                  <c:v>1.9592961961659938E-2</c:v>
                </c:pt>
                <c:pt idx="307">
                  <c:v>1.9574269055012937E-2</c:v>
                </c:pt>
                <c:pt idx="308">
                  <c:v>1.9556575795513363E-2</c:v>
                </c:pt>
                <c:pt idx="309">
                  <c:v>1.9543122088855384E-2</c:v>
                </c:pt>
                <c:pt idx="310">
                  <c:v>1.9527144550767071E-2</c:v>
                </c:pt>
                <c:pt idx="311">
                  <c:v>1.951430183023925E-2</c:v>
                </c:pt>
                <c:pt idx="312">
                  <c:v>1.9501418418580007E-2</c:v>
                </c:pt>
                <c:pt idx="313">
                  <c:v>1.949041426421837E-2</c:v>
                </c:pt>
                <c:pt idx="314">
                  <c:v>1.9479510187886066E-2</c:v>
                </c:pt>
                <c:pt idx="315">
                  <c:v>1.9470412592487305E-2</c:v>
                </c:pt>
                <c:pt idx="316">
                  <c:v>1.9462185623613338E-2</c:v>
                </c:pt>
                <c:pt idx="317">
                  <c:v>1.9455343459883832E-2</c:v>
                </c:pt>
                <c:pt idx="318">
                  <c:v>1.9448994417466985E-2</c:v>
                </c:pt>
                <c:pt idx="319">
                  <c:v>1.9443922507726974E-2</c:v>
                </c:pt>
                <c:pt idx="320">
                  <c:v>1.9440119578531697E-2</c:v>
                </c:pt>
                <c:pt idx="321">
                  <c:v>1.9440322751500726E-2</c:v>
                </c:pt>
                <c:pt idx="322">
                  <c:v>1.9437365819165556E-2</c:v>
                </c:pt>
                <c:pt idx="323">
                  <c:v>1.9437550786553494E-2</c:v>
                </c:pt>
                <c:pt idx="324">
                  <c:v>1.9438384528917337E-2</c:v>
                </c:pt>
                <c:pt idx="325">
                  <c:v>1.9440233791152853E-2</c:v>
                </c:pt>
                <c:pt idx="326">
                  <c:v>1.9442877042501718E-2</c:v>
                </c:pt>
                <c:pt idx="327">
                  <c:v>1.9448109661633295E-2</c:v>
                </c:pt>
                <c:pt idx="328">
                  <c:v>1.9453135866511376E-2</c:v>
                </c:pt>
                <c:pt idx="329">
                  <c:v>1.9458058953356169E-2</c:v>
                </c:pt>
                <c:pt idx="330">
                  <c:v>1.9466721454013357E-2</c:v>
                </c:pt>
                <c:pt idx="331">
                  <c:v>1.9474031784728157E-2</c:v>
                </c:pt>
                <c:pt idx="332">
                  <c:v>1.9484889392731103E-2</c:v>
                </c:pt>
                <c:pt idx="333">
                  <c:v>1.9495344252798547E-2</c:v>
                </c:pt>
                <c:pt idx="334">
                  <c:v>1.950761378827727E-2</c:v>
                </c:pt>
                <c:pt idx="335">
                  <c:v>1.9521519318107482E-2</c:v>
                </c:pt>
                <c:pt idx="336">
                  <c:v>1.9535252092380009E-2</c:v>
                </c:pt>
                <c:pt idx="337">
                  <c:v>1.9551558679365928E-2</c:v>
                </c:pt>
                <c:pt idx="338">
                  <c:v>1.956720861124505E-2</c:v>
                </c:pt>
                <c:pt idx="339">
                  <c:v>1.9586181958974495E-2</c:v>
                </c:pt>
                <c:pt idx="340">
                  <c:v>1.9604901580588179E-2</c:v>
                </c:pt>
                <c:pt idx="341">
                  <c:v>1.9624517237582694E-2</c:v>
                </c:pt>
                <c:pt idx="342">
                  <c:v>1.9645473504170237E-2</c:v>
                </c:pt>
                <c:pt idx="343">
                  <c:v>1.9668269968212415E-2</c:v>
                </c:pt>
                <c:pt idx="344">
                  <c:v>1.9690879568972666E-2</c:v>
                </c:pt>
                <c:pt idx="345">
                  <c:v>1.9717410982239624E-2</c:v>
                </c:pt>
                <c:pt idx="346">
                  <c:v>1.9743043511629362E-2</c:v>
                </c:pt>
                <c:pt idx="347">
                  <c:v>1.9770516922768471E-2</c:v>
                </c:pt>
                <c:pt idx="348">
                  <c:v>1.9797347509575559E-2</c:v>
                </c:pt>
                <c:pt idx="349">
                  <c:v>1.9828029173041078E-2</c:v>
                </c:pt>
                <c:pt idx="350">
                  <c:v>1.9856575297468954E-2</c:v>
                </c:pt>
                <c:pt idx="351">
                  <c:v>1.9888302486879301E-2</c:v>
                </c:pt>
                <c:pt idx="352">
                  <c:v>1.9917687272348522E-2</c:v>
                </c:pt>
                <c:pt idx="353">
                  <c:v>1.9946378540263154E-2</c:v>
                </c:pt>
                <c:pt idx="354">
                  <c:v>1.9974700700713832E-2</c:v>
                </c:pt>
                <c:pt idx="355">
                  <c:v>2.0003495865723635E-2</c:v>
                </c:pt>
                <c:pt idx="356">
                  <c:v>2.0029139568237313E-2</c:v>
                </c:pt>
                <c:pt idx="357">
                  <c:v>2.0054951330255498E-2</c:v>
                </c:pt>
                <c:pt idx="358">
                  <c:v>2.0083043057895236E-2</c:v>
                </c:pt>
                <c:pt idx="359">
                  <c:v>2.010877570996094E-2</c:v>
                </c:pt>
                <c:pt idx="360">
                  <c:v>2.013479099465177E-2</c:v>
                </c:pt>
                <c:pt idx="361">
                  <c:v>2.0158509844721666E-2</c:v>
                </c:pt>
                <c:pt idx="362">
                  <c:v>2.0184383293404551E-2</c:v>
                </c:pt>
                <c:pt idx="363">
                  <c:v>2.0207994504198908E-2</c:v>
                </c:pt>
                <c:pt idx="364">
                  <c:v>2.0230888520404878E-2</c:v>
                </c:pt>
                <c:pt idx="365">
                  <c:v>2.025252178714787E-2</c:v>
                </c:pt>
                <c:pt idx="366">
                  <c:v>2.0276183870000786E-2</c:v>
                </c:pt>
                <c:pt idx="367">
                  <c:v>2.0296533442048056E-2</c:v>
                </c:pt>
                <c:pt idx="368">
                  <c:v>2.031664853487589E-2</c:v>
                </c:pt>
                <c:pt idx="369">
                  <c:v>2.0338700163307948E-2</c:v>
                </c:pt>
                <c:pt idx="370">
                  <c:v>2.0358657424589775E-2</c:v>
                </c:pt>
                <c:pt idx="371">
                  <c:v>2.0378710911227116E-2</c:v>
                </c:pt>
                <c:pt idx="372">
                  <c:v>2.039760727235947E-2</c:v>
                </c:pt>
                <c:pt idx="373">
                  <c:v>2.0415699908955434E-2</c:v>
                </c:pt>
                <c:pt idx="374">
                  <c:v>2.0433833862066635E-2</c:v>
                </c:pt>
                <c:pt idx="375">
                  <c:v>2.0452264227375328E-2</c:v>
                </c:pt>
                <c:pt idx="376">
                  <c:v>2.0466818818158927E-2</c:v>
                </c:pt>
                <c:pt idx="377">
                  <c:v>2.0485806674641133E-2</c:v>
                </c:pt>
                <c:pt idx="378">
                  <c:v>2.0499036112761233E-2</c:v>
                </c:pt>
                <c:pt idx="379">
                  <c:v>2.0515264236172059E-2</c:v>
                </c:pt>
                <c:pt idx="380">
                  <c:v>2.0530102823553772E-2</c:v>
                </c:pt>
                <c:pt idx="381">
                  <c:v>2.0544631108569394E-2</c:v>
                </c:pt>
                <c:pt idx="382">
                  <c:v>2.0558721819573477E-2</c:v>
                </c:pt>
                <c:pt idx="383">
                  <c:v>2.0571426597471892E-2</c:v>
                </c:pt>
                <c:pt idx="384">
                  <c:v>2.0584837092994645E-2</c:v>
                </c:pt>
                <c:pt idx="385">
                  <c:v>2.059612150349286E-2</c:v>
                </c:pt>
                <c:pt idx="386">
                  <c:v>2.0608795988271943E-2</c:v>
                </c:pt>
                <c:pt idx="387">
                  <c:v>2.0619793678189821E-2</c:v>
                </c:pt>
                <c:pt idx="388">
                  <c:v>2.0629847978382208E-2</c:v>
                </c:pt>
                <c:pt idx="389">
                  <c:v>2.0639792413595086E-2</c:v>
                </c:pt>
                <c:pt idx="390">
                  <c:v>2.0649509993194103E-2</c:v>
                </c:pt>
                <c:pt idx="391">
                  <c:v>2.0658563094940696E-2</c:v>
                </c:pt>
                <c:pt idx="392">
                  <c:v>2.0666230940035741E-2</c:v>
                </c:pt>
                <c:pt idx="393">
                  <c:v>2.0674814944257436E-2</c:v>
                </c:pt>
                <c:pt idx="394">
                  <c:v>2.0682157642278345E-2</c:v>
                </c:pt>
                <c:pt idx="395">
                  <c:v>2.0689189509195793E-2</c:v>
                </c:pt>
                <c:pt idx="396">
                  <c:v>2.0695471050540263E-2</c:v>
                </c:pt>
                <c:pt idx="397">
                  <c:v>2.0700729046111289E-2</c:v>
                </c:pt>
                <c:pt idx="398">
                  <c:v>2.0706467649855745E-2</c:v>
                </c:pt>
                <c:pt idx="399">
                  <c:v>2.0710807028980614E-2</c:v>
                </c:pt>
                <c:pt idx="400">
                  <c:v>2.0714193955120308E-2</c:v>
                </c:pt>
                <c:pt idx="401">
                  <c:v>2.0718728549068411E-2</c:v>
                </c:pt>
                <c:pt idx="402">
                  <c:v>2.0722194858043684E-2</c:v>
                </c:pt>
                <c:pt idx="403">
                  <c:v>2.0724191672026382E-2</c:v>
                </c:pt>
                <c:pt idx="404">
                  <c:v>2.0726984625652312E-2</c:v>
                </c:pt>
                <c:pt idx="405">
                  <c:v>2.0728549814353566E-2</c:v>
                </c:pt>
                <c:pt idx="406">
                  <c:v>2.0729617781331897E-2</c:v>
                </c:pt>
                <c:pt idx="407">
                  <c:v>2.073012177822655E-2</c:v>
                </c:pt>
                <c:pt idx="408">
                  <c:v>2.0729507377361629E-2</c:v>
                </c:pt>
                <c:pt idx="409">
                  <c:v>2.0729563249541508E-2</c:v>
                </c:pt>
                <c:pt idx="410">
                  <c:v>2.0728414243122804E-2</c:v>
                </c:pt>
                <c:pt idx="411">
                  <c:v>2.0725733065117602E-2</c:v>
                </c:pt>
                <c:pt idx="412">
                  <c:v>2.0724577551215147E-2</c:v>
                </c:pt>
                <c:pt idx="413">
                  <c:v>2.07202660186704E-2</c:v>
                </c:pt>
                <c:pt idx="414">
                  <c:v>2.0719028894982408E-2</c:v>
                </c:pt>
                <c:pt idx="415">
                  <c:v>2.0714573727592535E-2</c:v>
                </c:pt>
                <c:pt idx="416">
                  <c:v>2.0711015923493462E-2</c:v>
                </c:pt>
                <c:pt idx="417">
                  <c:v>2.0706119938465634E-2</c:v>
                </c:pt>
                <c:pt idx="418">
                  <c:v>2.0701024631878544E-2</c:v>
                </c:pt>
                <c:pt idx="419">
                  <c:v>2.0694854978899602E-2</c:v>
                </c:pt>
                <c:pt idx="420">
                  <c:v>2.0688037284412545E-2</c:v>
                </c:pt>
                <c:pt idx="421">
                  <c:v>2.0681433460245743E-2</c:v>
                </c:pt>
                <c:pt idx="422">
                  <c:v>2.0674037565475218E-2</c:v>
                </c:pt>
                <c:pt idx="423">
                  <c:v>2.0665399554409908E-2</c:v>
                </c:pt>
                <c:pt idx="424">
                  <c:v>2.0656504301099332E-2</c:v>
                </c:pt>
                <c:pt idx="425">
                  <c:v>2.0647683116335084E-2</c:v>
                </c:pt>
                <c:pt idx="426">
                  <c:v>2.0639546601689297E-2</c:v>
                </c:pt>
                <c:pt idx="427">
                  <c:v>2.0629136192000283E-2</c:v>
                </c:pt>
                <c:pt idx="428">
                  <c:v>2.0618697126153693E-2</c:v>
                </c:pt>
                <c:pt idx="429">
                  <c:v>2.0607646242097152E-2</c:v>
                </c:pt>
                <c:pt idx="430">
                  <c:v>2.0595691216784843E-2</c:v>
                </c:pt>
                <c:pt idx="431">
                  <c:v>2.0583579244036608E-2</c:v>
                </c:pt>
                <c:pt idx="432">
                  <c:v>2.0570903072977369E-2</c:v>
                </c:pt>
                <c:pt idx="433">
                  <c:v>2.0557788956161741E-2</c:v>
                </c:pt>
                <c:pt idx="434">
                  <c:v>2.0543210251448736E-2</c:v>
                </c:pt>
                <c:pt idx="435">
                  <c:v>2.0529096732324979E-2</c:v>
                </c:pt>
                <c:pt idx="436">
                  <c:v>2.0513398394545388E-2</c:v>
                </c:pt>
                <c:pt idx="437">
                  <c:v>2.0497784785352025E-2</c:v>
                </c:pt>
                <c:pt idx="438">
                  <c:v>2.0484296391395825E-2</c:v>
                </c:pt>
                <c:pt idx="439">
                  <c:v>2.0467044069303841E-2</c:v>
                </c:pt>
                <c:pt idx="440">
                  <c:v>2.0451076925538478E-2</c:v>
                </c:pt>
                <c:pt idx="441">
                  <c:v>2.0432607868732824E-2</c:v>
                </c:pt>
                <c:pt idx="442">
                  <c:v>2.0414719252362018E-2</c:v>
                </c:pt>
                <c:pt idx="443">
                  <c:v>2.0395434744193332E-2</c:v>
                </c:pt>
                <c:pt idx="444">
                  <c:v>2.0377375881259669E-2</c:v>
                </c:pt>
                <c:pt idx="445">
                  <c:v>2.0356648070841168E-2</c:v>
                </c:pt>
                <c:pt idx="446">
                  <c:v>2.0336805665706947E-2</c:v>
                </c:pt>
                <c:pt idx="447">
                  <c:v>2.031543413548971E-2</c:v>
                </c:pt>
                <c:pt idx="448">
                  <c:v>2.0293693506253513E-2</c:v>
                </c:pt>
                <c:pt idx="449">
                  <c:v>2.0274882003108934E-2</c:v>
                </c:pt>
                <c:pt idx="450">
                  <c:v>2.0251171828642275E-2</c:v>
                </c:pt>
                <c:pt idx="451">
                  <c:v>2.0229493146971873E-2</c:v>
                </c:pt>
                <c:pt idx="452">
                  <c:v>2.0205612885034419E-2</c:v>
                </c:pt>
                <c:pt idx="453">
                  <c:v>2.0182720011569677E-2</c:v>
                </c:pt>
                <c:pt idx="454">
                  <c:v>2.0156973258529678E-2</c:v>
                </c:pt>
                <c:pt idx="455">
                  <c:v>2.0132093231563626E-2</c:v>
                </c:pt>
                <c:pt idx="456">
                  <c:v>2.0106177957541674E-2</c:v>
                </c:pt>
                <c:pt idx="457">
                  <c:v>2.008039213239873E-2</c:v>
                </c:pt>
                <c:pt idx="458">
                  <c:v>2.0053102360419361E-2</c:v>
                </c:pt>
                <c:pt idx="459">
                  <c:v>2.0026150780522833E-2</c:v>
                </c:pt>
                <c:pt idx="460">
                  <c:v>1.9998016127991056E-2</c:v>
                </c:pt>
                <c:pt idx="461">
                  <c:v>1.9972937071774461E-2</c:v>
                </c:pt>
                <c:pt idx="462">
                  <c:v>1.9944473051787967E-2</c:v>
                </c:pt>
                <c:pt idx="463">
                  <c:v>1.9914717331294567E-2</c:v>
                </c:pt>
                <c:pt idx="464">
                  <c:v>1.9885278325352012E-2</c:v>
                </c:pt>
                <c:pt idx="465">
                  <c:v>1.985434231472229E-2</c:v>
                </c:pt>
                <c:pt idx="466">
                  <c:v>1.9823859212981222E-2</c:v>
                </c:pt>
                <c:pt idx="467">
                  <c:v>1.9792029594801447E-2</c:v>
                </c:pt>
                <c:pt idx="468">
                  <c:v>1.9762290963259266E-2</c:v>
                </c:pt>
                <c:pt idx="469">
                  <c:v>1.9729866555834166E-2</c:v>
                </c:pt>
                <c:pt idx="470">
                  <c:v>1.970067894239147E-2</c:v>
                </c:pt>
                <c:pt idx="471">
                  <c:v>1.9669211332519358E-2</c:v>
                </c:pt>
                <c:pt idx="472">
                  <c:v>1.9639884082753731E-2</c:v>
                </c:pt>
                <c:pt idx="473">
                  <c:v>1.9614098302420089E-2</c:v>
                </c:pt>
                <c:pt idx="474">
                  <c:v>1.9584722656990159E-2</c:v>
                </c:pt>
                <c:pt idx="475">
                  <c:v>1.9557743739655079E-2</c:v>
                </c:pt>
                <c:pt idx="476">
                  <c:v>1.9528429639784101E-2</c:v>
                </c:pt>
                <c:pt idx="477">
                  <c:v>1.950219104405404E-2</c:v>
                </c:pt>
                <c:pt idx="478">
                  <c:v>1.9473780223682086E-2</c:v>
                </c:pt>
                <c:pt idx="479">
                  <c:v>1.9447414719976807E-2</c:v>
                </c:pt>
                <c:pt idx="480">
                  <c:v>1.9420855195774911E-2</c:v>
                </c:pt>
                <c:pt idx="481">
                  <c:v>1.9396140610621091E-2</c:v>
                </c:pt>
                <c:pt idx="482">
                  <c:v>1.9369654486460872E-2</c:v>
                </c:pt>
                <c:pt idx="483">
                  <c:v>1.9344834770664399E-2</c:v>
                </c:pt>
                <c:pt idx="484">
                  <c:v>1.9322764301011614E-2</c:v>
                </c:pt>
                <c:pt idx="485">
                  <c:v>1.9297842532567548E-2</c:v>
                </c:pt>
                <c:pt idx="486">
                  <c:v>1.9275406387270645E-2</c:v>
                </c:pt>
                <c:pt idx="487">
                  <c:v>1.9251755950577241E-2</c:v>
                </c:pt>
                <c:pt idx="488">
                  <c:v>1.9229987649531172E-2</c:v>
                </c:pt>
                <c:pt idx="489">
                  <c:v>1.9206494059608992E-2</c:v>
                </c:pt>
                <c:pt idx="490">
                  <c:v>1.9184687246212563E-2</c:v>
                </c:pt>
                <c:pt idx="491">
                  <c:v>1.9162956205332413E-2</c:v>
                </c:pt>
                <c:pt idx="492">
                  <c:v>1.914216568439887E-2</c:v>
                </c:pt>
                <c:pt idx="493">
                  <c:v>1.9120957102945292E-2</c:v>
                </c:pt>
                <c:pt idx="494">
                  <c:v>1.9100818418985813E-2</c:v>
                </c:pt>
                <c:pt idx="495">
                  <c:v>1.9080855593505582E-2</c:v>
                </c:pt>
                <c:pt idx="496">
                  <c:v>1.9063787968971461E-2</c:v>
                </c:pt>
                <c:pt idx="497">
                  <c:v>1.9044863294620112E-2</c:v>
                </c:pt>
                <c:pt idx="498">
                  <c:v>1.9026188039198276E-2</c:v>
                </c:pt>
                <c:pt idx="499">
                  <c:v>1.9008319287622498E-2</c:v>
                </c:pt>
                <c:pt idx="500">
                  <c:v>1.8990311909009041E-2</c:v>
                </c:pt>
                <c:pt idx="501">
                  <c:v>1.8973291358815435E-2</c:v>
                </c:pt>
                <c:pt idx="502">
                  <c:v>1.8955922206241954E-2</c:v>
                </c:pt>
                <c:pt idx="503">
                  <c:v>1.8940502335090571E-2</c:v>
                </c:pt>
                <c:pt idx="504">
                  <c:v>1.8923730860937626E-2</c:v>
                </c:pt>
                <c:pt idx="505">
                  <c:v>1.8908384522681843E-2</c:v>
                </c:pt>
                <c:pt idx="506">
                  <c:v>1.8892764483029772E-2</c:v>
                </c:pt>
                <c:pt idx="507">
                  <c:v>1.8877748157246309E-2</c:v>
                </c:pt>
                <c:pt idx="508">
                  <c:v>1.8865833318900443E-2</c:v>
                </c:pt>
                <c:pt idx="509">
                  <c:v>1.8851438142761655E-2</c:v>
                </c:pt>
                <c:pt idx="510">
                  <c:v>1.8838887029823854E-2</c:v>
                </c:pt>
                <c:pt idx="511">
                  <c:v>1.8825225345060387E-2</c:v>
                </c:pt>
                <c:pt idx="512">
                  <c:v>1.8813215997285023E-2</c:v>
                </c:pt>
                <c:pt idx="513">
                  <c:v>1.8800457112531092E-2</c:v>
                </c:pt>
                <c:pt idx="514">
                  <c:v>1.8788902260696613E-2</c:v>
                </c:pt>
                <c:pt idx="515">
                  <c:v>1.877741238275361E-2</c:v>
                </c:pt>
                <c:pt idx="516">
                  <c:v>1.8766705592434058E-2</c:v>
                </c:pt>
                <c:pt idx="517">
                  <c:v>1.875609112542263E-2</c:v>
                </c:pt>
                <c:pt idx="518">
                  <c:v>1.874556269493155E-2</c:v>
                </c:pt>
                <c:pt idx="519">
                  <c:v>1.8736365641296385E-2</c:v>
                </c:pt>
                <c:pt idx="520">
                  <c:v>1.8727704132109245E-2</c:v>
                </c:pt>
                <c:pt idx="521">
                  <c:v>1.8720138440720173E-2</c:v>
                </c:pt>
                <c:pt idx="522">
                  <c:v>1.8711227932868665E-2</c:v>
                </c:pt>
                <c:pt idx="523">
                  <c:v>1.8703686783901649E-2</c:v>
                </c:pt>
                <c:pt idx="524">
                  <c:v>1.8695842880169889E-2</c:v>
                </c:pt>
                <c:pt idx="525">
                  <c:v>1.8688526044460436E-2</c:v>
                </c:pt>
                <c:pt idx="526">
                  <c:v>1.8682181192660789E-2</c:v>
                </c:pt>
                <c:pt idx="527">
                  <c:v>1.8676091408151952E-2</c:v>
                </c:pt>
                <c:pt idx="528">
                  <c:v>1.8669844142091611E-2</c:v>
                </c:pt>
                <c:pt idx="529">
                  <c:v>1.8664595889387972E-2</c:v>
                </c:pt>
                <c:pt idx="530">
                  <c:v>1.8659615985223338E-2</c:v>
                </c:pt>
                <c:pt idx="531">
                  <c:v>1.865590491295914E-2</c:v>
                </c:pt>
                <c:pt idx="532">
                  <c:v>1.8651476978449294E-2</c:v>
                </c:pt>
                <c:pt idx="533">
                  <c:v>1.8648315229038669E-2</c:v>
                </c:pt>
                <c:pt idx="534">
                  <c:v>1.8645146273421623E-2</c:v>
                </c:pt>
                <c:pt idx="535">
                  <c:v>1.8642312756499652E-2</c:v>
                </c:pt>
                <c:pt idx="536">
                  <c:v>1.8639991772185352E-2</c:v>
                </c:pt>
                <c:pt idx="537">
                  <c:v>1.8637575749808125E-2</c:v>
                </c:pt>
                <c:pt idx="538">
                  <c:v>1.8636601566542173E-2</c:v>
                </c:pt>
                <c:pt idx="539">
                  <c:v>1.8635477690194538E-2</c:v>
                </c:pt>
                <c:pt idx="540">
                  <c:v>1.8633910743440119E-2</c:v>
                </c:pt>
                <c:pt idx="541">
                  <c:v>1.8634160081151197E-2</c:v>
                </c:pt>
                <c:pt idx="542">
                  <c:v>1.863339324820228E-2</c:v>
                </c:pt>
                <c:pt idx="543">
                  <c:v>1.8635427984195221E-2</c:v>
                </c:pt>
                <c:pt idx="544">
                  <c:v>1.8635979925646962E-2</c:v>
                </c:pt>
                <c:pt idx="545">
                  <c:v>1.8637879322394604E-2</c:v>
                </c:pt>
                <c:pt idx="546">
                  <c:v>1.8639864655058961E-2</c:v>
                </c:pt>
                <c:pt idx="547">
                  <c:v>1.8642079810400721E-2</c:v>
                </c:pt>
                <c:pt idx="548">
                  <c:v>1.8644967820299774E-2</c:v>
                </c:pt>
                <c:pt idx="549">
                  <c:v>1.8647571976849853E-2</c:v>
                </c:pt>
                <c:pt idx="550">
                  <c:v>1.8651794283832488E-2</c:v>
                </c:pt>
                <c:pt idx="551">
                  <c:v>1.8655785954128527E-2</c:v>
                </c:pt>
                <c:pt idx="552">
                  <c:v>1.8659932640819145E-2</c:v>
                </c:pt>
                <c:pt idx="553">
                  <c:v>1.8664210941914838E-2</c:v>
                </c:pt>
                <c:pt idx="554">
                  <c:v>1.8670042142262595E-2</c:v>
                </c:pt>
                <c:pt idx="555">
                  <c:v>1.8675925245605619E-2</c:v>
                </c:pt>
                <c:pt idx="556">
                  <c:v>1.8681414612783057E-2</c:v>
                </c:pt>
                <c:pt idx="557">
                  <c:v>1.8688498480426734E-2</c:v>
                </c:pt>
                <c:pt idx="558">
                  <c:v>1.8695411001765545E-2</c:v>
                </c:pt>
                <c:pt idx="559">
                  <c:v>1.8702984187555321E-2</c:v>
                </c:pt>
                <c:pt idx="560">
                  <c:v>1.8710127474223612E-2</c:v>
                </c:pt>
                <c:pt idx="561">
                  <c:v>1.8719193269261747E-2</c:v>
                </c:pt>
                <c:pt idx="562">
                  <c:v>1.8727801815189151E-2</c:v>
                </c:pt>
                <c:pt idx="563">
                  <c:v>1.8736486512027053E-2</c:v>
                </c:pt>
                <c:pt idx="564">
                  <c:v>1.8745289587544178E-2</c:v>
                </c:pt>
                <c:pt idx="565">
                  <c:v>1.8756127710663793E-2</c:v>
                </c:pt>
                <c:pt idx="566">
                  <c:v>1.8766070801240535E-2</c:v>
                </c:pt>
                <c:pt idx="567">
                  <c:v>1.8776084547551898E-2</c:v>
                </c:pt>
                <c:pt idx="568">
                  <c:v>1.8788216128219688E-2</c:v>
                </c:pt>
                <c:pt idx="569">
                  <c:v>1.8799745716557653E-2</c:v>
                </c:pt>
                <c:pt idx="570">
                  <c:v>1.8812084941852235E-2</c:v>
                </c:pt>
                <c:pt idx="571">
                  <c:v>1.8824462606432477E-2</c:v>
                </c:pt>
                <c:pt idx="572">
                  <c:v>1.8836972014010502E-2</c:v>
                </c:pt>
                <c:pt idx="573">
                  <c:v>1.8850469879455455E-2</c:v>
                </c:pt>
                <c:pt idx="574">
                  <c:v>1.8864993156892652E-2</c:v>
                </c:pt>
                <c:pt idx="575">
                  <c:v>1.8877878923832202E-2</c:v>
                </c:pt>
                <c:pt idx="576">
                  <c:v>1.8893297065104918E-2</c:v>
                </c:pt>
                <c:pt idx="577">
                  <c:v>1.8907468660813723E-2</c:v>
                </c:pt>
                <c:pt idx="578">
                  <c:v>1.8924792543331174E-2</c:v>
                </c:pt>
                <c:pt idx="579">
                  <c:v>1.8938263805540728E-2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962752"/>
        <c:axId val="577964288"/>
      </c:lineChart>
      <c:dateAx>
        <c:axId val="5779627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7964288"/>
        <c:crosses val="autoZero"/>
        <c:auto val="1"/>
        <c:lblOffset val="100"/>
        <c:baseTimeUnit val="months"/>
      </c:dateAx>
      <c:valAx>
        <c:axId val="5779642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796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200682106905583"/>
          <c:w val="0.18735788782981075"/>
          <c:h val="0.2163302695335539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6M '!$M$2:$M$581</c:f>
              <c:numCache>
                <c:formatCode>ddd\,\ dd\-mmm\-yyyy</c:formatCode>
                <c:ptCount val="580"/>
                <c:pt idx="0">
                  <c:v>41943</c:v>
                </c:pt>
                <c:pt idx="1">
                  <c:v>41974</c:v>
                </c:pt>
                <c:pt idx="2">
                  <c:v>42006</c:v>
                </c:pt>
                <c:pt idx="3">
                  <c:v>42037</c:v>
                </c:pt>
                <c:pt idx="4">
                  <c:v>42065</c:v>
                </c:pt>
                <c:pt idx="5">
                  <c:v>42096</c:v>
                </c:pt>
                <c:pt idx="6">
                  <c:v>42128</c:v>
                </c:pt>
                <c:pt idx="7">
                  <c:v>42159</c:v>
                </c:pt>
                <c:pt idx="8">
                  <c:v>42191</c:v>
                </c:pt>
                <c:pt idx="9">
                  <c:v>42222</c:v>
                </c:pt>
                <c:pt idx="10">
                  <c:v>42254</c:v>
                </c:pt>
                <c:pt idx="11">
                  <c:v>42284</c:v>
                </c:pt>
                <c:pt idx="12">
                  <c:v>42317</c:v>
                </c:pt>
                <c:pt idx="13">
                  <c:v>42347</c:v>
                </c:pt>
                <c:pt idx="14">
                  <c:v>42380</c:v>
                </c:pt>
                <c:pt idx="15">
                  <c:v>42411</c:v>
                </c:pt>
                <c:pt idx="16">
                  <c:v>42440</c:v>
                </c:pt>
                <c:pt idx="17">
                  <c:v>42471</c:v>
                </c:pt>
                <c:pt idx="18">
                  <c:v>42501</c:v>
                </c:pt>
                <c:pt idx="19">
                  <c:v>42534</c:v>
                </c:pt>
                <c:pt idx="20">
                  <c:v>42564</c:v>
                </c:pt>
                <c:pt idx="21">
                  <c:v>42597</c:v>
                </c:pt>
                <c:pt idx="22">
                  <c:v>42628</c:v>
                </c:pt>
                <c:pt idx="23">
                  <c:v>42660</c:v>
                </c:pt>
                <c:pt idx="24">
                  <c:v>42691</c:v>
                </c:pt>
                <c:pt idx="25">
                  <c:v>42723</c:v>
                </c:pt>
                <c:pt idx="26">
                  <c:v>42754</c:v>
                </c:pt>
                <c:pt idx="27">
                  <c:v>42786</c:v>
                </c:pt>
                <c:pt idx="28">
                  <c:v>42814</c:v>
                </c:pt>
                <c:pt idx="29">
                  <c:v>42845</c:v>
                </c:pt>
                <c:pt idx="30">
                  <c:v>42877</c:v>
                </c:pt>
                <c:pt idx="31">
                  <c:v>42908</c:v>
                </c:pt>
                <c:pt idx="32">
                  <c:v>42940</c:v>
                </c:pt>
                <c:pt idx="33">
                  <c:v>42971</c:v>
                </c:pt>
                <c:pt idx="34">
                  <c:v>43003</c:v>
                </c:pt>
                <c:pt idx="35">
                  <c:v>43033</c:v>
                </c:pt>
                <c:pt idx="36">
                  <c:v>43066</c:v>
                </c:pt>
                <c:pt idx="37">
                  <c:v>43096</c:v>
                </c:pt>
                <c:pt idx="38">
                  <c:v>43129</c:v>
                </c:pt>
                <c:pt idx="39">
                  <c:v>43159</c:v>
                </c:pt>
                <c:pt idx="40">
                  <c:v>43187</c:v>
                </c:pt>
                <c:pt idx="41">
                  <c:v>43220</c:v>
                </c:pt>
                <c:pt idx="42">
                  <c:v>43250</c:v>
                </c:pt>
                <c:pt idx="43">
                  <c:v>43283</c:v>
                </c:pt>
                <c:pt idx="44">
                  <c:v>43314</c:v>
                </c:pt>
                <c:pt idx="45">
                  <c:v>43346</c:v>
                </c:pt>
                <c:pt idx="46">
                  <c:v>43376</c:v>
                </c:pt>
                <c:pt idx="47">
                  <c:v>43409</c:v>
                </c:pt>
                <c:pt idx="48">
                  <c:v>43439</c:v>
                </c:pt>
                <c:pt idx="49">
                  <c:v>43472</c:v>
                </c:pt>
                <c:pt idx="50">
                  <c:v>43503</c:v>
                </c:pt>
                <c:pt idx="51">
                  <c:v>43531</c:v>
                </c:pt>
                <c:pt idx="52">
                  <c:v>43563</c:v>
                </c:pt>
                <c:pt idx="53">
                  <c:v>43593</c:v>
                </c:pt>
                <c:pt idx="54">
                  <c:v>43626</c:v>
                </c:pt>
                <c:pt idx="55">
                  <c:v>43656</c:v>
                </c:pt>
                <c:pt idx="56">
                  <c:v>43689</c:v>
                </c:pt>
                <c:pt idx="57">
                  <c:v>43720</c:v>
                </c:pt>
                <c:pt idx="58">
                  <c:v>43752</c:v>
                </c:pt>
                <c:pt idx="59">
                  <c:v>43783</c:v>
                </c:pt>
                <c:pt idx="60">
                  <c:v>43815</c:v>
                </c:pt>
                <c:pt idx="61">
                  <c:v>43846</c:v>
                </c:pt>
                <c:pt idx="62">
                  <c:v>43878</c:v>
                </c:pt>
                <c:pt idx="63">
                  <c:v>43907</c:v>
                </c:pt>
                <c:pt idx="64">
                  <c:v>43938</c:v>
                </c:pt>
                <c:pt idx="65">
                  <c:v>43969</c:v>
                </c:pt>
                <c:pt idx="66">
                  <c:v>44000</c:v>
                </c:pt>
                <c:pt idx="67">
                  <c:v>44032</c:v>
                </c:pt>
                <c:pt idx="68">
                  <c:v>44063</c:v>
                </c:pt>
                <c:pt idx="69">
                  <c:v>44095</c:v>
                </c:pt>
                <c:pt idx="70">
                  <c:v>44125</c:v>
                </c:pt>
                <c:pt idx="71">
                  <c:v>44158</c:v>
                </c:pt>
                <c:pt idx="72">
                  <c:v>44188</c:v>
                </c:pt>
                <c:pt idx="73">
                  <c:v>44221</c:v>
                </c:pt>
                <c:pt idx="74">
                  <c:v>44252</c:v>
                </c:pt>
                <c:pt idx="75">
                  <c:v>44280</c:v>
                </c:pt>
                <c:pt idx="76">
                  <c:v>44312</c:v>
                </c:pt>
                <c:pt idx="77">
                  <c:v>44342</c:v>
                </c:pt>
                <c:pt idx="78">
                  <c:v>44375</c:v>
                </c:pt>
                <c:pt idx="79">
                  <c:v>44405</c:v>
                </c:pt>
                <c:pt idx="80">
                  <c:v>44438</c:v>
                </c:pt>
                <c:pt idx="81">
                  <c:v>44469</c:v>
                </c:pt>
                <c:pt idx="82">
                  <c:v>44501</c:v>
                </c:pt>
                <c:pt idx="83">
                  <c:v>44531</c:v>
                </c:pt>
                <c:pt idx="84">
                  <c:v>44564</c:v>
                </c:pt>
                <c:pt idx="85">
                  <c:v>44595</c:v>
                </c:pt>
                <c:pt idx="86">
                  <c:v>44623</c:v>
                </c:pt>
                <c:pt idx="87">
                  <c:v>44655</c:v>
                </c:pt>
                <c:pt idx="88">
                  <c:v>44685</c:v>
                </c:pt>
                <c:pt idx="89">
                  <c:v>44718</c:v>
                </c:pt>
                <c:pt idx="90">
                  <c:v>44748</c:v>
                </c:pt>
                <c:pt idx="91">
                  <c:v>44781</c:v>
                </c:pt>
                <c:pt idx="92">
                  <c:v>44812</c:v>
                </c:pt>
                <c:pt idx="93">
                  <c:v>44844</c:v>
                </c:pt>
                <c:pt idx="94">
                  <c:v>44875</c:v>
                </c:pt>
                <c:pt idx="95">
                  <c:v>44907</c:v>
                </c:pt>
                <c:pt idx="96">
                  <c:v>44938</c:v>
                </c:pt>
                <c:pt idx="97">
                  <c:v>44970</c:v>
                </c:pt>
                <c:pt idx="98">
                  <c:v>44998</c:v>
                </c:pt>
                <c:pt idx="99">
                  <c:v>45029</c:v>
                </c:pt>
                <c:pt idx="100">
                  <c:v>45061</c:v>
                </c:pt>
                <c:pt idx="101">
                  <c:v>45092</c:v>
                </c:pt>
                <c:pt idx="102">
                  <c:v>45124</c:v>
                </c:pt>
                <c:pt idx="103">
                  <c:v>45155</c:v>
                </c:pt>
                <c:pt idx="104">
                  <c:v>45187</c:v>
                </c:pt>
                <c:pt idx="105">
                  <c:v>45217</c:v>
                </c:pt>
                <c:pt idx="106">
                  <c:v>45250</c:v>
                </c:pt>
                <c:pt idx="107">
                  <c:v>45280</c:v>
                </c:pt>
                <c:pt idx="108">
                  <c:v>45313</c:v>
                </c:pt>
                <c:pt idx="109">
                  <c:v>45344</c:v>
                </c:pt>
                <c:pt idx="110">
                  <c:v>45373</c:v>
                </c:pt>
                <c:pt idx="111">
                  <c:v>45404</c:v>
                </c:pt>
                <c:pt idx="112">
                  <c:v>45434</c:v>
                </c:pt>
                <c:pt idx="113">
                  <c:v>45467</c:v>
                </c:pt>
                <c:pt idx="114">
                  <c:v>45497</c:v>
                </c:pt>
                <c:pt idx="115">
                  <c:v>45530</c:v>
                </c:pt>
                <c:pt idx="116">
                  <c:v>45561</c:v>
                </c:pt>
                <c:pt idx="117">
                  <c:v>45593</c:v>
                </c:pt>
                <c:pt idx="118">
                  <c:v>45624</c:v>
                </c:pt>
                <c:pt idx="119">
                  <c:v>45656</c:v>
                </c:pt>
                <c:pt idx="120">
                  <c:v>45687</c:v>
                </c:pt>
                <c:pt idx="121">
                  <c:v>45716</c:v>
                </c:pt>
                <c:pt idx="122">
                  <c:v>45744</c:v>
                </c:pt>
                <c:pt idx="123">
                  <c:v>45775</c:v>
                </c:pt>
                <c:pt idx="124">
                  <c:v>45805</c:v>
                </c:pt>
                <c:pt idx="125">
                  <c:v>45838</c:v>
                </c:pt>
                <c:pt idx="126">
                  <c:v>45868</c:v>
                </c:pt>
                <c:pt idx="127">
                  <c:v>45901</c:v>
                </c:pt>
                <c:pt idx="128">
                  <c:v>45931</c:v>
                </c:pt>
                <c:pt idx="129">
                  <c:v>45964</c:v>
                </c:pt>
                <c:pt idx="130">
                  <c:v>45994</c:v>
                </c:pt>
                <c:pt idx="131">
                  <c:v>46027</c:v>
                </c:pt>
                <c:pt idx="132">
                  <c:v>46058</c:v>
                </c:pt>
                <c:pt idx="133">
                  <c:v>46086</c:v>
                </c:pt>
                <c:pt idx="134">
                  <c:v>46119</c:v>
                </c:pt>
                <c:pt idx="135">
                  <c:v>46149</c:v>
                </c:pt>
                <c:pt idx="136">
                  <c:v>46181</c:v>
                </c:pt>
                <c:pt idx="137">
                  <c:v>46211</c:v>
                </c:pt>
                <c:pt idx="138">
                  <c:v>46244</c:v>
                </c:pt>
                <c:pt idx="139">
                  <c:v>46275</c:v>
                </c:pt>
                <c:pt idx="140">
                  <c:v>46307</c:v>
                </c:pt>
                <c:pt idx="141">
                  <c:v>46338</c:v>
                </c:pt>
                <c:pt idx="142">
                  <c:v>46370</c:v>
                </c:pt>
                <c:pt idx="143">
                  <c:v>46401</c:v>
                </c:pt>
                <c:pt idx="144">
                  <c:v>46433</c:v>
                </c:pt>
                <c:pt idx="145">
                  <c:v>46461</c:v>
                </c:pt>
                <c:pt idx="146">
                  <c:v>46492</c:v>
                </c:pt>
                <c:pt idx="147">
                  <c:v>46524</c:v>
                </c:pt>
                <c:pt idx="148">
                  <c:v>46555</c:v>
                </c:pt>
                <c:pt idx="149">
                  <c:v>46587</c:v>
                </c:pt>
                <c:pt idx="150">
                  <c:v>46618</c:v>
                </c:pt>
                <c:pt idx="151">
                  <c:v>46650</c:v>
                </c:pt>
                <c:pt idx="152">
                  <c:v>46680</c:v>
                </c:pt>
                <c:pt idx="153">
                  <c:v>46713</c:v>
                </c:pt>
                <c:pt idx="154">
                  <c:v>46743</c:v>
                </c:pt>
                <c:pt idx="155">
                  <c:v>46776</c:v>
                </c:pt>
                <c:pt idx="156">
                  <c:v>46807</c:v>
                </c:pt>
                <c:pt idx="157">
                  <c:v>46836</c:v>
                </c:pt>
                <c:pt idx="158">
                  <c:v>46867</c:v>
                </c:pt>
                <c:pt idx="159">
                  <c:v>46897</c:v>
                </c:pt>
                <c:pt idx="160">
                  <c:v>46930</c:v>
                </c:pt>
                <c:pt idx="161">
                  <c:v>46960</c:v>
                </c:pt>
                <c:pt idx="162">
                  <c:v>46993</c:v>
                </c:pt>
                <c:pt idx="163">
                  <c:v>47024</c:v>
                </c:pt>
                <c:pt idx="164">
                  <c:v>47056</c:v>
                </c:pt>
                <c:pt idx="165">
                  <c:v>47087</c:v>
                </c:pt>
                <c:pt idx="166">
                  <c:v>47120</c:v>
                </c:pt>
                <c:pt idx="167">
                  <c:v>47151</c:v>
                </c:pt>
                <c:pt idx="168">
                  <c:v>47179</c:v>
                </c:pt>
                <c:pt idx="169">
                  <c:v>47211</c:v>
                </c:pt>
                <c:pt idx="170">
                  <c:v>47241</c:v>
                </c:pt>
                <c:pt idx="171">
                  <c:v>47273</c:v>
                </c:pt>
                <c:pt idx="172">
                  <c:v>47303</c:v>
                </c:pt>
                <c:pt idx="173">
                  <c:v>47336</c:v>
                </c:pt>
                <c:pt idx="174">
                  <c:v>47367</c:v>
                </c:pt>
                <c:pt idx="175">
                  <c:v>47399</c:v>
                </c:pt>
                <c:pt idx="176">
                  <c:v>47430</c:v>
                </c:pt>
                <c:pt idx="177">
                  <c:v>47462</c:v>
                </c:pt>
                <c:pt idx="178">
                  <c:v>47493</c:v>
                </c:pt>
                <c:pt idx="179">
                  <c:v>47525</c:v>
                </c:pt>
                <c:pt idx="180">
                  <c:v>47553</c:v>
                </c:pt>
                <c:pt idx="181">
                  <c:v>47584</c:v>
                </c:pt>
                <c:pt idx="182">
                  <c:v>47616</c:v>
                </c:pt>
                <c:pt idx="183">
                  <c:v>47647</c:v>
                </c:pt>
                <c:pt idx="184">
                  <c:v>47679</c:v>
                </c:pt>
                <c:pt idx="185">
                  <c:v>47710</c:v>
                </c:pt>
                <c:pt idx="186">
                  <c:v>47742</c:v>
                </c:pt>
                <c:pt idx="187">
                  <c:v>47772</c:v>
                </c:pt>
                <c:pt idx="188">
                  <c:v>47805</c:v>
                </c:pt>
                <c:pt idx="189">
                  <c:v>47835</c:v>
                </c:pt>
                <c:pt idx="190">
                  <c:v>47868</c:v>
                </c:pt>
                <c:pt idx="191">
                  <c:v>47899</c:v>
                </c:pt>
                <c:pt idx="192">
                  <c:v>47927</c:v>
                </c:pt>
                <c:pt idx="193">
                  <c:v>47959</c:v>
                </c:pt>
                <c:pt idx="194">
                  <c:v>47989</c:v>
                </c:pt>
                <c:pt idx="195">
                  <c:v>48022</c:v>
                </c:pt>
                <c:pt idx="196">
                  <c:v>48052</c:v>
                </c:pt>
                <c:pt idx="197">
                  <c:v>48085</c:v>
                </c:pt>
                <c:pt idx="198">
                  <c:v>48116</c:v>
                </c:pt>
                <c:pt idx="199">
                  <c:v>48148</c:v>
                </c:pt>
                <c:pt idx="200">
                  <c:v>48179</c:v>
                </c:pt>
                <c:pt idx="201">
                  <c:v>48211</c:v>
                </c:pt>
                <c:pt idx="202">
                  <c:v>48242</c:v>
                </c:pt>
                <c:pt idx="203">
                  <c:v>48274</c:v>
                </c:pt>
                <c:pt idx="204">
                  <c:v>48305</c:v>
                </c:pt>
                <c:pt idx="205">
                  <c:v>48337</c:v>
                </c:pt>
                <c:pt idx="206">
                  <c:v>48368</c:v>
                </c:pt>
                <c:pt idx="207">
                  <c:v>48400</c:v>
                </c:pt>
                <c:pt idx="208">
                  <c:v>48431</c:v>
                </c:pt>
                <c:pt idx="209">
                  <c:v>48463</c:v>
                </c:pt>
                <c:pt idx="210">
                  <c:v>48493</c:v>
                </c:pt>
                <c:pt idx="211">
                  <c:v>48526</c:v>
                </c:pt>
                <c:pt idx="212">
                  <c:v>48556</c:v>
                </c:pt>
                <c:pt idx="213">
                  <c:v>48589</c:v>
                </c:pt>
                <c:pt idx="214">
                  <c:v>48620</c:v>
                </c:pt>
                <c:pt idx="215">
                  <c:v>48648</c:v>
                </c:pt>
                <c:pt idx="216">
                  <c:v>48680</c:v>
                </c:pt>
                <c:pt idx="217">
                  <c:v>48710</c:v>
                </c:pt>
                <c:pt idx="218">
                  <c:v>48743</c:v>
                </c:pt>
                <c:pt idx="219">
                  <c:v>48773</c:v>
                </c:pt>
                <c:pt idx="220">
                  <c:v>48806</c:v>
                </c:pt>
                <c:pt idx="221">
                  <c:v>48837</c:v>
                </c:pt>
                <c:pt idx="222">
                  <c:v>48869</c:v>
                </c:pt>
                <c:pt idx="223">
                  <c:v>48900</c:v>
                </c:pt>
                <c:pt idx="224">
                  <c:v>48932</c:v>
                </c:pt>
                <c:pt idx="225">
                  <c:v>48963</c:v>
                </c:pt>
                <c:pt idx="226">
                  <c:v>48995</c:v>
                </c:pt>
                <c:pt idx="227">
                  <c:v>49023</c:v>
                </c:pt>
                <c:pt idx="228">
                  <c:v>49054</c:v>
                </c:pt>
                <c:pt idx="229">
                  <c:v>49086</c:v>
                </c:pt>
                <c:pt idx="230">
                  <c:v>49117</c:v>
                </c:pt>
                <c:pt idx="231">
                  <c:v>49149</c:v>
                </c:pt>
                <c:pt idx="232">
                  <c:v>49180</c:v>
                </c:pt>
                <c:pt idx="233">
                  <c:v>49212</c:v>
                </c:pt>
                <c:pt idx="234">
                  <c:v>49242</c:v>
                </c:pt>
                <c:pt idx="235">
                  <c:v>49275</c:v>
                </c:pt>
                <c:pt idx="236">
                  <c:v>49305</c:v>
                </c:pt>
                <c:pt idx="237">
                  <c:v>49338</c:v>
                </c:pt>
                <c:pt idx="238">
                  <c:v>49368</c:v>
                </c:pt>
                <c:pt idx="239">
                  <c:v>49396</c:v>
                </c:pt>
                <c:pt idx="240">
                  <c:v>49429</c:v>
                </c:pt>
                <c:pt idx="241">
                  <c:v>49459</c:v>
                </c:pt>
                <c:pt idx="242">
                  <c:v>49492</c:v>
                </c:pt>
                <c:pt idx="243">
                  <c:v>49523</c:v>
                </c:pt>
                <c:pt idx="244">
                  <c:v>49555</c:v>
                </c:pt>
                <c:pt idx="245">
                  <c:v>49585</c:v>
                </c:pt>
                <c:pt idx="246">
                  <c:v>49618</c:v>
                </c:pt>
                <c:pt idx="247">
                  <c:v>49648</c:v>
                </c:pt>
                <c:pt idx="248">
                  <c:v>49681</c:v>
                </c:pt>
                <c:pt idx="249">
                  <c:v>49712</c:v>
                </c:pt>
                <c:pt idx="250">
                  <c:v>49741</c:v>
                </c:pt>
                <c:pt idx="251">
                  <c:v>49772</c:v>
                </c:pt>
                <c:pt idx="252">
                  <c:v>49802</c:v>
                </c:pt>
                <c:pt idx="253">
                  <c:v>49835</c:v>
                </c:pt>
                <c:pt idx="254">
                  <c:v>49865</c:v>
                </c:pt>
                <c:pt idx="255">
                  <c:v>49898</c:v>
                </c:pt>
                <c:pt idx="256">
                  <c:v>49929</c:v>
                </c:pt>
                <c:pt idx="257">
                  <c:v>49961</c:v>
                </c:pt>
                <c:pt idx="258">
                  <c:v>49992</c:v>
                </c:pt>
                <c:pt idx="259">
                  <c:v>50024</c:v>
                </c:pt>
                <c:pt idx="260">
                  <c:v>50055</c:v>
                </c:pt>
                <c:pt idx="261">
                  <c:v>50087</c:v>
                </c:pt>
                <c:pt idx="262">
                  <c:v>50115</c:v>
                </c:pt>
                <c:pt idx="263">
                  <c:v>50146</c:v>
                </c:pt>
                <c:pt idx="264">
                  <c:v>50178</c:v>
                </c:pt>
                <c:pt idx="265">
                  <c:v>50209</c:v>
                </c:pt>
                <c:pt idx="266">
                  <c:v>50241</c:v>
                </c:pt>
                <c:pt idx="267">
                  <c:v>50272</c:v>
                </c:pt>
                <c:pt idx="268">
                  <c:v>50304</c:v>
                </c:pt>
                <c:pt idx="269">
                  <c:v>50334</c:v>
                </c:pt>
                <c:pt idx="270">
                  <c:v>50367</c:v>
                </c:pt>
                <c:pt idx="271">
                  <c:v>50397</c:v>
                </c:pt>
                <c:pt idx="272">
                  <c:v>50430</c:v>
                </c:pt>
                <c:pt idx="273">
                  <c:v>50461</c:v>
                </c:pt>
                <c:pt idx="274">
                  <c:v>50489</c:v>
                </c:pt>
                <c:pt idx="275">
                  <c:v>50522</c:v>
                </c:pt>
                <c:pt idx="276">
                  <c:v>50552</c:v>
                </c:pt>
                <c:pt idx="277">
                  <c:v>50584</c:v>
                </c:pt>
                <c:pt idx="278">
                  <c:v>50614</c:v>
                </c:pt>
                <c:pt idx="279">
                  <c:v>50647</c:v>
                </c:pt>
                <c:pt idx="280">
                  <c:v>50678</c:v>
                </c:pt>
                <c:pt idx="281">
                  <c:v>50710</c:v>
                </c:pt>
                <c:pt idx="282">
                  <c:v>50740</c:v>
                </c:pt>
                <c:pt idx="283">
                  <c:v>50773</c:v>
                </c:pt>
                <c:pt idx="284">
                  <c:v>50804</c:v>
                </c:pt>
                <c:pt idx="285">
                  <c:v>50832</c:v>
                </c:pt>
                <c:pt idx="286">
                  <c:v>50864</c:v>
                </c:pt>
                <c:pt idx="287">
                  <c:v>50894</c:v>
                </c:pt>
                <c:pt idx="288">
                  <c:v>50927</c:v>
                </c:pt>
                <c:pt idx="289">
                  <c:v>50957</c:v>
                </c:pt>
                <c:pt idx="290">
                  <c:v>50990</c:v>
                </c:pt>
                <c:pt idx="291">
                  <c:v>51021</c:v>
                </c:pt>
                <c:pt idx="292">
                  <c:v>51053</c:v>
                </c:pt>
                <c:pt idx="293">
                  <c:v>51084</c:v>
                </c:pt>
                <c:pt idx="294">
                  <c:v>51116</c:v>
                </c:pt>
                <c:pt idx="295">
                  <c:v>51147</c:v>
                </c:pt>
                <c:pt idx="296">
                  <c:v>51179</c:v>
                </c:pt>
                <c:pt idx="297">
                  <c:v>51208</c:v>
                </c:pt>
                <c:pt idx="298">
                  <c:v>51239</c:v>
                </c:pt>
                <c:pt idx="299">
                  <c:v>51270</c:v>
                </c:pt>
                <c:pt idx="300">
                  <c:v>51301</c:v>
                </c:pt>
                <c:pt idx="301">
                  <c:v>51333</c:v>
                </c:pt>
                <c:pt idx="302">
                  <c:v>51364</c:v>
                </c:pt>
                <c:pt idx="303">
                  <c:v>51396</c:v>
                </c:pt>
                <c:pt idx="304">
                  <c:v>51426</c:v>
                </c:pt>
                <c:pt idx="305">
                  <c:v>51459</c:v>
                </c:pt>
                <c:pt idx="306">
                  <c:v>51489</c:v>
                </c:pt>
                <c:pt idx="307">
                  <c:v>51522</c:v>
                </c:pt>
                <c:pt idx="308">
                  <c:v>51553</c:v>
                </c:pt>
                <c:pt idx="309">
                  <c:v>51581</c:v>
                </c:pt>
                <c:pt idx="310">
                  <c:v>51614</c:v>
                </c:pt>
                <c:pt idx="311">
                  <c:v>51644</c:v>
                </c:pt>
                <c:pt idx="312">
                  <c:v>51676</c:v>
                </c:pt>
                <c:pt idx="313">
                  <c:v>51706</c:v>
                </c:pt>
                <c:pt idx="314">
                  <c:v>51739</c:v>
                </c:pt>
                <c:pt idx="315">
                  <c:v>51770</c:v>
                </c:pt>
                <c:pt idx="316">
                  <c:v>51802</c:v>
                </c:pt>
                <c:pt idx="317">
                  <c:v>51833</c:v>
                </c:pt>
                <c:pt idx="318">
                  <c:v>51865</c:v>
                </c:pt>
                <c:pt idx="319">
                  <c:v>51896</c:v>
                </c:pt>
                <c:pt idx="320">
                  <c:v>51925</c:v>
                </c:pt>
                <c:pt idx="321">
                  <c:v>51953</c:v>
                </c:pt>
                <c:pt idx="322">
                  <c:v>51984</c:v>
                </c:pt>
                <c:pt idx="323">
                  <c:v>52014</c:v>
                </c:pt>
                <c:pt idx="324">
                  <c:v>52047</c:v>
                </c:pt>
                <c:pt idx="325">
                  <c:v>52077</c:v>
                </c:pt>
                <c:pt idx="326">
                  <c:v>52110</c:v>
                </c:pt>
                <c:pt idx="327">
                  <c:v>52140</c:v>
                </c:pt>
                <c:pt idx="328">
                  <c:v>52173</c:v>
                </c:pt>
                <c:pt idx="329">
                  <c:v>52203</c:v>
                </c:pt>
                <c:pt idx="330">
                  <c:v>52236</c:v>
                </c:pt>
                <c:pt idx="331">
                  <c:v>52267</c:v>
                </c:pt>
                <c:pt idx="332">
                  <c:v>52295</c:v>
                </c:pt>
                <c:pt idx="333">
                  <c:v>52327</c:v>
                </c:pt>
                <c:pt idx="334">
                  <c:v>52357</c:v>
                </c:pt>
                <c:pt idx="335">
                  <c:v>52390</c:v>
                </c:pt>
                <c:pt idx="336">
                  <c:v>52420</c:v>
                </c:pt>
                <c:pt idx="337">
                  <c:v>52453</c:v>
                </c:pt>
                <c:pt idx="338">
                  <c:v>52484</c:v>
                </c:pt>
                <c:pt idx="339">
                  <c:v>52516</c:v>
                </c:pt>
                <c:pt idx="340">
                  <c:v>52547</c:v>
                </c:pt>
                <c:pt idx="341">
                  <c:v>52579</c:v>
                </c:pt>
                <c:pt idx="342">
                  <c:v>52610</c:v>
                </c:pt>
                <c:pt idx="343">
                  <c:v>52642</c:v>
                </c:pt>
                <c:pt idx="344">
                  <c:v>52671</c:v>
                </c:pt>
                <c:pt idx="345">
                  <c:v>52706</c:v>
                </c:pt>
                <c:pt idx="346">
                  <c:v>52736</c:v>
                </c:pt>
                <c:pt idx="347">
                  <c:v>52768</c:v>
                </c:pt>
                <c:pt idx="348">
                  <c:v>52798</c:v>
                </c:pt>
                <c:pt idx="349">
                  <c:v>52831</c:v>
                </c:pt>
                <c:pt idx="350">
                  <c:v>52862</c:v>
                </c:pt>
                <c:pt idx="351">
                  <c:v>52894</c:v>
                </c:pt>
                <c:pt idx="352">
                  <c:v>52925</c:v>
                </c:pt>
                <c:pt idx="353">
                  <c:v>52958</c:v>
                </c:pt>
                <c:pt idx="354">
                  <c:v>52989</c:v>
                </c:pt>
                <c:pt idx="355">
                  <c:v>53020</c:v>
                </c:pt>
                <c:pt idx="356">
                  <c:v>53048</c:v>
                </c:pt>
                <c:pt idx="357">
                  <c:v>53079</c:v>
                </c:pt>
                <c:pt idx="358">
                  <c:v>53111</c:v>
                </c:pt>
                <c:pt idx="359">
                  <c:v>53142</c:v>
                </c:pt>
                <c:pt idx="360">
                  <c:v>53174</c:v>
                </c:pt>
                <c:pt idx="361">
                  <c:v>53205</c:v>
                </c:pt>
                <c:pt idx="362">
                  <c:v>53237</c:v>
                </c:pt>
                <c:pt idx="363">
                  <c:v>53268</c:v>
                </c:pt>
                <c:pt idx="364">
                  <c:v>53300</c:v>
                </c:pt>
                <c:pt idx="365">
                  <c:v>53331</c:v>
                </c:pt>
                <c:pt idx="366">
                  <c:v>53363</c:v>
                </c:pt>
                <c:pt idx="367">
                  <c:v>53391</c:v>
                </c:pt>
                <c:pt idx="368">
                  <c:v>53422</c:v>
                </c:pt>
                <c:pt idx="369">
                  <c:v>53454</c:v>
                </c:pt>
                <c:pt idx="370">
                  <c:v>53485</c:v>
                </c:pt>
                <c:pt idx="371">
                  <c:v>53517</c:v>
                </c:pt>
                <c:pt idx="372">
                  <c:v>53548</c:v>
                </c:pt>
                <c:pt idx="373">
                  <c:v>53580</c:v>
                </c:pt>
                <c:pt idx="374">
                  <c:v>53610</c:v>
                </c:pt>
                <c:pt idx="375">
                  <c:v>53643</c:v>
                </c:pt>
                <c:pt idx="376">
                  <c:v>53673</c:v>
                </c:pt>
                <c:pt idx="377">
                  <c:v>53706</c:v>
                </c:pt>
                <c:pt idx="378">
                  <c:v>53737</c:v>
                </c:pt>
                <c:pt idx="379">
                  <c:v>53765</c:v>
                </c:pt>
                <c:pt idx="380">
                  <c:v>53798</c:v>
                </c:pt>
                <c:pt idx="381">
                  <c:v>53828</c:v>
                </c:pt>
                <c:pt idx="382">
                  <c:v>53860</c:v>
                </c:pt>
                <c:pt idx="383">
                  <c:v>53890</c:v>
                </c:pt>
                <c:pt idx="384">
                  <c:v>53923</c:v>
                </c:pt>
                <c:pt idx="385">
                  <c:v>53954</c:v>
                </c:pt>
                <c:pt idx="386">
                  <c:v>53986</c:v>
                </c:pt>
                <c:pt idx="387">
                  <c:v>54017</c:v>
                </c:pt>
                <c:pt idx="388">
                  <c:v>54049</c:v>
                </c:pt>
                <c:pt idx="389">
                  <c:v>54080</c:v>
                </c:pt>
                <c:pt idx="390">
                  <c:v>54112</c:v>
                </c:pt>
                <c:pt idx="391">
                  <c:v>54141</c:v>
                </c:pt>
                <c:pt idx="392">
                  <c:v>54172</c:v>
                </c:pt>
                <c:pt idx="393">
                  <c:v>54203</c:v>
                </c:pt>
                <c:pt idx="394">
                  <c:v>54234</c:v>
                </c:pt>
                <c:pt idx="395">
                  <c:v>54266</c:v>
                </c:pt>
                <c:pt idx="396">
                  <c:v>54297</c:v>
                </c:pt>
                <c:pt idx="397">
                  <c:v>54329</c:v>
                </c:pt>
                <c:pt idx="398">
                  <c:v>54359</c:v>
                </c:pt>
                <c:pt idx="399">
                  <c:v>54392</c:v>
                </c:pt>
                <c:pt idx="400">
                  <c:v>54422</c:v>
                </c:pt>
                <c:pt idx="401">
                  <c:v>54455</c:v>
                </c:pt>
                <c:pt idx="402">
                  <c:v>54483</c:v>
                </c:pt>
                <c:pt idx="403">
                  <c:v>54514</c:v>
                </c:pt>
                <c:pt idx="404">
                  <c:v>54546</c:v>
                </c:pt>
                <c:pt idx="405">
                  <c:v>54577</c:v>
                </c:pt>
                <c:pt idx="406">
                  <c:v>54609</c:v>
                </c:pt>
                <c:pt idx="407">
                  <c:v>54640</c:v>
                </c:pt>
                <c:pt idx="408">
                  <c:v>54672</c:v>
                </c:pt>
                <c:pt idx="409">
                  <c:v>54702</c:v>
                </c:pt>
                <c:pt idx="410">
                  <c:v>54735</c:v>
                </c:pt>
                <c:pt idx="411">
                  <c:v>54765</c:v>
                </c:pt>
                <c:pt idx="412">
                  <c:v>54798</c:v>
                </c:pt>
                <c:pt idx="413">
                  <c:v>54829</c:v>
                </c:pt>
                <c:pt idx="414">
                  <c:v>54857</c:v>
                </c:pt>
                <c:pt idx="415">
                  <c:v>54890</c:v>
                </c:pt>
                <c:pt idx="416">
                  <c:v>54920</c:v>
                </c:pt>
                <c:pt idx="417">
                  <c:v>54952</c:v>
                </c:pt>
                <c:pt idx="418">
                  <c:v>54982</c:v>
                </c:pt>
                <c:pt idx="419">
                  <c:v>55015</c:v>
                </c:pt>
                <c:pt idx="420">
                  <c:v>55046</c:v>
                </c:pt>
                <c:pt idx="421">
                  <c:v>55078</c:v>
                </c:pt>
                <c:pt idx="422">
                  <c:v>55109</c:v>
                </c:pt>
                <c:pt idx="423">
                  <c:v>55141</c:v>
                </c:pt>
                <c:pt idx="424">
                  <c:v>55172</c:v>
                </c:pt>
                <c:pt idx="425">
                  <c:v>55204</c:v>
                </c:pt>
                <c:pt idx="426">
                  <c:v>55232</c:v>
                </c:pt>
                <c:pt idx="427">
                  <c:v>55263</c:v>
                </c:pt>
                <c:pt idx="428">
                  <c:v>55295</c:v>
                </c:pt>
                <c:pt idx="429">
                  <c:v>55326</c:v>
                </c:pt>
                <c:pt idx="430">
                  <c:v>55358</c:v>
                </c:pt>
                <c:pt idx="431">
                  <c:v>55389</c:v>
                </c:pt>
                <c:pt idx="432">
                  <c:v>55421</c:v>
                </c:pt>
                <c:pt idx="433">
                  <c:v>55451</c:v>
                </c:pt>
                <c:pt idx="434">
                  <c:v>55484</c:v>
                </c:pt>
                <c:pt idx="435">
                  <c:v>55514</c:v>
                </c:pt>
                <c:pt idx="436">
                  <c:v>55547</c:v>
                </c:pt>
                <c:pt idx="437">
                  <c:v>55578</c:v>
                </c:pt>
                <c:pt idx="438">
                  <c:v>55607</c:v>
                </c:pt>
                <c:pt idx="439">
                  <c:v>55638</c:v>
                </c:pt>
                <c:pt idx="440">
                  <c:v>55668</c:v>
                </c:pt>
                <c:pt idx="441">
                  <c:v>55701</c:v>
                </c:pt>
                <c:pt idx="442">
                  <c:v>55732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55857</c:v>
                </c:pt>
                <c:pt idx="447">
                  <c:v>55890</c:v>
                </c:pt>
                <c:pt idx="448">
                  <c:v>55921</c:v>
                </c:pt>
                <c:pt idx="449">
                  <c:v>55949</c:v>
                </c:pt>
                <c:pt idx="450">
                  <c:v>55982</c:v>
                </c:pt>
                <c:pt idx="451">
                  <c:v>56012</c:v>
                </c:pt>
                <c:pt idx="452">
                  <c:v>56044</c:v>
                </c:pt>
                <c:pt idx="453">
                  <c:v>56074</c:v>
                </c:pt>
                <c:pt idx="454">
                  <c:v>56107</c:v>
                </c:pt>
                <c:pt idx="455">
                  <c:v>56138</c:v>
                </c:pt>
                <c:pt idx="456">
                  <c:v>56170</c:v>
                </c:pt>
                <c:pt idx="457">
                  <c:v>56201</c:v>
                </c:pt>
                <c:pt idx="458">
                  <c:v>56233</c:v>
                </c:pt>
                <c:pt idx="459">
                  <c:v>56264</c:v>
                </c:pt>
                <c:pt idx="460">
                  <c:v>56296</c:v>
                </c:pt>
                <c:pt idx="461">
                  <c:v>56324</c:v>
                </c:pt>
                <c:pt idx="462">
                  <c:v>56355</c:v>
                </c:pt>
                <c:pt idx="463">
                  <c:v>56387</c:v>
                </c:pt>
                <c:pt idx="464">
                  <c:v>56418</c:v>
                </c:pt>
                <c:pt idx="465">
                  <c:v>56450</c:v>
                </c:pt>
                <c:pt idx="466">
                  <c:v>56481</c:v>
                </c:pt>
                <c:pt idx="467">
                  <c:v>56513</c:v>
                </c:pt>
                <c:pt idx="468">
                  <c:v>56543</c:v>
                </c:pt>
                <c:pt idx="469">
                  <c:v>56576</c:v>
                </c:pt>
                <c:pt idx="470">
                  <c:v>56606</c:v>
                </c:pt>
                <c:pt idx="471">
                  <c:v>56639</c:v>
                </c:pt>
                <c:pt idx="472">
                  <c:v>56670</c:v>
                </c:pt>
                <c:pt idx="473">
                  <c:v>56698</c:v>
                </c:pt>
                <c:pt idx="474">
                  <c:v>56730</c:v>
                </c:pt>
                <c:pt idx="475">
                  <c:v>56760</c:v>
                </c:pt>
                <c:pt idx="476">
                  <c:v>56793</c:v>
                </c:pt>
                <c:pt idx="477">
                  <c:v>56823</c:v>
                </c:pt>
                <c:pt idx="478">
                  <c:v>56856</c:v>
                </c:pt>
                <c:pt idx="479">
                  <c:v>56887</c:v>
                </c:pt>
                <c:pt idx="480">
                  <c:v>56919</c:v>
                </c:pt>
                <c:pt idx="481">
                  <c:v>56949</c:v>
                </c:pt>
                <c:pt idx="482">
                  <c:v>56982</c:v>
                </c:pt>
                <c:pt idx="483">
                  <c:v>57013</c:v>
                </c:pt>
                <c:pt idx="484">
                  <c:v>57042</c:v>
                </c:pt>
                <c:pt idx="485">
                  <c:v>57074</c:v>
                </c:pt>
                <c:pt idx="486">
                  <c:v>57104</c:v>
                </c:pt>
                <c:pt idx="487">
                  <c:v>57136</c:v>
                </c:pt>
                <c:pt idx="488">
                  <c:v>57166</c:v>
                </c:pt>
                <c:pt idx="489">
                  <c:v>57199</c:v>
                </c:pt>
                <c:pt idx="490">
                  <c:v>57230</c:v>
                </c:pt>
                <c:pt idx="491">
                  <c:v>57262</c:v>
                </c:pt>
                <c:pt idx="492">
                  <c:v>57293</c:v>
                </c:pt>
                <c:pt idx="493">
                  <c:v>57325</c:v>
                </c:pt>
                <c:pt idx="494">
                  <c:v>57356</c:v>
                </c:pt>
                <c:pt idx="495">
                  <c:v>57388</c:v>
                </c:pt>
                <c:pt idx="496">
                  <c:v>57416</c:v>
                </c:pt>
                <c:pt idx="497">
                  <c:v>57447</c:v>
                </c:pt>
                <c:pt idx="498">
                  <c:v>57479</c:v>
                </c:pt>
                <c:pt idx="499">
                  <c:v>57510</c:v>
                </c:pt>
                <c:pt idx="500">
                  <c:v>57542</c:v>
                </c:pt>
                <c:pt idx="501">
                  <c:v>57573</c:v>
                </c:pt>
                <c:pt idx="502">
                  <c:v>57605</c:v>
                </c:pt>
                <c:pt idx="503">
                  <c:v>57635</c:v>
                </c:pt>
                <c:pt idx="504">
                  <c:v>57668</c:v>
                </c:pt>
                <c:pt idx="505">
                  <c:v>57698</c:v>
                </c:pt>
                <c:pt idx="506">
                  <c:v>57731</c:v>
                </c:pt>
                <c:pt idx="507">
                  <c:v>57762</c:v>
                </c:pt>
                <c:pt idx="508">
                  <c:v>57790</c:v>
                </c:pt>
                <c:pt idx="509">
                  <c:v>57822</c:v>
                </c:pt>
                <c:pt idx="510">
                  <c:v>57852</c:v>
                </c:pt>
                <c:pt idx="511">
                  <c:v>57885</c:v>
                </c:pt>
                <c:pt idx="512">
                  <c:v>57915</c:v>
                </c:pt>
                <c:pt idx="513">
                  <c:v>57948</c:v>
                </c:pt>
                <c:pt idx="514">
                  <c:v>57979</c:v>
                </c:pt>
                <c:pt idx="515">
                  <c:v>58011</c:v>
                </c:pt>
                <c:pt idx="516">
                  <c:v>58042</c:v>
                </c:pt>
                <c:pt idx="517">
                  <c:v>58074</c:v>
                </c:pt>
                <c:pt idx="518">
                  <c:v>58105</c:v>
                </c:pt>
                <c:pt idx="519">
                  <c:v>58134</c:v>
                </c:pt>
                <c:pt idx="520">
                  <c:v>58166</c:v>
                </c:pt>
                <c:pt idx="521">
                  <c:v>58197</c:v>
                </c:pt>
                <c:pt idx="522">
                  <c:v>58228</c:v>
                </c:pt>
                <c:pt idx="523">
                  <c:v>58258</c:v>
                </c:pt>
                <c:pt idx="524">
                  <c:v>58291</c:v>
                </c:pt>
                <c:pt idx="525">
                  <c:v>58322</c:v>
                </c:pt>
                <c:pt idx="526">
                  <c:v>58354</c:v>
                </c:pt>
                <c:pt idx="527">
                  <c:v>58385</c:v>
                </c:pt>
                <c:pt idx="528">
                  <c:v>58417</c:v>
                </c:pt>
                <c:pt idx="529">
                  <c:v>58448</c:v>
                </c:pt>
                <c:pt idx="530">
                  <c:v>58480</c:v>
                </c:pt>
                <c:pt idx="531">
                  <c:v>58509</c:v>
                </c:pt>
                <c:pt idx="532">
                  <c:v>58540</c:v>
                </c:pt>
                <c:pt idx="533">
                  <c:v>58571</c:v>
                </c:pt>
                <c:pt idx="534">
                  <c:v>58602</c:v>
                </c:pt>
                <c:pt idx="535">
                  <c:v>58634</c:v>
                </c:pt>
                <c:pt idx="536">
                  <c:v>58665</c:v>
                </c:pt>
                <c:pt idx="537">
                  <c:v>58697</c:v>
                </c:pt>
                <c:pt idx="538">
                  <c:v>58727</c:v>
                </c:pt>
                <c:pt idx="539">
                  <c:v>58760</c:v>
                </c:pt>
                <c:pt idx="540">
                  <c:v>58790</c:v>
                </c:pt>
                <c:pt idx="541">
                  <c:v>58823</c:v>
                </c:pt>
                <c:pt idx="542">
                  <c:v>58854</c:v>
                </c:pt>
                <c:pt idx="543">
                  <c:v>58882</c:v>
                </c:pt>
                <c:pt idx="544">
                  <c:v>58914</c:v>
                </c:pt>
                <c:pt idx="545">
                  <c:v>58944</c:v>
                </c:pt>
                <c:pt idx="546">
                  <c:v>58977</c:v>
                </c:pt>
                <c:pt idx="547">
                  <c:v>59007</c:v>
                </c:pt>
                <c:pt idx="548">
                  <c:v>59040</c:v>
                </c:pt>
                <c:pt idx="549">
                  <c:v>59071</c:v>
                </c:pt>
                <c:pt idx="550">
                  <c:v>59103</c:v>
                </c:pt>
                <c:pt idx="551">
                  <c:v>59134</c:v>
                </c:pt>
                <c:pt idx="552">
                  <c:v>59167</c:v>
                </c:pt>
                <c:pt idx="553">
                  <c:v>59198</c:v>
                </c:pt>
                <c:pt idx="554">
                  <c:v>59229</c:v>
                </c:pt>
                <c:pt idx="555">
                  <c:v>59258</c:v>
                </c:pt>
                <c:pt idx="556">
                  <c:v>59289</c:v>
                </c:pt>
                <c:pt idx="557">
                  <c:v>59320</c:v>
                </c:pt>
                <c:pt idx="558">
                  <c:v>59351</c:v>
                </c:pt>
                <c:pt idx="559">
                  <c:v>59383</c:v>
                </c:pt>
                <c:pt idx="560">
                  <c:v>59414</c:v>
                </c:pt>
                <c:pt idx="561">
                  <c:v>59446</c:v>
                </c:pt>
                <c:pt idx="562">
                  <c:v>59477</c:v>
                </c:pt>
                <c:pt idx="563">
                  <c:v>59509</c:v>
                </c:pt>
                <c:pt idx="564">
                  <c:v>59540</c:v>
                </c:pt>
                <c:pt idx="565">
                  <c:v>59572</c:v>
                </c:pt>
                <c:pt idx="566">
                  <c:v>59600</c:v>
                </c:pt>
                <c:pt idx="567">
                  <c:v>59631</c:v>
                </c:pt>
                <c:pt idx="568">
                  <c:v>59663</c:v>
                </c:pt>
                <c:pt idx="569">
                  <c:v>59694</c:v>
                </c:pt>
                <c:pt idx="570">
                  <c:v>59726</c:v>
                </c:pt>
                <c:pt idx="571">
                  <c:v>59757</c:v>
                </c:pt>
                <c:pt idx="572">
                  <c:v>59789</c:v>
                </c:pt>
                <c:pt idx="573">
                  <c:v>59819</c:v>
                </c:pt>
                <c:pt idx="574">
                  <c:v>59852</c:v>
                </c:pt>
                <c:pt idx="575">
                  <c:v>59882</c:v>
                </c:pt>
                <c:pt idx="576">
                  <c:v>59915</c:v>
                </c:pt>
                <c:pt idx="577">
                  <c:v>59946</c:v>
                </c:pt>
                <c:pt idx="578">
                  <c:v>59975</c:v>
                </c:pt>
                <c:pt idx="579">
                  <c:v>60006</c:v>
                </c:pt>
              </c:numCache>
            </c:numRef>
          </c:cat>
          <c:val>
            <c:numRef>
              <c:f>'basis 6M '!$S$2:$S$581</c:f>
              <c:numCache>
                <c:formatCode>0.0000%</c:formatCode>
                <c:ptCount val="580"/>
                <c:pt idx="0">
                  <c:v>2.020774440497091E-3</c:v>
                </c:pt>
                <c:pt idx="1">
                  <c:v>2.0340121187424577E-3</c:v>
                </c:pt>
                <c:pt idx="2">
                  <c:v>2.0429591374204305E-3</c:v>
                </c:pt>
                <c:pt idx="3">
                  <c:v>2.2118899388676753E-3</c:v>
                </c:pt>
                <c:pt idx="4">
                  <c:v>2.3992490250939096E-3</c:v>
                </c:pt>
                <c:pt idx="5">
                  <c:v>2.5129646749961036E-3</c:v>
                </c:pt>
                <c:pt idx="6">
                  <c:v>2.4958113426654109E-3</c:v>
                </c:pt>
                <c:pt idx="7">
                  <c:v>2.5842450660476081E-3</c:v>
                </c:pt>
                <c:pt idx="8">
                  <c:v>2.6438194177987344E-3</c:v>
                </c:pt>
                <c:pt idx="9">
                  <c:v>2.7977800939969345E-3</c:v>
                </c:pt>
                <c:pt idx="10">
                  <c:v>2.7642010182420112E-3</c:v>
                </c:pt>
                <c:pt idx="11">
                  <c:v>2.6679581548083855E-3</c:v>
                </c:pt>
                <c:pt idx="12">
                  <c:v>2.666087195582098E-3</c:v>
                </c:pt>
                <c:pt idx="13">
                  <c:v>2.7625381264627276E-3</c:v>
                </c:pt>
                <c:pt idx="14">
                  <c:v>3.0271135924866879E-3</c:v>
                </c:pt>
                <c:pt idx="15">
                  <c:v>3.0961232364167392E-3</c:v>
                </c:pt>
                <c:pt idx="16">
                  <c:v>3.070725439874003E-3</c:v>
                </c:pt>
                <c:pt idx="17">
                  <c:v>3.0307786365756616E-3</c:v>
                </c:pt>
                <c:pt idx="18">
                  <c:v>3.0401964994608089E-3</c:v>
                </c:pt>
                <c:pt idx="19">
                  <c:v>3.0918019595648789E-3</c:v>
                </c:pt>
                <c:pt idx="20">
                  <c:v>3.1477979096618805E-3</c:v>
                </c:pt>
                <c:pt idx="21">
                  <c:v>3.2146060030671304E-3</c:v>
                </c:pt>
                <c:pt idx="22">
                  <c:v>3.2510203387662523E-3</c:v>
                </c:pt>
                <c:pt idx="23">
                  <c:v>3.2795896841985297E-3</c:v>
                </c:pt>
                <c:pt idx="24">
                  <c:v>3.2951916756480014E-3</c:v>
                </c:pt>
                <c:pt idx="25">
                  <c:v>3.320516822476209E-3</c:v>
                </c:pt>
                <c:pt idx="26">
                  <c:v>3.3413398135950486E-3</c:v>
                </c:pt>
                <c:pt idx="27">
                  <c:v>3.3645362930332158E-3</c:v>
                </c:pt>
                <c:pt idx="28">
                  <c:v>3.3883603456471524E-3</c:v>
                </c:pt>
                <c:pt idx="29">
                  <c:v>3.4115787013958309E-3</c:v>
                </c:pt>
                <c:pt idx="30">
                  <c:v>3.4373129427395961E-3</c:v>
                </c:pt>
                <c:pt idx="31">
                  <c:v>3.4591565356286509E-3</c:v>
                </c:pt>
                <c:pt idx="32">
                  <c:v>3.4879120238437782E-3</c:v>
                </c:pt>
                <c:pt idx="33">
                  <c:v>3.5188292884062592E-3</c:v>
                </c:pt>
                <c:pt idx="34">
                  <c:v>3.5280550314932347E-3</c:v>
                </c:pt>
                <c:pt idx="35">
                  <c:v>3.5551695138200026E-3</c:v>
                </c:pt>
                <c:pt idx="36">
                  <c:v>3.5835514052900384E-3</c:v>
                </c:pt>
                <c:pt idx="37">
                  <c:v>3.6170112322681928E-3</c:v>
                </c:pt>
                <c:pt idx="38">
                  <c:v>3.6463103789824728E-3</c:v>
                </c:pt>
                <c:pt idx="39">
                  <c:v>3.6907633273245912E-3</c:v>
                </c:pt>
                <c:pt idx="40">
                  <c:v>3.7122533810840519E-3</c:v>
                </c:pt>
                <c:pt idx="41">
                  <c:v>3.753272883080644E-3</c:v>
                </c:pt>
                <c:pt idx="42">
                  <c:v>3.7862527409372798E-3</c:v>
                </c:pt>
                <c:pt idx="43">
                  <c:v>3.8269618259923898E-3</c:v>
                </c:pt>
                <c:pt idx="44">
                  <c:v>3.8730962774872098E-3</c:v>
                </c:pt>
                <c:pt idx="45">
                  <c:v>3.8992432869245771E-3</c:v>
                </c:pt>
                <c:pt idx="46">
                  <c:v>3.9292134081349225E-3</c:v>
                </c:pt>
                <c:pt idx="47">
                  <c:v>3.9603589496438668E-3</c:v>
                </c:pt>
                <c:pt idx="48">
                  <c:v>3.9893046936337745E-3</c:v>
                </c:pt>
                <c:pt idx="49">
                  <c:v>4.0024963406281285E-3</c:v>
                </c:pt>
                <c:pt idx="50">
                  <c:v>4.014831149724802E-3</c:v>
                </c:pt>
                <c:pt idx="51">
                  <c:v>4.0247047700135282E-3</c:v>
                </c:pt>
                <c:pt idx="52">
                  <c:v>4.0124431416205192E-3</c:v>
                </c:pt>
                <c:pt idx="53">
                  <c:v>4.0013466426153839E-3</c:v>
                </c:pt>
                <c:pt idx="54">
                  <c:v>3.9784840211421462E-3</c:v>
                </c:pt>
                <c:pt idx="55">
                  <c:v>3.9598575178852475E-3</c:v>
                </c:pt>
                <c:pt idx="56">
                  <c:v>3.9307894014361609E-3</c:v>
                </c:pt>
                <c:pt idx="57">
                  <c:v>3.8973055899335857E-3</c:v>
                </c:pt>
                <c:pt idx="58">
                  <c:v>3.8659655232157284E-3</c:v>
                </c:pt>
                <c:pt idx="59">
                  <c:v>3.833776972045044E-3</c:v>
                </c:pt>
                <c:pt idx="60">
                  <c:v>3.8172704136402074E-3</c:v>
                </c:pt>
                <c:pt idx="61">
                  <c:v>3.791671290522167E-3</c:v>
                </c:pt>
                <c:pt idx="62">
                  <c:v>3.7732949669806361E-3</c:v>
                </c:pt>
                <c:pt idx="63">
                  <c:v>3.7644170417280732E-3</c:v>
                </c:pt>
                <c:pt idx="64">
                  <c:v>3.7629433410951239E-3</c:v>
                </c:pt>
                <c:pt idx="65">
                  <c:v>3.7455495077598506E-3</c:v>
                </c:pt>
                <c:pt idx="66">
                  <c:v>3.7349496155406371E-3</c:v>
                </c:pt>
                <c:pt idx="67">
                  <c:v>3.734314017596824E-3</c:v>
                </c:pt>
                <c:pt idx="68">
                  <c:v>3.7370465543870978E-3</c:v>
                </c:pt>
                <c:pt idx="69">
                  <c:v>3.7123430896177298E-3</c:v>
                </c:pt>
                <c:pt idx="70">
                  <c:v>3.6952209646102328E-3</c:v>
                </c:pt>
                <c:pt idx="71">
                  <c:v>3.6784381015748952E-3</c:v>
                </c:pt>
                <c:pt idx="72">
                  <c:v>3.6697979004680272E-3</c:v>
                </c:pt>
                <c:pt idx="73">
                  <c:v>3.6409588759026765E-3</c:v>
                </c:pt>
                <c:pt idx="74">
                  <c:v>3.6203476170279022E-3</c:v>
                </c:pt>
                <c:pt idx="75">
                  <c:v>3.6017589388231859E-3</c:v>
                </c:pt>
                <c:pt idx="76">
                  <c:v>3.560045969955114E-3</c:v>
                </c:pt>
                <c:pt idx="77">
                  <c:v>3.5251714956121265E-3</c:v>
                </c:pt>
                <c:pt idx="78">
                  <c:v>3.4799973658666428E-3</c:v>
                </c:pt>
                <c:pt idx="79">
                  <c:v>3.4445693858664132E-3</c:v>
                </c:pt>
                <c:pt idx="80">
                  <c:v>3.3908772112446542E-3</c:v>
                </c:pt>
                <c:pt idx="81">
                  <c:v>3.3531593931086581E-3</c:v>
                </c:pt>
                <c:pt idx="82">
                  <c:v>3.3075687781750161E-3</c:v>
                </c:pt>
                <c:pt idx="83">
                  <c:v>3.2821866507075602E-3</c:v>
                </c:pt>
                <c:pt idx="84">
                  <c:v>3.2451416790131582E-3</c:v>
                </c:pt>
                <c:pt idx="85">
                  <c:v>3.2236964315031022E-3</c:v>
                </c:pt>
                <c:pt idx="86">
                  <c:v>3.2115951119915265E-3</c:v>
                </c:pt>
                <c:pt idx="87">
                  <c:v>3.1864823790493796E-3</c:v>
                </c:pt>
                <c:pt idx="88">
                  <c:v>3.1746780349318614E-3</c:v>
                </c:pt>
                <c:pt idx="89">
                  <c:v>3.1628220045758527E-3</c:v>
                </c:pt>
                <c:pt idx="90">
                  <c:v>3.1630137906579273E-3</c:v>
                </c:pt>
                <c:pt idx="91">
                  <c:v>3.1622780898380963E-3</c:v>
                </c:pt>
                <c:pt idx="92">
                  <c:v>3.1561405457950741E-3</c:v>
                </c:pt>
                <c:pt idx="93">
                  <c:v>3.160336479986401E-3</c:v>
                </c:pt>
                <c:pt idx="94">
                  <c:v>3.1511236259223439E-3</c:v>
                </c:pt>
                <c:pt idx="95">
                  <c:v>3.1504100337249909E-3</c:v>
                </c:pt>
                <c:pt idx="96">
                  <c:v>3.138657496188843E-3</c:v>
                </c:pt>
                <c:pt idx="97">
                  <c:v>3.1212628144705462E-3</c:v>
                </c:pt>
                <c:pt idx="98">
                  <c:v>3.1046464808382399E-3</c:v>
                </c:pt>
                <c:pt idx="99">
                  <c:v>3.0791315290711815E-3</c:v>
                </c:pt>
                <c:pt idx="100">
                  <c:v>3.0470859186528983E-3</c:v>
                </c:pt>
                <c:pt idx="101">
                  <c:v>3.009576492310026E-3</c:v>
                </c:pt>
                <c:pt idx="102">
                  <c:v>2.9727443479282932E-3</c:v>
                </c:pt>
                <c:pt idx="103">
                  <c:v>2.937343989737367E-3</c:v>
                </c:pt>
                <c:pt idx="104">
                  <c:v>2.8881782663276942E-3</c:v>
                </c:pt>
                <c:pt idx="105">
                  <c:v>2.8493996018497982E-3</c:v>
                </c:pt>
                <c:pt idx="106">
                  <c:v>2.8084406123198534E-3</c:v>
                </c:pt>
                <c:pt idx="107">
                  <c:v>2.7825717041944399E-3</c:v>
                </c:pt>
                <c:pt idx="108">
                  <c:v>2.7504910054690392E-3</c:v>
                </c:pt>
                <c:pt idx="109">
                  <c:v>2.7294220973110538E-3</c:v>
                </c:pt>
                <c:pt idx="110">
                  <c:v>2.7082236335052405E-3</c:v>
                </c:pt>
                <c:pt idx="111">
                  <c:v>2.6952891260111668E-3</c:v>
                </c:pt>
                <c:pt idx="112">
                  <c:v>2.6841354981150915E-3</c:v>
                </c:pt>
                <c:pt idx="113">
                  <c:v>2.673915183851381E-3</c:v>
                </c:pt>
                <c:pt idx="114">
                  <c:v>2.6726720671823301E-3</c:v>
                </c:pt>
                <c:pt idx="115">
                  <c:v>2.6723379618489307E-3</c:v>
                </c:pt>
                <c:pt idx="116">
                  <c:v>2.6668617805463667E-3</c:v>
                </c:pt>
                <c:pt idx="117">
                  <c:v>2.6689263206675952E-3</c:v>
                </c:pt>
                <c:pt idx="118">
                  <c:v>2.663096710667702E-3</c:v>
                </c:pt>
                <c:pt idx="119">
                  <c:v>2.6591714575652826E-3</c:v>
                </c:pt>
                <c:pt idx="120">
                  <c:v>2.6472222840922682E-3</c:v>
                </c:pt>
                <c:pt idx="121">
                  <c:v>2.636428449885677E-3</c:v>
                </c:pt>
                <c:pt idx="122">
                  <c:v>2.6133780402076388E-3</c:v>
                </c:pt>
                <c:pt idx="123">
                  <c:v>2.5922615058688175E-3</c:v>
                </c:pt>
                <c:pt idx="124">
                  <c:v>2.5648923200794933E-3</c:v>
                </c:pt>
                <c:pt idx="125">
                  <c:v>2.5306710128428361E-3</c:v>
                </c:pt>
                <c:pt idx="126">
                  <c:v>2.4955016853343316E-3</c:v>
                </c:pt>
                <c:pt idx="127">
                  <c:v>2.4515358671218512E-3</c:v>
                </c:pt>
                <c:pt idx="128">
                  <c:v>2.4060869038851664E-3</c:v>
                </c:pt>
                <c:pt idx="129">
                  <c:v>2.3634252147517881E-3</c:v>
                </c:pt>
                <c:pt idx="130">
                  <c:v>2.3284574047715313E-3</c:v>
                </c:pt>
                <c:pt idx="131">
                  <c:v>2.2831172250969596E-3</c:v>
                </c:pt>
                <c:pt idx="132">
                  <c:v>2.2509395562348572E-3</c:v>
                </c:pt>
                <c:pt idx="133">
                  <c:v>2.2211370129492716E-3</c:v>
                </c:pt>
                <c:pt idx="134">
                  <c:v>2.1834368139681017E-3</c:v>
                </c:pt>
                <c:pt idx="135">
                  <c:v>2.1558910299923628E-3</c:v>
                </c:pt>
                <c:pt idx="136">
                  <c:v>2.1217628072763665E-3</c:v>
                </c:pt>
                <c:pt idx="137">
                  <c:v>2.0973146452247862E-3</c:v>
                </c:pt>
                <c:pt idx="138">
                  <c:v>2.0716727102299028E-3</c:v>
                </c:pt>
                <c:pt idx="139">
                  <c:v>2.0476520490290313E-3</c:v>
                </c:pt>
                <c:pt idx="140">
                  <c:v>2.0268427327199169E-3</c:v>
                </c:pt>
                <c:pt idx="141">
                  <c:v>2.0063210802144585E-3</c:v>
                </c:pt>
                <c:pt idx="142">
                  <c:v>1.9894067287256866E-3</c:v>
                </c:pt>
                <c:pt idx="143">
                  <c:v>1.9707383496564528E-3</c:v>
                </c:pt>
                <c:pt idx="144">
                  <c:v>1.9512877632479469E-3</c:v>
                </c:pt>
                <c:pt idx="145">
                  <c:v>1.9356255984333132E-3</c:v>
                </c:pt>
                <c:pt idx="146">
                  <c:v>1.9174867805125673E-3</c:v>
                </c:pt>
                <c:pt idx="147">
                  <c:v>1.8985942712408006E-3</c:v>
                </c:pt>
                <c:pt idx="148">
                  <c:v>1.8794933883863191E-3</c:v>
                </c:pt>
                <c:pt idx="149">
                  <c:v>1.8623358528469976E-3</c:v>
                </c:pt>
                <c:pt idx="150">
                  <c:v>1.8470353740760899E-3</c:v>
                </c:pt>
                <c:pt idx="151">
                  <c:v>1.825907444020787E-3</c:v>
                </c:pt>
                <c:pt idx="152">
                  <c:v>1.8091286292276944E-3</c:v>
                </c:pt>
                <c:pt idx="153">
                  <c:v>1.7899823485097721E-3</c:v>
                </c:pt>
                <c:pt idx="154">
                  <c:v>1.7760428028654705E-3</c:v>
                </c:pt>
                <c:pt idx="155">
                  <c:v>1.7573158128085659E-3</c:v>
                </c:pt>
                <c:pt idx="156">
                  <c:v>1.7420993616143084E-3</c:v>
                </c:pt>
                <c:pt idx="157">
                  <c:v>1.72527065130227E-3</c:v>
                </c:pt>
                <c:pt idx="158">
                  <c:v>1.7106940787527912E-3</c:v>
                </c:pt>
                <c:pt idx="159">
                  <c:v>1.6951809775200867E-3</c:v>
                </c:pt>
                <c:pt idx="160">
                  <c:v>1.6784894063769998E-3</c:v>
                </c:pt>
                <c:pt idx="161">
                  <c:v>1.6634993436228859E-3</c:v>
                </c:pt>
                <c:pt idx="162">
                  <c:v>1.6472127872389219E-3</c:v>
                </c:pt>
                <c:pt idx="163">
                  <c:v>1.6304418220616547E-3</c:v>
                </c:pt>
                <c:pt idx="164">
                  <c:v>1.6149376277021094E-3</c:v>
                </c:pt>
                <c:pt idx="165">
                  <c:v>1.6022639142085592E-3</c:v>
                </c:pt>
                <c:pt idx="166">
                  <c:v>1.5849527328276741E-3</c:v>
                </c:pt>
                <c:pt idx="167">
                  <c:v>1.5725819405834132E-3</c:v>
                </c:pt>
                <c:pt idx="168">
                  <c:v>1.5583028808745965E-3</c:v>
                </c:pt>
                <c:pt idx="169">
                  <c:v>1.5450853371304502E-3</c:v>
                </c:pt>
                <c:pt idx="170">
                  <c:v>1.5331622275684964E-3</c:v>
                </c:pt>
                <c:pt idx="171">
                  <c:v>1.5168215219999691E-3</c:v>
                </c:pt>
                <c:pt idx="172">
                  <c:v>1.5047063664177206E-3</c:v>
                </c:pt>
                <c:pt idx="173">
                  <c:v>1.4909374848232765E-3</c:v>
                </c:pt>
                <c:pt idx="174">
                  <c:v>1.477074836182677E-3</c:v>
                </c:pt>
                <c:pt idx="175">
                  <c:v>1.4643743728568991E-3</c:v>
                </c:pt>
                <c:pt idx="176">
                  <c:v>1.4516592586000243E-3</c:v>
                </c:pt>
                <c:pt idx="177">
                  <c:v>1.4408588926626102E-3</c:v>
                </c:pt>
                <c:pt idx="178">
                  <c:v>1.4291399690004522E-3</c:v>
                </c:pt>
                <c:pt idx="179">
                  <c:v>1.4169382420388052E-3</c:v>
                </c:pt>
                <c:pt idx="180">
                  <c:v>1.4069933028125411E-3</c:v>
                </c:pt>
                <c:pt idx="181">
                  <c:v>1.3955479915065613E-3</c:v>
                </c:pt>
                <c:pt idx="182">
                  <c:v>1.3836330422114275E-3</c:v>
                </c:pt>
                <c:pt idx="183">
                  <c:v>1.3716608699165349E-3</c:v>
                </c:pt>
                <c:pt idx="184">
                  <c:v>1.36067471299978E-3</c:v>
                </c:pt>
                <c:pt idx="185">
                  <c:v>1.3507304153030607E-3</c:v>
                </c:pt>
                <c:pt idx="186">
                  <c:v>1.3376221621532805E-3</c:v>
                </c:pt>
                <c:pt idx="187">
                  <c:v>1.326356598708358E-3</c:v>
                </c:pt>
                <c:pt idx="188">
                  <c:v>1.3148256704011534E-3</c:v>
                </c:pt>
                <c:pt idx="189">
                  <c:v>1.3057420401417844E-3</c:v>
                </c:pt>
                <c:pt idx="190">
                  <c:v>1.2937575499360511E-3</c:v>
                </c:pt>
                <c:pt idx="191">
                  <c:v>1.2839304984213797E-3</c:v>
                </c:pt>
                <c:pt idx="192">
                  <c:v>1.2752561684710936E-3</c:v>
                </c:pt>
                <c:pt idx="193">
                  <c:v>1.2635926536028949E-3</c:v>
                </c:pt>
                <c:pt idx="194">
                  <c:v>1.2535631115053458E-3</c:v>
                </c:pt>
                <c:pt idx="195">
                  <c:v>1.242243878133216E-3</c:v>
                </c:pt>
                <c:pt idx="196">
                  <c:v>1.232986445081987E-3</c:v>
                </c:pt>
                <c:pt idx="197">
                  <c:v>1.2223688701822714E-3</c:v>
                </c:pt>
                <c:pt idx="198">
                  <c:v>1.209959931503142E-3</c:v>
                </c:pt>
                <c:pt idx="199">
                  <c:v>1.2019614345659922E-3</c:v>
                </c:pt>
                <c:pt idx="200">
                  <c:v>1.1918646608463992E-3</c:v>
                </c:pt>
                <c:pt idx="201">
                  <c:v>1.1824246067752217E-3</c:v>
                </c:pt>
                <c:pt idx="202">
                  <c:v>1.1730405956694653E-3</c:v>
                </c:pt>
                <c:pt idx="203">
                  <c:v>1.1636881190757453E-3</c:v>
                </c:pt>
                <c:pt idx="204">
                  <c:v>1.1544891942271117E-3</c:v>
                </c:pt>
                <c:pt idx="205">
                  <c:v>1.144933793921582E-3</c:v>
                </c:pt>
                <c:pt idx="206">
                  <c:v>1.1354917666556996E-3</c:v>
                </c:pt>
                <c:pt idx="207">
                  <c:v>1.1265826374015492E-3</c:v>
                </c:pt>
                <c:pt idx="208">
                  <c:v>1.1183753659399949E-3</c:v>
                </c:pt>
                <c:pt idx="209">
                  <c:v>1.1083841590524696E-3</c:v>
                </c:pt>
                <c:pt idx="210">
                  <c:v>1.0996019815752503E-3</c:v>
                </c:pt>
                <c:pt idx="211">
                  <c:v>1.0904878270082373E-3</c:v>
                </c:pt>
                <c:pt idx="212">
                  <c:v>1.0830220505678514E-3</c:v>
                </c:pt>
                <c:pt idx="213">
                  <c:v>1.0737436659516847E-3</c:v>
                </c:pt>
                <c:pt idx="214">
                  <c:v>1.0658738477345824E-3</c:v>
                </c:pt>
                <c:pt idx="215">
                  <c:v>1.0587696251408221E-3</c:v>
                </c:pt>
                <c:pt idx="216">
                  <c:v>1.049971474950194E-3</c:v>
                </c:pt>
                <c:pt idx="217">
                  <c:v>1.0421605359194203E-3</c:v>
                </c:pt>
                <c:pt idx="218">
                  <c:v>1.0335330641831758E-3</c:v>
                </c:pt>
                <c:pt idx="219">
                  <c:v>1.0261991371649758E-3</c:v>
                </c:pt>
                <c:pt idx="220">
                  <c:v>1.017999678554201E-3</c:v>
                </c:pt>
                <c:pt idx="221">
                  <c:v>1.0101025099168923E-3</c:v>
                </c:pt>
                <c:pt idx="222">
                  <c:v>1.0023213312108925E-3</c:v>
                </c:pt>
                <c:pt idx="223">
                  <c:v>9.9478921214817689E-4</c:v>
                </c:pt>
                <c:pt idx="224">
                  <c:v>9.8763176116729856E-4</c:v>
                </c:pt>
                <c:pt idx="225">
                  <c:v>9.8049846915869085E-4</c:v>
                </c:pt>
                <c:pt idx="226">
                  <c:v>9.7311839103566763E-4</c:v>
                </c:pt>
                <c:pt idx="227">
                  <c:v>9.6684546821657405E-4</c:v>
                </c:pt>
                <c:pt idx="228">
                  <c:v>9.5998551528773263E-4</c:v>
                </c:pt>
                <c:pt idx="229">
                  <c:v>9.5290120201833167E-4</c:v>
                </c:pt>
                <c:pt idx="230">
                  <c:v>9.4621443532488456E-4</c:v>
                </c:pt>
                <c:pt idx="231">
                  <c:v>9.3979681434638862E-4</c:v>
                </c:pt>
                <c:pt idx="232">
                  <c:v>9.340816351987094E-4</c:v>
                </c:pt>
                <c:pt idx="233">
                  <c:v>9.281857882444261E-4</c:v>
                </c:pt>
                <c:pt idx="234">
                  <c:v>9.23208795141333E-4</c:v>
                </c:pt>
                <c:pt idx="235">
                  <c:v>9.1788180492669708E-4</c:v>
                </c:pt>
                <c:pt idx="236">
                  <c:v>9.1333176686396803E-4</c:v>
                </c:pt>
                <c:pt idx="237">
                  <c:v>9.0820538760648731E-4</c:v>
                </c:pt>
                <c:pt idx="238">
                  <c:v>9.040277525870638E-4</c:v>
                </c:pt>
                <c:pt idx="239">
                  <c:v>8.9974638231426346E-4</c:v>
                </c:pt>
                <c:pt idx="240">
                  <c:v>8.9518832264325748E-4</c:v>
                </c:pt>
                <c:pt idx="241">
                  <c:v>8.9103167731532582E-4</c:v>
                </c:pt>
                <c:pt idx="242">
                  <c:v>8.8668327840611683E-4</c:v>
                </c:pt>
                <c:pt idx="243">
                  <c:v>8.8285687455769146E-4</c:v>
                </c:pt>
                <c:pt idx="244">
                  <c:v>8.7873917033986365E-4</c:v>
                </c:pt>
                <c:pt idx="245">
                  <c:v>8.7516770372903646E-4</c:v>
                </c:pt>
                <c:pt idx="246">
                  <c:v>8.7132579076525801E-4</c:v>
                </c:pt>
                <c:pt idx="247">
                  <c:v>8.6814150287397793E-4</c:v>
                </c:pt>
                <c:pt idx="248">
                  <c:v>8.6458152940949162E-4</c:v>
                </c:pt>
                <c:pt idx="249">
                  <c:v>8.6148884483934138E-4</c:v>
                </c:pt>
                <c:pt idx="250">
                  <c:v>8.5861779381215392E-4</c:v>
                </c:pt>
                <c:pt idx="251">
                  <c:v>8.5576680800661387E-4</c:v>
                </c:pt>
                <c:pt idx="252">
                  <c:v>8.5309732459802612E-4</c:v>
                </c:pt>
                <c:pt idx="253">
                  <c:v>8.5023274849828703E-4</c:v>
                </c:pt>
                <c:pt idx="254">
                  <c:v>8.4787637970552138E-4</c:v>
                </c:pt>
                <c:pt idx="255">
                  <c:v>8.453578590999801E-4</c:v>
                </c:pt>
                <c:pt idx="256">
                  <c:v>8.4298530137192143E-4</c:v>
                </c:pt>
                <c:pt idx="257">
                  <c:v>8.408367801891227E-4</c:v>
                </c:pt>
                <c:pt idx="258">
                  <c:v>8.3880940141474111E-4</c:v>
                </c:pt>
                <c:pt idx="259">
                  <c:v>8.3702317120085482E-4</c:v>
                </c:pt>
                <c:pt idx="260">
                  <c:v>8.352992270914926E-4</c:v>
                </c:pt>
                <c:pt idx="261">
                  <c:v>8.3370692766569776E-4</c:v>
                </c:pt>
                <c:pt idx="262">
                  <c:v>8.3249920414742162E-4</c:v>
                </c:pt>
                <c:pt idx="263">
                  <c:v>8.3115661307246042E-4</c:v>
                </c:pt>
                <c:pt idx="264">
                  <c:v>8.2996971062017366E-4</c:v>
                </c:pt>
                <c:pt idx="265">
                  <c:v>8.2885891556550712E-4</c:v>
                </c:pt>
                <c:pt idx="266">
                  <c:v>8.2798174259432825E-4</c:v>
                </c:pt>
                <c:pt idx="267">
                  <c:v>8.2733346209926811E-4</c:v>
                </c:pt>
                <c:pt idx="268">
                  <c:v>8.2642898092811362E-4</c:v>
                </c:pt>
                <c:pt idx="269">
                  <c:v>8.2590422274181341E-4</c:v>
                </c:pt>
                <c:pt idx="270">
                  <c:v>8.2549685936428654E-4</c:v>
                </c:pt>
                <c:pt idx="271">
                  <c:v>8.2529662066107429E-4</c:v>
                </c:pt>
                <c:pt idx="272">
                  <c:v>8.2513151697709633E-4</c:v>
                </c:pt>
                <c:pt idx="273">
                  <c:v>8.2513434968015109E-4</c:v>
                </c:pt>
                <c:pt idx="274">
                  <c:v>8.2555283741890528E-4</c:v>
                </c:pt>
                <c:pt idx="275">
                  <c:v>8.2565275306157454E-4</c:v>
                </c:pt>
                <c:pt idx="276">
                  <c:v>8.2623889836214853E-4</c:v>
                </c:pt>
                <c:pt idx="277">
                  <c:v>8.2658604432724742E-4</c:v>
                </c:pt>
                <c:pt idx="278">
                  <c:v>8.2730250776160211E-4</c:v>
                </c:pt>
                <c:pt idx="279">
                  <c:v>8.280149083613568E-4</c:v>
                </c:pt>
                <c:pt idx="280">
                  <c:v>8.2895666106584318E-4</c:v>
                </c:pt>
                <c:pt idx="281">
                  <c:v>8.3005422375171528E-4</c:v>
                </c:pt>
                <c:pt idx="282">
                  <c:v>8.3122083367925467E-4</c:v>
                </c:pt>
                <c:pt idx="283">
                  <c:v>8.3263540748629641E-4</c:v>
                </c:pt>
                <c:pt idx="284">
                  <c:v>8.3402784523049431E-4</c:v>
                </c:pt>
                <c:pt idx="285">
                  <c:v>8.3583549978031094E-4</c:v>
                </c:pt>
                <c:pt idx="286">
                  <c:v>8.3738660852654065E-4</c:v>
                </c:pt>
                <c:pt idx="287">
                  <c:v>8.3925625012581939E-4</c:v>
                </c:pt>
                <c:pt idx="288">
                  <c:v>8.4132023872450501E-4</c:v>
                </c:pt>
                <c:pt idx="289">
                  <c:v>8.4358949816012649E-4</c:v>
                </c:pt>
                <c:pt idx="290">
                  <c:v>8.4638264553569056E-4</c:v>
                </c:pt>
                <c:pt idx="291">
                  <c:v>8.4915659140964023E-4</c:v>
                </c:pt>
                <c:pt idx="292">
                  <c:v>8.5242454540852136E-4</c:v>
                </c:pt>
                <c:pt idx="293">
                  <c:v>8.5520013355958394E-4</c:v>
                </c:pt>
                <c:pt idx="294">
                  <c:v>8.5799794482922104E-4</c:v>
                </c:pt>
                <c:pt idx="295">
                  <c:v>8.6006967602144865E-4</c:v>
                </c:pt>
                <c:pt idx="296">
                  <c:v>8.6197582096443279E-4</c:v>
                </c:pt>
                <c:pt idx="297">
                  <c:v>8.63615551494442E-4</c:v>
                </c:pt>
                <c:pt idx="298">
                  <c:v>8.6506359869122779E-4</c:v>
                </c:pt>
                <c:pt idx="299">
                  <c:v>8.656004397877351E-4</c:v>
                </c:pt>
                <c:pt idx="300">
                  <c:v>8.6587221066855916E-4</c:v>
                </c:pt>
                <c:pt idx="301">
                  <c:v>8.6618141893557085E-4</c:v>
                </c:pt>
                <c:pt idx="302">
                  <c:v>8.6637084079944568E-4</c:v>
                </c:pt>
                <c:pt idx="303">
                  <c:v>8.650489520656765E-4</c:v>
                </c:pt>
                <c:pt idx="304">
                  <c:v>8.6391578299242072E-4</c:v>
                </c:pt>
                <c:pt idx="305">
                  <c:v>8.6249966142320014E-4</c:v>
                </c:pt>
                <c:pt idx="306">
                  <c:v>8.6134901121391952E-4</c:v>
                </c:pt>
                <c:pt idx="307">
                  <c:v>8.586929396971546E-4</c:v>
                </c:pt>
                <c:pt idx="308">
                  <c:v>8.5683094895994821E-4</c:v>
                </c:pt>
                <c:pt idx="309">
                  <c:v>8.5499365535922356E-4</c:v>
                </c:pt>
                <c:pt idx="310">
                  <c:v>8.5114844915614579E-4</c:v>
                </c:pt>
                <c:pt idx="311">
                  <c:v>8.4847434721897416E-4</c:v>
                </c:pt>
                <c:pt idx="312">
                  <c:v>8.4362038128991609E-4</c:v>
                </c:pt>
                <c:pt idx="313">
                  <c:v>8.3996424900186634E-4</c:v>
                </c:pt>
                <c:pt idx="314">
                  <c:v>8.3520122474208675E-4</c:v>
                </c:pt>
                <c:pt idx="315">
                  <c:v>8.2927440835444885E-4</c:v>
                </c:pt>
                <c:pt idx="316">
                  <c:v>8.2425394133128424E-4</c:v>
                </c:pt>
                <c:pt idx="317">
                  <c:v>8.1829543162566937E-4</c:v>
                </c:pt>
                <c:pt idx="318">
                  <c:v>8.1301296979839274E-4</c:v>
                </c:pt>
                <c:pt idx="319">
                  <c:v>8.0680332195364607E-4</c:v>
                </c:pt>
                <c:pt idx="320">
                  <c:v>8.0153385107063421E-4</c:v>
                </c:pt>
                <c:pt idx="321">
                  <c:v>7.9410229599698526E-4</c:v>
                </c:pt>
                <c:pt idx="322">
                  <c:v>7.874896074715268E-4</c:v>
                </c:pt>
                <c:pt idx="323">
                  <c:v>7.8005901516708248E-4</c:v>
                </c:pt>
                <c:pt idx="324">
                  <c:v>7.7158774225002599E-4</c:v>
                </c:pt>
                <c:pt idx="325">
                  <c:v>7.6354176290202927E-4</c:v>
                </c:pt>
                <c:pt idx="326">
                  <c:v>7.5391890950973067E-4</c:v>
                </c:pt>
                <c:pt idx="327">
                  <c:v>7.4395936694789805E-4</c:v>
                </c:pt>
                <c:pt idx="328">
                  <c:v>7.3455457492816248E-4</c:v>
                </c:pt>
                <c:pt idx="329">
                  <c:v>7.2639733937452863E-4</c:v>
                </c:pt>
                <c:pt idx="330">
                  <c:v>7.1499829444659005E-4</c:v>
                </c:pt>
                <c:pt idx="331">
                  <c:v>7.0534795454581245E-4</c:v>
                </c:pt>
                <c:pt idx="332">
                  <c:v>6.9633943054575598E-4</c:v>
                </c:pt>
                <c:pt idx="333">
                  <c:v>6.8386213730127834E-4</c:v>
                </c:pt>
                <c:pt idx="334">
                  <c:v>6.7260815922072503E-4</c:v>
                </c:pt>
                <c:pt idx="335">
                  <c:v>6.5940415301310104E-4</c:v>
                </c:pt>
                <c:pt idx="336">
                  <c:v>6.4820483237536253E-4</c:v>
                </c:pt>
                <c:pt idx="337">
                  <c:v>6.3484396890802972E-4</c:v>
                </c:pt>
                <c:pt idx="338">
                  <c:v>6.2146595722797904E-4</c:v>
                </c:pt>
                <c:pt idx="339">
                  <c:v>6.0758057093664164E-4</c:v>
                </c:pt>
                <c:pt idx="340">
                  <c:v>5.9327721874212133E-4</c:v>
                </c:pt>
                <c:pt idx="341">
                  <c:v>5.8036733085575429E-4</c:v>
                </c:pt>
                <c:pt idx="342">
                  <c:v>5.6534439297193165E-4</c:v>
                </c:pt>
                <c:pt idx="343">
                  <c:v>5.5016836033345423E-4</c:v>
                </c:pt>
                <c:pt idx="344">
                  <c:v>5.3659416611149743E-4</c:v>
                </c:pt>
                <c:pt idx="345">
                  <c:v>5.194242895531255E-4</c:v>
                </c:pt>
                <c:pt idx="346">
                  <c:v>5.0542185121013952E-4</c:v>
                </c:pt>
                <c:pt idx="347">
                  <c:v>4.8647087436020156E-4</c:v>
                </c:pt>
                <c:pt idx="348">
                  <c:v>4.7104761784459714E-4</c:v>
                </c:pt>
                <c:pt idx="349">
                  <c:v>4.5260911600576714E-4</c:v>
                </c:pt>
                <c:pt idx="350">
                  <c:v>4.3365061766301172E-4</c:v>
                </c:pt>
                <c:pt idx="351">
                  <c:v>4.1523927046208109E-4</c:v>
                </c:pt>
                <c:pt idx="352">
                  <c:v>3.9741119410541953E-4</c:v>
                </c:pt>
                <c:pt idx="353">
                  <c:v>3.8277065814342273E-4</c:v>
                </c:pt>
                <c:pt idx="354">
                  <c:v>3.6628400692651289E-4</c:v>
                </c:pt>
                <c:pt idx="355">
                  <c:v>3.5102113318667694E-4</c:v>
                </c:pt>
                <c:pt idx="356">
                  <c:v>3.3858502721789696E-4</c:v>
                </c:pt>
                <c:pt idx="357">
                  <c:v>3.2500623819619809E-4</c:v>
                </c:pt>
                <c:pt idx="358">
                  <c:v>3.1128856751098943E-4</c:v>
                </c:pt>
                <c:pt idx="359">
                  <c:v>2.9806310844591663E-4</c:v>
                </c:pt>
                <c:pt idx="360">
                  <c:v>2.8671721771311026E-4</c:v>
                </c:pt>
                <c:pt idx="361">
                  <c:v>2.7417943235521006E-4</c:v>
                </c:pt>
                <c:pt idx="362">
                  <c:v>2.6326437950564482E-4</c:v>
                </c:pt>
                <c:pt idx="363">
                  <c:v>2.5270290844214491E-4</c:v>
                </c:pt>
                <c:pt idx="364">
                  <c:v>2.4506268171006762E-4</c:v>
                </c:pt>
                <c:pt idx="365">
                  <c:v>2.3675327368491428E-4</c:v>
                </c:pt>
                <c:pt idx="366">
                  <c:v>2.2864042089072029E-4</c:v>
                </c:pt>
                <c:pt idx="367">
                  <c:v>2.2294291676815819E-4</c:v>
                </c:pt>
                <c:pt idx="368">
                  <c:v>2.1655349761225823E-4</c:v>
                </c:pt>
                <c:pt idx="369">
                  <c:v>2.1048443784921211E-4</c:v>
                </c:pt>
                <c:pt idx="370">
                  <c:v>2.0452694714315212E-4</c:v>
                </c:pt>
                <c:pt idx="371">
                  <c:v>2.0075162306552874E-4</c:v>
                </c:pt>
                <c:pt idx="372">
                  <c:v>1.9863127859238994E-4</c:v>
                </c:pt>
                <c:pt idx="373">
                  <c:v>1.9293607084057765E-4</c:v>
                </c:pt>
                <c:pt idx="374">
                  <c:v>1.8968572079982107E-4</c:v>
                </c:pt>
                <c:pt idx="375">
                  <c:v>1.8777652236568951E-4</c:v>
                </c:pt>
                <c:pt idx="376">
                  <c:v>1.8837681689579458E-4</c:v>
                </c:pt>
                <c:pt idx="377">
                  <c:v>1.8620854484694555E-4</c:v>
                </c:pt>
                <c:pt idx="378">
                  <c:v>1.8806897065654429E-4</c:v>
                </c:pt>
                <c:pt idx="379">
                  <c:v>1.9063529803771406E-4</c:v>
                </c:pt>
                <c:pt idx="380">
                  <c:v>1.9048779481982761E-4</c:v>
                </c:pt>
                <c:pt idx="381">
                  <c:v>1.943718703806066E-4</c:v>
                </c:pt>
                <c:pt idx="382">
                  <c:v>1.9471712902561708E-4</c:v>
                </c:pt>
                <c:pt idx="383">
                  <c:v>1.9897338560911915E-4</c:v>
                </c:pt>
                <c:pt idx="384">
                  <c:v>2.0341725672803207E-4</c:v>
                </c:pt>
                <c:pt idx="385">
                  <c:v>2.0729737714430749E-4</c:v>
                </c:pt>
                <c:pt idx="386">
                  <c:v>2.1309972484256923E-4</c:v>
                </c:pt>
                <c:pt idx="387">
                  <c:v>2.1841240956138597E-4</c:v>
                </c:pt>
                <c:pt idx="388">
                  <c:v>2.2713093839864251E-4</c:v>
                </c:pt>
                <c:pt idx="389">
                  <c:v>2.3377075043388637E-4</c:v>
                </c:pt>
                <c:pt idx="390">
                  <c:v>2.4223057200068246E-4</c:v>
                </c:pt>
                <c:pt idx="391">
                  <c:v>2.5156688570455998E-4</c:v>
                </c:pt>
                <c:pt idx="392">
                  <c:v>2.6268221266932679E-4</c:v>
                </c:pt>
                <c:pt idx="393">
                  <c:v>2.712234240398459E-4</c:v>
                </c:pt>
                <c:pt idx="394">
                  <c:v>2.8385112058144923E-4</c:v>
                </c:pt>
                <c:pt idx="395">
                  <c:v>2.9390192407817775E-4</c:v>
                </c:pt>
                <c:pt idx="396">
                  <c:v>3.0515099350222202E-4</c:v>
                </c:pt>
                <c:pt idx="397">
                  <c:v>3.1815656944461645E-4</c:v>
                </c:pt>
                <c:pt idx="398">
                  <c:v>3.3052770106378401E-4</c:v>
                </c:pt>
                <c:pt idx="399">
                  <c:v>3.4625832691466407E-4</c:v>
                </c:pt>
                <c:pt idx="400">
                  <c:v>3.6125258738424829E-4</c:v>
                </c:pt>
                <c:pt idx="401">
                  <c:v>3.7708660339044048E-4</c:v>
                </c:pt>
                <c:pt idx="402">
                  <c:v>3.9288746885683679E-4</c:v>
                </c:pt>
                <c:pt idx="403">
                  <c:v>4.0936424721729064E-4</c:v>
                </c:pt>
                <c:pt idx="404">
                  <c:v>4.2768450090652915E-4</c:v>
                </c:pt>
                <c:pt idx="405">
                  <c:v>4.4481758319602632E-4</c:v>
                </c:pt>
                <c:pt idx="406">
                  <c:v>4.6484986602457826E-4</c:v>
                </c:pt>
                <c:pt idx="407">
                  <c:v>4.8540744239906897E-4</c:v>
                </c:pt>
                <c:pt idx="408">
                  <c:v>5.016670303372682E-4</c:v>
                </c:pt>
                <c:pt idx="409">
                  <c:v>5.1903852267371278E-4</c:v>
                </c:pt>
                <c:pt idx="410">
                  <c:v>5.3835699857962202E-4</c:v>
                </c:pt>
                <c:pt idx="411">
                  <c:v>5.5651401144195256E-4</c:v>
                </c:pt>
                <c:pt idx="412">
                  <c:v>5.7353282952190415E-4</c:v>
                </c:pt>
                <c:pt idx="413">
                  <c:v>5.9081346994785747E-4</c:v>
                </c:pt>
                <c:pt idx="414">
                  <c:v>6.0765374071624495E-4</c:v>
                </c:pt>
                <c:pt idx="415">
                  <c:v>6.2213691745631808E-4</c:v>
                </c:pt>
                <c:pt idx="416">
                  <c:v>6.3829238290949442E-4</c:v>
                </c:pt>
                <c:pt idx="417">
                  <c:v>6.5070797696040877E-4</c:v>
                </c:pt>
                <c:pt idx="418">
                  <c:v>6.6473976772150195E-4</c:v>
                </c:pt>
                <c:pt idx="419">
                  <c:v>6.7874430652968901E-4</c:v>
                </c:pt>
                <c:pt idx="420">
                  <c:v>6.8969022371695096E-4</c:v>
                </c:pt>
                <c:pt idx="421">
                  <c:v>7.0236672880451267E-4</c:v>
                </c:pt>
                <c:pt idx="422">
                  <c:v>7.1319533319746248E-4</c:v>
                </c:pt>
                <c:pt idx="423">
                  <c:v>7.2562115990156342E-4</c:v>
                </c:pt>
                <c:pt idx="424">
                  <c:v>7.3580402608573389E-4</c:v>
                </c:pt>
                <c:pt idx="425">
                  <c:v>7.4612787853639909E-4</c:v>
                </c:pt>
                <c:pt idx="426">
                  <c:v>7.5529256881464932E-4</c:v>
                </c:pt>
                <c:pt idx="427">
                  <c:v>7.6385851554472417E-4</c:v>
                </c:pt>
                <c:pt idx="428">
                  <c:v>7.7246230114402445E-4</c:v>
                </c:pt>
                <c:pt idx="429">
                  <c:v>7.7952401061422844E-4</c:v>
                </c:pt>
                <c:pt idx="430">
                  <c:v>7.8735770650838893E-4</c:v>
                </c:pt>
                <c:pt idx="431">
                  <c:v>7.9488366777019648E-4</c:v>
                </c:pt>
                <c:pt idx="432">
                  <c:v>7.9860836562630627E-4</c:v>
                </c:pt>
                <c:pt idx="433">
                  <c:v>8.0470872973643567E-4</c:v>
                </c:pt>
                <c:pt idx="434">
                  <c:v>8.0940167595000556E-4</c:v>
                </c:pt>
                <c:pt idx="435">
                  <c:v>8.1435562575039866E-4</c:v>
                </c:pt>
                <c:pt idx="436">
                  <c:v>8.1788403226167039E-4</c:v>
                </c:pt>
                <c:pt idx="437">
                  <c:v>8.2178371588048638E-4</c:v>
                </c:pt>
                <c:pt idx="438">
                  <c:v>8.2372510076071659E-4</c:v>
                </c:pt>
                <c:pt idx="439">
                  <c:v>8.2598121087149728E-4</c:v>
                </c:pt>
                <c:pt idx="440">
                  <c:v>8.2752467678782332E-4</c:v>
                </c:pt>
                <c:pt idx="441">
                  <c:v>8.2889278577198688E-4</c:v>
                </c:pt>
                <c:pt idx="442">
                  <c:v>8.2959293857915589E-4</c:v>
                </c:pt>
                <c:pt idx="443">
                  <c:v>8.2847306153662967E-4</c:v>
                </c:pt>
                <c:pt idx="444">
                  <c:v>8.275527623984591E-4</c:v>
                </c:pt>
                <c:pt idx="445">
                  <c:v>8.2624351697396445E-4</c:v>
                </c:pt>
                <c:pt idx="446">
                  <c:v>8.249977426826316E-4</c:v>
                </c:pt>
                <c:pt idx="447">
                  <c:v>8.2201237316494383E-4</c:v>
                </c:pt>
                <c:pt idx="448">
                  <c:v>8.1956074376908841E-4</c:v>
                </c:pt>
                <c:pt idx="449">
                  <c:v>8.1673607015542507E-4</c:v>
                </c:pt>
                <c:pt idx="450">
                  <c:v>8.1212227843059301E-4</c:v>
                </c:pt>
                <c:pt idx="451">
                  <c:v>8.0795102593455778E-4</c:v>
                </c:pt>
                <c:pt idx="452">
                  <c:v>8.0223215018241853E-4</c:v>
                </c:pt>
                <c:pt idx="453">
                  <c:v>7.968659549322174E-4</c:v>
                </c:pt>
                <c:pt idx="454">
                  <c:v>7.9022600779574473E-4</c:v>
                </c:pt>
                <c:pt idx="455">
                  <c:v>7.833602883805281E-4</c:v>
                </c:pt>
                <c:pt idx="456">
                  <c:v>7.7571517744558227E-4</c:v>
                </c:pt>
                <c:pt idx="457">
                  <c:v>7.6779720634058066E-4</c:v>
                </c:pt>
                <c:pt idx="458">
                  <c:v>7.592390704074907E-4</c:v>
                </c:pt>
                <c:pt idx="459">
                  <c:v>7.503479781677154E-4</c:v>
                </c:pt>
                <c:pt idx="460">
                  <c:v>7.4034720027592663E-4</c:v>
                </c:pt>
                <c:pt idx="461">
                  <c:v>7.3103769586932432E-4</c:v>
                </c:pt>
                <c:pt idx="462">
                  <c:v>7.2053221613463739E-4</c:v>
                </c:pt>
                <c:pt idx="463">
                  <c:v>7.0881771368901808E-4</c:v>
                </c:pt>
                <c:pt idx="464">
                  <c:v>6.973218353116227E-4</c:v>
                </c:pt>
                <c:pt idx="465">
                  <c:v>6.851598839090374E-4</c:v>
                </c:pt>
                <c:pt idx="466">
                  <c:v>6.7344099781389138E-4</c:v>
                </c:pt>
                <c:pt idx="467">
                  <c:v>6.6222306087782012E-4</c:v>
                </c:pt>
                <c:pt idx="468">
                  <c:v>6.5144760179525196E-4</c:v>
                </c:pt>
                <c:pt idx="469">
                  <c:v>6.3982458612767482E-4</c:v>
                </c:pt>
                <c:pt idx="470">
                  <c:v>6.2952965860888985E-4</c:v>
                </c:pt>
                <c:pt idx="471">
                  <c:v>6.1818420340324642E-4</c:v>
                </c:pt>
                <c:pt idx="472">
                  <c:v>6.0794075877751777E-4</c:v>
                </c:pt>
                <c:pt idx="473">
                  <c:v>5.9815953511584488E-4</c:v>
                </c:pt>
                <c:pt idx="474">
                  <c:v>5.8792068130142025E-4</c:v>
                </c:pt>
                <c:pt idx="475">
                  <c:v>5.7813169441582254E-4</c:v>
                </c:pt>
                <c:pt idx="476">
                  <c:v>5.6769717329627559E-4</c:v>
                </c:pt>
                <c:pt idx="477">
                  <c:v>5.5830524734433104E-4</c:v>
                </c:pt>
                <c:pt idx="478">
                  <c:v>5.4818799125948281E-4</c:v>
                </c:pt>
                <c:pt idx="479">
                  <c:v>5.3893635786863778E-4</c:v>
                </c:pt>
                <c:pt idx="480">
                  <c:v>5.2931208435012464E-4</c:v>
                </c:pt>
                <c:pt idx="481">
                  <c:v>5.2066433094048042E-4</c:v>
                </c:pt>
                <c:pt idx="482">
                  <c:v>5.1105497471997871E-4</c:v>
                </c:pt>
                <c:pt idx="483">
                  <c:v>5.0256200724961217E-4</c:v>
                </c:pt>
                <c:pt idx="484">
                  <c:v>4.9407191009006798E-4</c:v>
                </c:pt>
                <c:pt idx="485">
                  <c:v>4.8570601637765859E-4</c:v>
                </c:pt>
                <c:pt idx="486">
                  <c:v>4.7767282001229608E-4</c:v>
                </c:pt>
                <c:pt idx="487">
                  <c:v>4.6913983436116385E-4</c:v>
                </c:pt>
                <c:pt idx="488">
                  <c:v>4.6147039973298831E-4</c:v>
                </c:pt>
                <c:pt idx="489">
                  <c:v>4.531431170739092E-4</c:v>
                </c:pt>
                <c:pt idx="490">
                  <c:v>4.4542385702685955E-4</c:v>
                </c:pt>
                <c:pt idx="491">
                  <c:v>4.3756301656355107E-4</c:v>
                </c:pt>
                <c:pt idx="492">
                  <c:v>4.3010466674280393E-4</c:v>
                </c:pt>
                <c:pt idx="493">
                  <c:v>4.2293361919093844E-4</c:v>
                </c:pt>
                <c:pt idx="494">
                  <c:v>4.1596697536632962E-4</c:v>
                </c:pt>
                <c:pt idx="495">
                  <c:v>4.0876245820999427E-4</c:v>
                </c:pt>
                <c:pt idx="496">
                  <c:v>4.0270638014999749E-4</c:v>
                </c:pt>
                <c:pt idx="497">
                  <c:v>3.9619243526100439E-4</c:v>
                </c:pt>
                <c:pt idx="498">
                  <c:v>3.8946809182444433E-4</c:v>
                </c:pt>
                <c:pt idx="499">
                  <c:v>3.8304134191386938E-4</c:v>
                </c:pt>
                <c:pt idx="500">
                  <c:v>3.7686164242354755E-4</c:v>
                </c:pt>
                <c:pt idx="501">
                  <c:v>3.7121247722812084E-4</c:v>
                </c:pt>
                <c:pt idx="502">
                  <c:v>3.6478632586205498E-4</c:v>
                </c:pt>
                <c:pt idx="503">
                  <c:v>3.5905319698844446E-4</c:v>
                </c:pt>
                <c:pt idx="504">
                  <c:v>3.5317314695537325E-4</c:v>
                </c:pt>
                <c:pt idx="505">
                  <c:v>3.4848787788925584E-4</c:v>
                </c:pt>
                <c:pt idx="506">
                  <c:v>3.4268988583138413E-4</c:v>
                </c:pt>
                <c:pt idx="507">
                  <c:v>3.3796510438822286E-4</c:v>
                </c:pt>
                <c:pt idx="508">
                  <c:v>3.3380848416880715E-4</c:v>
                </c:pt>
                <c:pt idx="509">
                  <c:v>3.2852735636124467E-4</c:v>
                </c:pt>
                <c:pt idx="510">
                  <c:v>3.2402964182049604E-4</c:v>
                </c:pt>
                <c:pt idx="511">
                  <c:v>3.1906309723062423E-4</c:v>
                </c:pt>
                <c:pt idx="512">
                  <c:v>3.1516170226998652E-4</c:v>
                </c:pt>
                <c:pt idx="513">
                  <c:v>3.1076846087409529E-4</c:v>
                </c:pt>
                <c:pt idx="514">
                  <c:v>3.0599570917543006E-4</c:v>
                </c:pt>
                <c:pt idx="515">
                  <c:v>3.0230894856406176E-4</c:v>
                </c:pt>
                <c:pt idx="516">
                  <c:v>2.9834855052195478E-4</c:v>
                </c:pt>
                <c:pt idx="517">
                  <c:v>2.9499925347998765E-4</c:v>
                </c:pt>
                <c:pt idx="518">
                  <c:v>2.9200163263425061E-4</c:v>
                </c:pt>
                <c:pt idx="519">
                  <c:v>2.896457719526041E-4</c:v>
                </c:pt>
                <c:pt idx="520">
                  <c:v>2.8612386262338863E-4</c:v>
                </c:pt>
                <c:pt idx="521">
                  <c:v>2.8282132249578262E-4</c:v>
                </c:pt>
                <c:pt idx="522">
                  <c:v>2.8012075895830421E-4</c:v>
                </c:pt>
                <c:pt idx="523">
                  <c:v>2.7793991371210039E-4</c:v>
                </c:pt>
                <c:pt idx="524">
                  <c:v>2.7532010514592919E-4</c:v>
                </c:pt>
                <c:pt idx="525">
                  <c:v>2.7265055810483593E-4</c:v>
                </c:pt>
                <c:pt idx="526">
                  <c:v>2.7035172389547335E-4</c:v>
                </c:pt>
                <c:pt idx="527">
                  <c:v>2.6788229093137328E-4</c:v>
                </c:pt>
                <c:pt idx="528">
                  <c:v>2.6661464738958474E-4</c:v>
                </c:pt>
                <c:pt idx="529">
                  <c:v>2.6435873201886839E-4</c:v>
                </c:pt>
                <c:pt idx="530">
                  <c:v>2.6254331361600519E-4</c:v>
                </c:pt>
                <c:pt idx="531">
                  <c:v>2.6140124981979471E-4</c:v>
                </c:pt>
                <c:pt idx="532">
                  <c:v>2.6070952773415285E-4</c:v>
                </c:pt>
                <c:pt idx="533">
                  <c:v>2.5844142104902365E-4</c:v>
                </c:pt>
                <c:pt idx="534">
                  <c:v>2.5669116223335509E-4</c:v>
                </c:pt>
                <c:pt idx="535">
                  <c:v>2.5588330041978816E-4</c:v>
                </c:pt>
                <c:pt idx="536">
                  <c:v>2.5569496572526093E-4</c:v>
                </c:pt>
                <c:pt idx="537">
                  <c:v>2.533154597670513E-4</c:v>
                </c:pt>
                <c:pt idx="538">
                  <c:v>2.5199821383892207E-4</c:v>
                </c:pt>
                <c:pt idx="539">
                  <c:v>2.5117143879888754E-4</c:v>
                </c:pt>
                <c:pt idx="540">
                  <c:v>2.5148317443540388E-4</c:v>
                </c:pt>
                <c:pt idx="541">
                  <c:v>2.5042302250548321E-4</c:v>
                </c:pt>
                <c:pt idx="542">
                  <c:v>2.5046936970848574E-4</c:v>
                </c:pt>
                <c:pt idx="543">
                  <c:v>2.5123698097791886E-4</c:v>
                </c:pt>
                <c:pt idx="544">
                  <c:v>2.4997997735150615E-4</c:v>
                </c:pt>
                <c:pt idx="545">
                  <c:v>2.4989451474806412E-4</c:v>
                </c:pt>
                <c:pt idx="546">
                  <c:v>2.493658958131334E-4</c:v>
                </c:pt>
                <c:pt idx="547">
                  <c:v>2.5001844406574367E-4</c:v>
                </c:pt>
                <c:pt idx="548">
                  <c:v>2.5026414889440032E-4</c:v>
                </c:pt>
                <c:pt idx="549">
                  <c:v>2.4945851949981918E-4</c:v>
                </c:pt>
                <c:pt idx="550">
                  <c:v>2.499340506487216E-4</c:v>
                </c:pt>
                <c:pt idx="551">
                  <c:v>2.4990294551890599E-4</c:v>
                </c:pt>
                <c:pt idx="552">
                  <c:v>2.5174995274676593E-4</c:v>
                </c:pt>
                <c:pt idx="553">
                  <c:v>2.5250188507837737E-4</c:v>
                </c:pt>
                <c:pt idx="554">
                  <c:v>2.5342523464722336E-4</c:v>
                </c:pt>
                <c:pt idx="555">
                  <c:v>2.5501008107990317E-4</c:v>
                </c:pt>
                <c:pt idx="556">
                  <c:v>2.5796498515092553E-4</c:v>
                </c:pt>
                <c:pt idx="557">
                  <c:v>2.5735067085233543E-4</c:v>
                </c:pt>
                <c:pt idx="558">
                  <c:v>2.5804259395466322E-4</c:v>
                </c:pt>
                <c:pt idx="559">
                  <c:v>2.6017853545699798E-4</c:v>
                </c:pt>
                <c:pt idx="560">
                  <c:v>2.6037074278982206E-4</c:v>
                </c:pt>
                <c:pt idx="561">
                  <c:v>2.6211881112707738E-4</c:v>
                </c:pt>
                <c:pt idx="562">
                  <c:v>2.63202468579634E-4</c:v>
                </c:pt>
                <c:pt idx="563">
                  <c:v>2.664554474838543E-4</c:v>
                </c:pt>
                <c:pt idx="564">
                  <c:v>2.6839704548399859E-4</c:v>
                </c:pt>
                <c:pt idx="565">
                  <c:v>2.7062056339887883E-4</c:v>
                </c:pt>
                <c:pt idx="566">
                  <c:v>2.7338785137459923E-4</c:v>
                </c:pt>
                <c:pt idx="567">
                  <c:v>2.7565679640935078E-4</c:v>
                </c:pt>
                <c:pt idx="568">
                  <c:v>2.7823011026801778E-4</c:v>
                </c:pt>
                <c:pt idx="569">
                  <c:v>2.8003560688507484E-4</c:v>
                </c:pt>
                <c:pt idx="570">
                  <c:v>2.8352575602340682E-4</c:v>
                </c:pt>
                <c:pt idx="571">
                  <c:v>2.8782370314505562E-4</c:v>
                </c:pt>
                <c:pt idx="572">
                  <c:v>2.8843606489182411E-4</c:v>
                </c:pt>
                <c:pt idx="573">
                  <c:v>2.9139071990514145E-4</c:v>
                </c:pt>
                <c:pt idx="574">
                  <c:v>2.9389532341171989E-4</c:v>
                </c:pt>
                <c:pt idx="575">
                  <c:v>2.9851780998032401E-4</c:v>
                </c:pt>
                <c:pt idx="576">
                  <c:v>3.0124876187389779E-4</c:v>
                </c:pt>
                <c:pt idx="577">
                  <c:v>3.0542202565591453E-4</c:v>
                </c:pt>
                <c:pt idx="578">
                  <c:v>3.0822287988840902E-4</c:v>
                </c:pt>
                <c:pt idx="579">
                  <c:v>3.1246859466793273E-4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000768"/>
        <c:axId val="578002304"/>
      </c:lineChart>
      <c:dateAx>
        <c:axId val="5780007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8002304"/>
        <c:crosses val="autoZero"/>
        <c:auto val="1"/>
        <c:lblOffset val="100"/>
        <c:baseTimeUnit val="months"/>
      </c:dateAx>
      <c:valAx>
        <c:axId val="57800230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5780007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180976</xdr:colOff>
      <xdr:row>14</xdr:row>
      <xdr:rowOff>66674</xdr:rowOff>
    </xdr:from>
    <xdr:to>
      <xdr:col>29</xdr:col>
      <xdr:colOff>533400</xdr:colOff>
      <xdr:row>42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23</xdr:row>
      <xdr:rowOff>14287</xdr:rowOff>
    </xdr:from>
    <xdr:to>
      <xdr:col>14</xdr:col>
      <xdr:colOff>180974</xdr:colOff>
      <xdr:row>48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85726</xdr:colOff>
      <xdr:row>14</xdr:row>
      <xdr:rowOff>66674</xdr:rowOff>
    </xdr:from>
    <xdr:to>
      <xdr:col>29</xdr:col>
      <xdr:colOff>438150</xdr:colOff>
      <xdr:row>42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3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3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276224</xdr:colOff>
      <xdr:row>24</xdr:row>
      <xdr:rowOff>80962</xdr:rowOff>
    </xdr:from>
    <xdr:to>
      <xdr:col>13</xdr:col>
      <xdr:colOff>552449</xdr:colOff>
      <xdr:row>50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14</xdr:row>
      <xdr:rowOff>76199</xdr:rowOff>
    </xdr:from>
    <xdr:to>
      <xdr:col>29</xdr:col>
      <xdr:colOff>466725</xdr:colOff>
      <xdr:row>42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76201</xdr:colOff>
      <xdr:row>14</xdr:row>
      <xdr:rowOff>9524</xdr:rowOff>
    </xdr:from>
    <xdr:to>
      <xdr:col>29</xdr:col>
      <xdr:colOff>304800</xdr:colOff>
      <xdr:row>41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64030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561974</xdr:colOff>
      <xdr:row>34</xdr:row>
      <xdr:rowOff>80962</xdr:rowOff>
    </xdr:from>
    <xdr:to>
      <xdr:col>14</xdr:col>
      <xdr:colOff>257174</xdr:colOff>
      <xdr:row>60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61912</xdr:rowOff>
    </xdr:from>
    <xdr:to>
      <xdr:col>11</xdr:col>
      <xdr:colOff>380999</xdr:colOff>
      <xdr:row>39</xdr:row>
      <xdr:rowOff>2476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9524</xdr:rowOff>
    </xdr:from>
    <xdr:to>
      <xdr:col>11</xdr:col>
      <xdr:colOff>485775</xdr:colOff>
      <xdr:row>47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9525</xdr:colOff>
      <xdr:row>0</xdr:row>
      <xdr:rowOff>0</xdr:rowOff>
    </xdr:from>
    <xdr:to>
      <xdr:col>29</xdr:col>
      <xdr:colOff>381000</xdr:colOff>
      <xdr:row>22</xdr:row>
      <xdr:rowOff>71439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22</xdr:row>
      <xdr:rowOff>66675</xdr:rowOff>
    </xdr:from>
    <xdr:to>
      <xdr:col>29</xdr:col>
      <xdr:colOff>390525</xdr:colOff>
      <xdr:row>50</xdr:row>
      <xdr:rowOff>66675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26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X4</v>
          </cell>
        </row>
        <row r="7">
          <cell r="D7" t="str">
            <v>Z4</v>
          </cell>
        </row>
      </sheetData>
      <sheetData sheetId="9">
        <row r="6">
          <cell r="D6" t="str">
            <v>Future Code</v>
          </cell>
        </row>
        <row r="7">
          <cell r="D7" t="str">
            <v>X4</v>
          </cell>
        </row>
      </sheetData>
      <sheetData sheetId="10">
        <row r="6">
          <cell r="D6" t="str">
            <v>X4</v>
          </cell>
        </row>
        <row r="7">
          <cell r="D7" t="str">
            <v>Z4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APR14</v>
          </cell>
        </row>
        <row r="7">
          <cell r="D7" t="str">
            <v>MAY14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41940</v>
          </cell>
        </row>
        <row r="7">
          <cell r="D7">
            <v>41939</v>
          </cell>
        </row>
      </sheetData>
      <sheetData sheetId="25">
        <row r="6">
          <cell r="D6">
            <v>41940</v>
          </cell>
        </row>
        <row r="7">
          <cell r="D7">
            <v>41939</v>
          </cell>
        </row>
      </sheetData>
      <sheetData sheetId="26">
        <row r="6">
          <cell r="D6">
            <v>41941</v>
          </cell>
        </row>
        <row r="7">
          <cell r="D7">
            <v>41940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Oct 13 2014 15:51:57</v>
      </c>
    </row>
    <row r="2" spans="1:35" ht="19.5" thickBot="1" x14ac:dyDescent="0.3">
      <c r="B2" s="234" t="s">
        <v>0</v>
      </c>
      <c r="C2" s="234"/>
      <c r="D2" s="234"/>
      <c r="E2" s="234"/>
      <c r="F2" s="235"/>
      <c r="H2" s="242" t="s">
        <v>5</v>
      </c>
      <c r="I2" s="243"/>
      <c r="J2" s="243"/>
      <c r="K2" s="244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9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10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6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12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7</v>
      </c>
      <c r="D7" s="12" t="s">
        <v>8</v>
      </c>
      <c r="E7" s="3"/>
      <c r="F7" s="4"/>
      <c r="H7" s="9"/>
      <c r="I7" s="13" t="s">
        <v>13</v>
      </c>
      <c r="J7" s="18"/>
      <c r="K7" s="15"/>
    </row>
    <row r="8" spans="1:35" x14ac:dyDescent="0.2">
      <c r="B8" s="2"/>
      <c r="C8" s="5" t="s">
        <v>140</v>
      </c>
      <c r="D8" s="17" t="s">
        <v>141</v>
      </c>
      <c r="E8" s="3"/>
      <c r="F8" s="4"/>
      <c r="H8" s="9"/>
      <c r="I8" s="13" t="s">
        <v>15</v>
      </c>
      <c r="J8" s="19" t="b">
        <v>1</v>
      </c>
      <c r="K8" s="15"/>
    </row>
    <row r="9" spans="1:35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5" x14ac:dyDescent="0.2">
      <c r="B10" s="2"/>
      <c r="C10" s="146" t="s">
        <v>24</v>
      </c>
      <c r="D10" s="148">
        <v>41864.862141203703</v>
      </c>
      <c r="E10" s="147"/>
      <c r="F10" s="4"/>
      <c r="H10" s="9"/>
      <c r="I10" s="13" t="s">
        <v>19</v>
      </c>
      <c r="J10" s="19" t="s">
        <v>20</v>
      </c>
      <c r="K10" s="15"/>
    </row>
    <row r="11" spans="1:35" x14ac:dyDescent="0.2">
      <c r="B11" s="2"/>
      <c r="C11" s="146" t="s">
        <v>25</v>
      </c>
      <c r="D11" s="232" t="b">
        <v>1</v>
      </c>
      <c r="E11" s="147"/>
      <c r="F11" s="4"/>
      <c r="H11" s="9"/>
      <c r="I11" s="13" t="s">
        <v>22</v>
      </c>
      <c r="J11" s="20">
        <v>1E-4</v>
      </c>
      <c r="K11" s="15"/>
    </row>
    <row r="12" spans="1:35" x14ac:dyDescent="0.2">
      <c r="B12" s="2"/>
      <c r="C12" s="21"/>
      <c r="D12" s="146"/>
      <c r="E12" s="147"/>
      <c r="F12" s="4"/>
      <c r="H12" s="9"/>
      <c r="I12" s="13" t="s">
        <v>23</v>
      </c>
      <c r="J12" s="22">
        <v>-0.01</v>
      </c>
      <c r="K12" s="15"/>
    </row>
    <row r="13" spans="1:35" ht="12" thickBot="1" x14ac:dyDescent="0.25">
      <c r="B13" s="31"/>
      <c r="C13" s="239"/>
      <c r="D13" s="240"/>
      <c r="E13" s="241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234" t="s">
        <v>111</v>
      </c>
      <c r="C16" s="234"/>
      <c r="D16" s="234"/>
      <c r="E16" s="234"/>
      <c r="F16" s="235"/>
      <c r="H16" s="234" t="s">
        <v>120</v>
      </c>
      <c r="I16" s="234"/>
      <c r="J16" s="234"/>
      <c r="K16" s="235"/>
    </row>
    <row r="17" spans="2:11" x14ac:dyDescent="0.2">
      <c r="B17" s="120"/>
      <c r="C17" s="121"/>
      <c r="D17" s="122"/>
      <c r="E17" s="123"/>
      <c r="F17" s="124"/>
      <c r="H17" s="59"/>
      <c r="I17" s="35"/>
      <c r="J17" s="35"/>
      <c r="K17" s="63"/>
    </row>
    <row r="18" spans="2:11" x14ac:dyDescent="0.2">
      <c r="B18" s="2"/>
      <c r="C18" s="129" t="s">
        <v>11</v>
      </c>
      <c r="D18" s="16">
        <f>_xll.qlCalendarAdvance(Calendar,EvaluationDate,"2D","f")</f>
        <v>41943</v>
      </c>
      <c r="E18" s="3"/>
      <c r="F18" s="4"/>
      <c r="H18" s="59"/>
      <c r="I18" s="5" t="s">
        <v>26</v>
      </c>
      <c r="J18" s="236">
        <v>41941.691666666666</v>
      </c>
      <c r="K18" s="63"/>
    </row>
    <row r="19" spans="2:11" x14ac:dyDescent="0.2">
      <c r="B19" s="2"/>
      <c r="C19" s="129" t="s">
        <v>14</v>
      </c>
      <c r="D19" s="17" t="str">
        <f>_xll.qlDiscountingSwapEngine(,OisCurve,,,,,EvaluationDate)</f>
        <v>obj_00551#0000</v>
      </c>
      <c r="E19" s="3"/>
      <c r="F19" s="4"/>
      <c r="H19" s="59"/>
      <c r="I19" s="5" t="s">
        <v>27</v>
      </c>
      <c r="J19" s="236">
        <f>_xll.qlSettingsEvaluationDate(Trigger)</f>
        <v>41941</v>
      </c>
      <c r="K19" s="63"/>
    </row>
    <row r="20" spans="2:11" x14ac:dyDescent="0.2">
      <c r="B20" s="2"/>
      <c r="C20" s="129" t="s">
        <v>18</v>
      </c>
      <c r="D20" s="127">
        <f>_xll.qlCalendarAdjust(Calendar,DATE(YEAR(SettlementDate),12,31),"Preceding")</f>
        <v>42004</v>
      </c>
      <c r="E20" s="3"/>
      <c r="F20" s="4"/>
      <c r="H20" s="59"/>
      <c r="I20" s="5" t="s">
        <v>28</v>
      </c>
      <c r="J20" s="237">
        <f>[1]!TriggerCounter</f>
        <v>26</v>
      </c>
      <c r="K20" s="63"/>
    </row>
    <row r="21" spans="2:11" x14ac:dyDescent="0.2">
      <c r="B21" s="2"/>
      <c r="C21" s="129" t="s">
        <v>21</v>
      </c>
      <c r="D21" s="127">
        <f>_xll.qlCalendarAdjust(Calendar,DATE(YEAR(SettlementDate)+1,12,31),"Preceding")</f>
        <v>42369</v>
      </c>
      <c r="E21" s="3"/>
      <c r="F21" s="4"/>
      <c r="H21" s="59"/>
      <c r="I21" s="5" t="s">
        <v>29</v>
      </c>
      <c r="J21" s="238">
        <f>[1]!LastFixingsTrigger</f>
        <v>1</v>
      </c>
      <c r="K21" s="63"/>
    </row>
    <row r="22" spans="2:11" x14ac:dyDescent="0.2">
      <c r="B22" s="2"/>
      <c r="C22" s="233"/>
      <c r="D22" s="233"/>
      <c r="E22" s="3"/>
      <c r="F22" s="4"/>
      <c r="H22" s="59"/>
      <c r="I22" s="5" t="s">
        <v>32</v>
      </c>
      <c r="J22" s="6">
        <f>_xll.ohTrigger(Contribution!W16,Contribution!W22,Contribution!W29,Contribution!W39,Contribution!W55)</f>
        <v>1</v>
      </c>
      <c r="K22" s="63"/>
    </row>
    <row r="23" spans="2:11" ht="12" thickBot="1" x14ac:dyDescent="0.25">
      <c r="B23" s="31"/>
      <c r="C23" s="32"/>
      <c r="D23" s="32"/>
      <c r="E23" s="32"/>
      <c r="F23" s="33"/>
      <c r="H23" s="64"/>
      <c r="I23" s="65"/>
      <c r="J23" s="65"/>
      <c r="K23" s="66"/>
    </row>
    <row r="25" spans="2:11" ht="12" thickBot="1" x14ac:dyDescent="0.25"/>
    <row r="26" spans="2:11" ht="19.5" thickBot="1" x14ac:dyDescent="0.25">
      <c r="B26" s="234" t="s">
        <v>112</v>
      </c>
      <c r="C26" s="234"/>
      <c r="D26" s="234"/>
      <c r="E26" s="234"/>
      <c r="F26" s="235"/>
      <c r="H26" s="234" t="s">
        <v>200</v>
      </c>
      <c r="I26" s="234"/>
      <c r="J26" s="234"/>
      <c r="K26" s="234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129" t="s">
        <v>30</v>
      </c>
      <c r="D28" s="6" t="s">
        <v>31</v>
      </c>
      <c r="E28" s="3"/>
      <c r="F28" s="4"/>
      <c r="H28" s="2"/>
      <c r="I28" s="129" t="s">
        <v>30</v>
      </c>
      <c r="J28" s="6" t="s">
        <v>45</v>
      </c>
      <c r="K28" s="3"/>
    </row>
    <row r="29" spans="2:11" x14ac:dyDescent="0.2">
      <c r="B29" s="2"/>
      <c r="C29" s="129" t="s">
        <v>33</v>
      </c>
      <c r="D29" s="126">
        <v>2</v>
      </c>
      <c r="E29" s="3"/>
      <c r="F29" s="4"/>
      <c r="H29" s="2"/>
      <c r="I29" s="129" t="s">
        <v>33</v>
      </c>
      <c r="J29" s="126">
        <v>2</v>
      </c>
      <c r="K29" s="3"/>
    </row>
    <row r="30" spans="2:11" x14ac:dyDescent="0.2">
      <c r="B30" s="2"/>
      <c r="C30" s="129" t="s">
        <v>34</v>
      </c>
      <c r="D30" s="7" t="e">
        <v>#N/A</v>
      </c>
      <c r="E30" s="3"/>
      <c r="F30" s="4"/>
      <c r="H30" s="2"/>
      <c r="I30" s="129" t="s">
        <v>34</v>
      </c>
      <c r="J30" s="7" t="e">
        <v>#N/A</v>
      </c>
      <c r="K30" s="3"/>
    </row>
    <row r="31" spans="2:11" x14ac:dyDescent="0.2">
      <c r="B31" s="2"/>
      <c r="C31" s="129" t="s">
        <v>35</v>
      </c>
      <c r="D31" s="12" t="s">
        <v>36</v>
      </c>
      <c r="E31" s="3"/>
      <c r="F31" s="4"/>
      <c r="H31" s="2"/>
      <c r="I31" s="129" t="s">
        <v>35</v>
      </c>
      <c r="J31" s="12" t="s">
        <v>36</v>
      </c>
      <c r="K31" s="3"/>
    </row>
    <row r="32" spans="2:11" x14ac:dyDescent="0.2">
      <c r="B32" s="2"/>
      <c r="C32" s="129" t="s">
        <v>37</v>
      </c>
      <c r="D32" s="17" t="s">
        <v>38</v>
      </c>
      <c r="E32" s="3"/>
      <c r="F32" s="4"/>
      <c r="H32" s="2"/>
      <c r="I32" s="129" t="s">
        <v>37</v>
      </c>
      <c r="J32" s="17" t="s">
        <v>38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129" t="s">
        <v>113</v>
      </c>
      <c r="D34" s="128" t="b">
        <f>_xll.qlExtrapolatorEnableExtrapolation(YieldCurve,TRUE)</f>
        <v>1</v>
      </c>
      <c r="E34" s="24"/>
      <c r="F34" s="4"/>
      <c r="H34" s="2"/>
      <c r="I34" s="5" t="s">
        <v>114</v>
      </c>
      <c r="J34" s="420" t="str">
        <f>_xll.qlEuribor(,"1M",J35,,Trigger)</f>
        <v>obj_00a74#0000</v>
      </c>
      <c r="K34" s="29"/>
    </row>
    <row r="35" spans="2:11" x14ac:dyDescent="0.2">
      <c r="B35" s="2"/>
      <c r="C35" s="21"/>
      <c r="D35" s="28"/>
      <c r="E35" s="29"/>
      <c r="F35" s="4"/>
      <c r="H35" s="2"/>
      <c r="I35" s="136" t="s">
        <v>118</v>
      </c>
      <c r="J35" s="137" t="str">
        <f>_xll.qlPiecewiseYieldCurve(,NDays,Calendar,_xll.ohPack('1M Swaps'!L13:L21),"actual/365",,,Accuracy,TraitsID,InterpolatorID,,Trigger)</f>
        <v>obj_00a72#0000</v>
      </c>
      <c r="K35" s="29"/>
    </row>
    <row r="36" spans="2:11" x14ac:dyDescent="0.2">
      <c r="B36" s="2"/>
      <c r="C36" s="5" t="s">
        <v>114</v>
      </c>
      <c r="D36" s="130" t="str">
        <f>_xll.qlEuribor(,IborTenor,YieldCurve,,D34)</f>
        <v>obj_00a3b#0000</v>
      </c>
      <c r="E36" s="29"/>
      <c r="F36" s="4"/>
      <c r="H36" s="2"/>
      <c r="I36" s="138" t="s">
        <v>119</v>
      </c>
      <c r="J36" s="139" t="str">
        <f>_xll.ohRangeRetrieveError(YieldCurve)</f>
        <v/>
      </c>
      <c r="K36" s="29"/>
    </row>
    <row r="37" spans="2:11" x14ac:dyDescent="0.2">
      <c r="B37" s="2"/>
      <c r="C37" s="5" t="s">
        <v>115</v>
      </c>
      <c r="D37" s="128" t="s">
        <v>117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116</v>
      </c>
      <c r="D38" s="131" t="str">
        <f>_xll.qlInterpolation(,BasisInterpolation,SynthFra!I2:I6,SynthFra!O2:O6)</f>
        <v>obj_0089f#0000</v>
      </c>
      <c r="E38" s="29"/>
      <c r="F38" s="4"/>
      <c r="H38" s="2"/>
      <c r="I38" s="132">
        <f>_xll.qlTermStructureReferenceDate(J35)</f>
        <v>41943</v>
      </c>
      <c r="J38" s="133">
        <f>MAX(_xll.ohPack(SynthFra!K2:K127))</f>
        <v>1.0548756898309997E-2</v>
      </c>
      <c r="K38" s="29"/>
    </row>
    <row r="39" spans="2:11" x14ac:dyDescent="0.2">
      <c r="B39" s="2"/>
      <c r="C39" s="5" t="s">
        <v>16</v>
      </c>
      <c r="D39" s="125" t="s">
        <v>17</v>
      </c>
      <c r="E39" s="3"/>
      <c r="F39" s="4"/>
      <c r="H39" s="2"/>
      <c r="I39" s="134">
        <f>MAX(_xll.ohPack(SynthFra!J3:J127))</f>
        <v>43769</v>
      </c>
      <c r="J39" s="135">
        <f>MIN(_xll.ohPack(SynthFra!K2:K127))</f>
        <v>3.3999999999998745E-3</v>
      </c>
      <c r="K39" s="29"/>
    </row>
    <row r="40" spans="2:11" x14ac:dyDescent="0.2">
      <c r="B40" s="2"/>
      <c r="C40" s="136" t="s">
        <v>118</v>
      </c>
      <c r="D40" s="137" t="str">
        <f>_xll.qlPiecewiseYieldCurve(,NDays,Calendar,_xll.ohPack(SynthFra!A3:A127),DayCounter,,,Accuracy,TraitsID,InterpolatorID)</f>
        <v>obj_00a3a#0000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138" t="s">
        <v>119</v>
      </c>
      <c r="D41" s="139" t="str">
        <f>_xll.ohRangeRetrieveError(YieldCurve)</f>
        <v/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132">
        <f>_xll.qlTermStructureReferenceDate(YieldCurve)</f>
        <v>41943</v>
      </c>
      <c r="D43" s="133">
        <f>MAX(_xll.ohPack(SynthFra!E2:E127))</f>
        <v>1</v>
      </c>
      <c r="E43" s="29"/>
      <c r="F43" s="4"/>
    </row>
    <row r="44" spans="2:11" x14ac:dyDescent="0.2">
      <c r="B44" s="2"/>
      <c r="C44" s="134">
        <f>MAX(_xll.ohPack(SynthFra!D3:D127))</f>
        <v>43769</v>
      </c>
      <c r="D44" s="135">
        <f>MIN(_xll.ohPack(SynthFra!E2:E127))</f>
        <v>0.96886700329288855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1">
    <cfRule type="cellIs" dxfId="2" priority="3" stopIfTrue="1" operator="equal">
      <formula>TRUE</formula>
    </cfRule>
  </conditionalFormatting>
  <conditionalFormatting sqref="E45">
    <cfRule type="cellIs" dxfId="1" priority="2" stopIfTrue="1" operator="equal">
      <formula>TRUE</formula>
    </cfRule>
  </conditionalFormatting>
  <conditionalFormatting sqref="K40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2"/>
  <sheetViews>
    <sheetView workbookViewId="0"/>
  </sheetViews>
  <sheetFormatPr defaultColWidth="9.5" defaultRowHeight="11.25" outlineLevelCol="1" x14ac:dyDescent="0.2"/>
  <cols>
    <col min="1" max="1" width="3.5" style="255" customWidth="1"/>
    <col min="2" max="2" width="2.33203125" style="255" customWidth="1"/>
    <col min="3" max="3" width="3.5" style="255" customWidth="1"/>
    <col min="4" max="4" width="31.1640625" style="255" bestFit="1" customWidth="1"/>
    <col min="5" max="6" width="22.83203125" style="255" customWidth="1"/>
    <col min="7" max="7" width="19" style="255" hidden="1" customWidth="1" outlineLevel="1"/>
    <col min="8" max="8" width="11.6640625" style="255" hidden="1" customWidth="1" outlineLevel="1"/>
    <col min="9" max="9" width="10.83203125" style="255" customWidth="1" collapsed="1"/>
    <col min="10" max="15" width="10.83203125" style="255" customWidth="1"/>
    <col min="16" max="16" width="12.83203125" style="255" hidden="1" customWidth="1" outlineLevel="1"/>
    <col min="17" max="17" width="7" style="255" customWidth="1" collapsed="1"/>
    <col min="18" max="18" width="13.1640625" style="255" customWidth="1"/>
    <col min="19" max="21" width="6.83203125" style="255" customWidth="1"/>
    <col min="22" max="22" width="2.33203125" style="255" bestFit="1" customWidth="1"/>
    <col min="23" max="23" width="10.83203125" style="255" customWidth="1"/>
    <col min="24" max="24" width="2.33203125" style="255" bestFit="1" customWidth="1"/>
    <col min="25" max="25" width="10.83203125" style="255" customWidth="1"/>
    <col min="26" max="26" width="12.5" style="255" bestFit="1" customWidth="1"/>
    <col min="27" max="29" width="10.5" style="255" customWidth="1"/>
    <col min="30" max="31" width="9.5" style="255"/>
    <col min="32" max="32" width="20.33203125" style="255" bestFit="1" customWidth="1"/>
    <col min="33" max="33" width="12.33203125" style="255" bestFit="1" customWidth="1"/>
    <col min="34" max="35" width="10.5" style="255" bestFit="1" customWidth="1"/>
    <col min="36" max="36" width="12.1640625" style="255" customWidth="1"/>
    <col min="37" max="16384" width="9.5" style="255"/>
  </cols>
  <sheetData>
    <row r="1" spans="1:36" ht="12" thickBot="1" x14ac:dyDescent="0.25"/>
    <row r="2" spans="1:36" ht="19.5" customHeight="1" x14ac:dyDescent="0.2">
      <c r="D2" s="267" t="s">
        <v>123</v>
      </c>
      <c r="E2" s="268" t="s">
        <v>106</v>
      </c>
      <c r="F2" s="268" t="s">
        <v>107</v>
      </c>
      <c r="G2" s="267" t="s">
        <v>158</v>
      </c>
      <c r="H2" s="268"/>
      <c r="I2" s="268" t="s">
        <v>85</v>
      </c>
      <c r="J2" s="268" t="s">
        <v>39</v>
      </c>
      <c r="K2" s="282"/>
      <c r="L2" s="282"/>
      <c r="M2" s="269"/>
      <c r="N2" s="268" t="s">
        <v>154</v>
      </c>
      <c r="P2" s="268" t="s">
        <v>160</v>
      </c>
      <c r="W2" s="318" t="s">
        <v>131</v>
      </c>
      <c r="AA2" s="440" t="s">
        <v>130</v>
      </c>
      <c r="AB2" s="440"/>
      <c r="AC2" s="440"/>
      <c r="AF2" s="267" t="s">
        <v>106</v>
      </c>
      <c r="AG2" s="267"/>
      <c r="AH2" s="268" t="s">
        <v>44</v>
      </c>
      <c r="AI2" s="268" t="s">
        <v>121</v>
      </c>
      <c r="AJ2" s="269" t="s">
        <v>122</v>
      </c>
    </row>
    <row r="3" spans="1:36" x14ac:dyDescent="0.2">
      <c r="D3" s="257" t="str">
        <f>$E$9&amp;"LastFixing"&amp;QuoteSuffix</f>
        <v>Euribor1MLastFixing_Quote</v>
      </c>
      <c r="E3" s="258">
        <f>_xll.qlCalendarAdvance(Calendar,_xll.qlLastFixingQuoteReferenceDate($D$3),_xll.qlInterestRateIndexFixingDays($E$9)&amp;"D","f",,LastFixingsTrigger)</f>
        <v>41943</v>
      </c>
      <c r="F3" s="258">
        <f>_xll.qlInterestRateIndexMaturity($E$9,E3)</f>
        <v>41971</v>
      </c>
      <c r="G3" s="257" t="str">
        <f>_xll.qlMakeDatedOIS(,E3,F3,OvernightIndex,0,,,,EvaluationDate)</f>
        <v>obj_00500#0002</v>
      </c>
      <c r="H3" s="258" t="b">
        <f>_xll.qlInstrumentSetPricingEngine(G3,OisEngine)</f>
        <v>1</v>
      </c>
      <c r="I3" s="259">
        <f>_xll.qlQuoteValue($D3,AllTriggers)</f>
        <v>1E-4</v>
      </c>
      <c r="J3" s="260">
        <f>_xll.qlOvernightIndexedSwapFairRate(G3,_xll.ohTrigger(H3,InterestRatesTrigger))</f>
        <v>8.9999987802347192E-5</v>
      </c>
      <c r="K3" s="283">
        <f>I3*_xll.qlDayCounterYearFraction(DayCounter1M,E3,F3,,,Trigger)</f>
        <v>7.7777777777777775E-6</v>
      </c>
      <c r="L3" s="283">
        <f>J3*_xll.qlDayCounterYearFraction(DayCounterOIS,E3,F3,,,Trigger)</f>
        <v>6.9999990512936705E-6</v>
      </c>
      <c r="M3" s="294">
        <f>K3-L3</f>
        <v>7.7777872648410697E-7</v>
      </c>
      <c r="N3" s="294">
        <f>M3</f>
        <v>7.7777872648410697E-7</v>
      </c>
      <c r="P3" s="294" t="b">
        <f>IF(E14="FRA",FALSE,IF(E14="FIX+FRA",TRUE,FALSE))</f>
        <v>1</v>
      </c>
      <c r="R3" s="441" t="s">
        <v>124</v>
      </c>
      <c r="S3" s="274">
        <f t="array" ref="S3:S5">_xll.ohFilter(N10:N14,P10:P14)</f>
        <v>1.5047842810639813E-4</v>
      </c>
      <c r="T3" s="275">
        <f t="array" ref="T3:T5">_xll.ohFilter(M10:M14,P10:P14)</f>
        <v>2.942390692437606E-3</v>
      </c>
      <c r="U3" s="276">
        <f t="array" ref="U3:U5">_xll.ohFilter(L10:L14,P10:P14)</f>
        <v>7.6712328767123292E-2</v>
      </c>
      <c r="V3" s="270"/>
      <c r="W3" s="278">
        <f t="array" ref="W3:W5">MMULT(AA3:AC5,Y3:Y5)</f>
        <v>7.1560964904996555E-3</v>
      </c>
      <c r="X3" s="279"/>
      <c r="Y3" s="259">
        <f t="array" ref="Y3:Y5">_xll.ohFilter(N3:N7,P3:P7)</f>
        <v>7.7777872648410697E-7</v>
      </c>
      <c r="AA3" s="274">
        <f t="array" ref="AA3:AC5">MINVERSE(S3:U5)</f>
        <v>938.57847363409485</v>
      </c>
      <c r="AB3" s="275">
        <v>-1567.4576529377482</v>
      </c>
      <c r="AC3" s="276">
        <v>848.19684283970082</v>
      </c>
      <c r="AF3" s="287">
        <f>SettlementDate</f>
        <v>41943</v>
      </c>
      <c r="AG3" s="301">
        <f>_xll.qlDayCounterYearFraction(DayCounterON,SettlementDate,AF3,,,Trigger)</f>
        <v>0</v>
      </c>
      <c r="AH3" s="288">
        <f t="shared" ref="AH3:AH24" si="0">$W$13</f>
        <v>1.0138901255953536E-5</v>
      </c>
      <c r="AI3" s="288">
        <f t="shared" ref="AI3:AI24" si="1">$W$10+$W$9*AG3</f>
        <v>-4.1477244052865864E-5</v>
      </c>
      <c r="AJ3" s="289">
        <f t="shared" ref="AJ3:AJ24" si="2">($W$5+$W$4*AG3+$W$3*AG3^2)</f>
        <v>-1.0895864667681852E-5</v>
      </c>
    </row>
    <row r="4" spans="1:36" x14ac:dyDescent="0.2">
      <c r="D4" s="315" t="s">
        <v>174</v>
      </c>
      <c r="E4" s="258">
        <f>SettlementDate</f>
        <v>41943</v>
      </c>
      <c r="F4" s="258">
        <f>_xll.qlInterestRateIndexMaturity($E$9,E4)</f>
        <v>41971</v>
      </c>
      <c r="G4" s="257" t="str">
        <f>_xll.qlMakeDatedOIS(,E4,F4,OvernightIndex,0,,,,EvaluationDate)</f>
        <v>obj_0058b#0000</v>
      </c>
      <c r="H4" s="258" t="b">
        <f>_xll.qlInstrumentSetPricingEngine(G4,OisEngine)</f>
        <v>1</v>
      </c>
      <c r="I4" s="259"/>
      <c r="J4" s="260"/>
      <c r="K4" s="283"/>
      <c r="L4" s="283"/>
      <c r="M4" s="294"/>
      <c r="N4" s="316">
        <f>_xll.qlInterpolationInterpolate($H$13,E4,TRUE,Trigger)</f>
        <v>-4.2773696735463688E-6</v>
      </c>
      <c r="P4" s="294" t="b">
        <f>IF(E14="FRA",FALSE,IF(E14="FIX+FRA",FALSE,TRUE))</f>
        <v>0</v>
      </c>
      <c r="R4" s="441"/>
      <c r="S4" s="274">
        <v>1.4054501474228636E-3</v>
      </c>
      <c r="T4" s="275">
        <v>1.1022705948583223E-2</v>
      </c>
      <c r="U4" s="276">
        <v>9.0410958904109592E-2</v>
      </c>
      <c r="V4" s="271" t="s">
        <v>42</v>
      </c>
      <c r="W4" s="278">
        <v>1.8243251284913529E-4</v>
      </c>
      <c r="X4" s="271" t="s">
        <v>43</v>
      </c>
      <c r="Y4" s="259">
        <v>1.1083331239447602E-5</v>
      </c>
      <c r="AA4" s="274">
        <v>-308.57374475641473</v>
      </c>
      <c r="AB4" s="275">
        <v>387.16596526901014</v>
      </c>
      <c r="AC4" s="276">
        <v>-137.88040002325735</v>
      </c>
      <c r="AF4" s="290">
        <f>_xll.qlCalendarAdvance(Calendar,AF3,"1d","mf",,Trigger)</f>
        <v>41946</v>
      </c>
      <c r="AG4" s="301">
        <f>_xll.qlDayCounterYearFraction(DayCounterON,SettlementDate,AF4,,,Trigger)</f>
        <v>8.21917808219178E-3</v>
      </c>
      <c r="AH4" s="291">
        <f t="shared" si="0"/>
        <v>1.0138901255953536E-5</v>
      </c>
      <c r="AI4" s="291">
        <f t="shared" si="1"/>
        <v>-3.041664148669028E-5</v>
      </c>
      <c r="AJ4" s="261">
        <f t="shared" si="2"/>
        <v>-8.912990057178568E-6</v>
      </c>
    </row>
    <row r="5" spans="1:36" x14ac:dyDescent="0.2">
      <c r="A5" s="273">
        <v>1</v>
      </c>
      <c r="B5" s="273" t="s">
        <v>42</v>
      </c>
      <c r="C5" s="314">
        <v>2</v>
      </c>
      <c r="D5" s="257" t="str">
        <f>Currency&amp;A5&amp;B5&amp;C5&amp;"F"&amp;QuoteSuffix</f>
        <v>EUR1x2F_Quote</v>
      </c>
      <c r="E5" s="258">
        <f>_xll.qlCalendarAdvance(Calendar,SettlementDate,A5&amp;"M","mf")</f>
        <v>41971</v>
      </c>
      <c r="F5" s="258">
        <f>_xll.qlInterestRateIndexMaturity($E$9,E5)</f>
        <v>42004</v>
      </c>
      <c r="G5" s="257" t="str">
        <f>_xll.qlMakeDatedOIS(,E5,F5,OvernightIndex,0,,,,EvaluationDate)</f>
        <v>obj_00565#0000</v>
      </c>
      <c r="H5" s="258" t="b">
        <f>_xll.qlInstrumentSetPricingEngine(G5,OisEngine)</f>
        <v>1</v>
      </c>
      <c r="I5" s="259">
        <f>'1M Swaps'!S32</f>
        <v>1.369695720552435E-4</v>
      </c>
      <c r="J5" s="260">
        <f>_xll.qlOvernightIndexedSwapFairRate(G5,_xll.ohTrigger(H5,InterestRatesTrigger))</f>
        <v>1.6060503988542379E-5</v>
      </c>
      <c r="K5" s="283">
        <f>I5*_xll.qlDayCounterYearFraction(DayCounter1M,E5,F5,,,Trigger)</f>
        <v>1.2555544105063987E-5</v>
      </c>
      <c r="L5" s="283">
        <f>J5*_xll.qlDayCounterYearFraction(DayCounterOIS,E5,F5,,,Trigger)</f>
        <v>1.4722128656163846E-6</v>
      </c>
      <c r="M5" s="294">
        <f>K5-L5</f>
        <v>1.1083331239447602E-5</v>
      </c>
      <c r="N5" s="294">
        <f>M5</f>
        <v>1.1083331239447602E-5</v>
      </c>
      <c r="P5" s="294" t="b">
        <v>1</v>
      </c>
      <c r="R5" s="441"/>
      <c r="S5" s="274">
        <v>3.6097137143106853E-3</v>
      </c>
      <c r="T5" s="275">
        <v>1.7113905047851378E-2</v>
      </c>
      <c r="U5" s="276">
        <v>8.2191780821917804E-2</v>
      </c>
      <c r="V5" s="273"/>
      <c r="W5" s="278">
        <v>-1.0895864667681852E-5</v>
      </c>
      <c r="X5" s="271"/>
      <c r="Y5" s="259">
        <v>2.8058041824596813E-5</v>
      </c>
      <c r="AA5" s="274">
        <v>23.03030985408035</v>
      </c>
      <c r="AB5" s="275">
        <v>-11.77548620171572</v>
      </c>
      <c r="AC5" s="276">
        <v>3.6247456247456298</v>
      </c>
      <c r="AF5" s="290">
        <f>_xll.qlCalendarAdvance(Calendar,AF4,"1d","mf",,Trigger)</f>
        <v>41947</v>
      </c>
      <c r="AG5" s="301">
        <f>_xll.qlDayCounterYearFraction(DayCounterON,SettlementDate,AF5,,,Trigger)</f>
        <v>1.0958904109589041E-2</v>
      </c>
      <c r="AH5" s="291">
        <f t="shared" si="0"/>
        <v>1.0138901255953536E-5</v>
      </c>
      <c r="AI5" s="291">
        <f t="shared" si="1"/>
        <v>-2.6729773964631751E-5</v>
      </c>
      <c r="AJ5" s="261">
        <f t="shared" si="2"/>
        <v>-8.0371743872710279E-6</v>
      </c>
    </row>
    <row r="6" spans="1:36" x14ac:dyDescent="0.2">
      <c r="A6" s="273">
        <v>2</v>
      </c>
      <c r="B6" s="273" t="s">
        <v>42</v>
      </c>
      <c r="C6" s="314">
        <v>3</v>
      </c>
      <c r="D6" s="257" t="str">
        <f>Currency&amp;A6&amp;B6&amp;C6&amp;"F"&amp;QuoteSuffix</f>
        <v>EUR2x3F_Quote</v>
      </c>
      <c r="E6" s="258">
        <f>_xll.qlCalendarAdvance(Calendar,SettlementDate,A6&amp;"M","mf")</f>
        <v>42004</v>
      </c>
      <c r="F6" s="258">
        <f>_xll.qlInterestRateIndexMaturity($E$9,E6)</f>
        <v>42034</v>
      </c>
      <c r="G6" s="257" t="str">
        <f>_xll.qlMakeDatedOIS(,E6,F6,OvernightIndex,0,,,,EvaluationDate)</f>
        <v>obj_00566#0000</v>
      </c>
      <c r="H6" s="258" t="b">
        <f>_xll.qlInstrumentSetPricingEngine(G6,OisEngine)</f>
        <v>1</v>
      </c>
      <c r="I6" s="259">
        <f>'1M Swaps'!S33</f>
        <v>1.8066983920927981E-4</v>
      </c>
      <c r="J6" s="260">
        <f>_xll.qlOvernightIndexedSwapFairRate(G6,_xll.ohTrigger(H6,InterestRatesTrigger))</f>
        <v>-1.5602666268588194E-4</v>
      </c>
      <c r="K6" s="283">
        <f>I6*_xll.qlDayCounterYearFraction(DayCounter1M,E6,F6,,,Trigger)</f>
        <v>1.5055819934106651E-5</v>
      </c>
      <c r="L6" s="283">
        <f>J6*_xll.qlDayCounterYearFraction(DayCounterOIS,E6,F6,,,Trigger)</f>
        <v>-1.3002221890490162E-5</v>
      </c>
      <c r="M6" s="294">
        <f>K6-L6</f>
        <v>2.8058041824596813E-5</v>
      </c>
      <c r="N6" s="294">
        <f>M6</f>
        <v>2.8058041824596813E-5</v>
      </c>
      <c r="P6" s="294" t="b">
        <v>1</v>
      </c>
      <c r="W6" s="280"/>
      <c r="X6" s="319"/>
      <c r="Y6" s="281"/>
      <c r="AF6" s="290">
        <f>_xll.qlCalendarAdvance(Calendar,AF5,"1d","mf",,Trigger)</f>
        <v>41948</v>
      </c>
      <c r="AG6" s="301">
        <f>_xll.qlDayCounterYearFraction(DayCounterON,SettlementDate,AF6,,,Trigger)</f>
        <v>1.3698630136986301E-2</v>
      </c>
      <c r="AH6" s="291">
        <f t="shared" si="0"/>
        <v>1.0138901255953536E-5</v>
      </c>
      <c r="AI6" s="291">
        <f t="shared" si="1"/>
        <v>-2.3042906442573227E-5</v>
      </c>
      <c r="AJ6" s="261">
        <f t="shared" si="2"/>
        <v>-7.0539299841602678E-6</v>
      </c>
    </row>
    <row r="7" spans="1:36" ht="12" thickBot="1" x14ac:dyDescent="0.25">
      <c r="A7" s="273">
        <v>3</v>
      </c>
      <c r="B7" s="273" t="s">
        <v>42</v>
      </c>
      <c r="C7" s="314">
        <v>4</v>
      </c>
      <c r="D7" s="262" t="str">
        <f>Currency&amp;A7&amp;B7&amp;C7&amp;"F"&amp;QuoteSuffix</f>
        <v>EUR3x4F_Quote</v>
      </c>
      <c r="E7" s="263">
        <f>_xll.qlCalendarAdvance(Calendar,SettlementDate,A7&amp;"M","mf")</f>
        <v>42034</v>
      </c>
      <c r="F7" s="263">
        <f>_xll.qlInterestRateIndexMaturity($E$9,E7)</f>
        <v>42062</v>
      </c>
      <c r="G7" s="262" t="str">
        <f>_xll.qlMakeDatedOIS(,E7,F7,OvernightIndex,0,,,,EvaluationDate)</f>
        <v>obj_00567#0000</v>
      </c>
      <c r="H7" s="263" t="b">
        <f>_xll.qlInstrumentSetPricingEngine(G7,OisEngine)</f>
        <v>1</v>
      </c>
      <c r="I7" s="264">
        <f>'1M Swaps'!S34</f>
        <v>3.5250079667774922E-4</v>
      </c>
      <c r="J7" s="265">
        <f>_xll.qlOvernightIndexedSwapFairRate(G7,_xll.ohTrigger(H7,InterestRatesTrigger))</f>
        <v>-2.6755852016803668E-5</v>
      </c>
      <c r="K7" s="284">
        <f>I7*_xll.qlDayCounterYearFraction(DayCounter1M,E7,F7,,,Trigger)</f>
        <v>2.7416728630491605E-5</v>
      </c>
      <c r="L7" s="284">
        <f>J7*_xll.qlDayCounterYearFraction(DayCounterOIS,E7,F7,,,Trigger)</f>
        <v>-2.0810107124180632E-6</v>
      </c>
      <c r="M7" s="295">
        <f>K7-L7</f>
        <v>2.9497739342909668E-5</v>
      </c>
      <c r="N7" s="295">
        <f>M7</f>
        <v>2.9497739342909668E-5</v>
      </c>
      <c r="P7" s="295" t="b">
        <f>IF(E14="FRA",TRUE,FALSE)</f>
        <v>0</v>
      </c>
      <c r="W7" s="280"/>
      <c r="X7" s="319"/>
      <c r="Y7" s="281"/>
      <c r="AF7" s="290">
        <f>_xll.qlCalendarAdvance(Calendar,AF6,"1d","mf",,Trigger)</f>
        <v>41949</v>
      </c>
      <c r="AG7" s="301">
        <f>_xll.qlDayCounterYearFraction(DayCounterON,SettlementDate,AF7,,,Trigger)</f>
        <v>1.643835616438356E-2</v>
      </c>
      <c r="AH7" s="291">
        <f t="shared" si="0"/>
        <v>1.0138901255953536E-5</v>
      </c>
      <c r="AI7" s="291">
        <f t="shared" si="1"/>
        <v>-1.9356038920514698E-5</v>
      </c>
      <c r="AJ7" s="261">
        <f t="shared" si="2"/>
        <v>-5.9632568478462825E-6</v>
      </c>
    </row>
    <row r="8" spans="1:36" ht="18.75" customHeight="1" thickBot="1" x14ac:dyDescent="0.25">
      <c r="W8" s="320" t="s">
        <v>132</v>
      </c>
      <c r="X8" s="319"/>
      <c r="Y8" s="281"/>
      <c r="AF8" s="290">
        <f>_xll.qlCalendarAdvance(Calendar,AF7,"1d","mf",,Trigger)</f>
        <v>41950</v>
      </c>
      <c r="AG8" s="301">
        <f>_xll.qlDayCounterYearFraction(DayCounterON,SettlementDate,AF8,,,Trigger)</f>
        <v>1.9178082191780823E-2</v>
      </c>
      <c r="AH8" s="291">
        <f t="shared" si="0"/>
        <v>1.0138901255953536E-5</v>
      </c>
      <c r="AI8" s="291">
        <f t="shared" si="1"/>
        <v>-1.5669171398456167E-5</v>
      </c>
      <c r="AJ8" s="261">
        <f t="shared" si="2"/>
        <v>-4.7651549783290737E-6</v>
      </c>
    </row>
    <row r="9" spans="1:36" x14ac:dyDescent="0.2">
      <c r="D9" s="267" t="s">
        <v>155</v>
      </c>
      <c r="E9" s="312" t="s">
        <v>173</v>
      </c>
      <c r="J9" s="267"/>
      <c r="K9" s="268"/>
      <c r="L9" s="268" t="s">
        <v>133</v>
      </c>
      <c r="M9" s="282" t="s">
        <v>134</v>
      </c>
      <c r="N9" s="269" t="s">
        <v>135</v>
      </c>
      <c r="P9" s="269" t="s">
        <v>160</v>
      </c>
      <c r="R9" s="440" t="s">
        <v>125</v>
      </c>
      <c r="S9" s="321"/>
      <c r="T9" s="274">
        <f t="array" ref="T9:T10">_xll.ohFilter(M10:M14,P10:P14)</f>
        <v>2.942390692437606E-3</v>
      </c>
      <c r="U9" s="276">
        <f t="array" ref="U9:U10">_xll.ohFilter(L10:L14,P10:P14)</f>
        <v>7.6712328767123292E-2</v>
      </c>
      <c r="V9" s="442" t="s">
        <v>42</v>
      </c>
      <c r="W9" s="278">
        <f t="array" ref="W9:W10">MMULT(AA9:AB10,Y9:Y10)</f>
        <v>1.3457066455513627E-3</v>
      </c>
      <c r="X9" s="442" t="s">
        <v>43</v>
      </c>
      <c r="Y9" s="259">
        <f t="array" ref="Y9:Y10">_xll.ohFilter(N3:N7,P3:P7)</f>
        <v>7.7777872648410697E-7</v>
      </c>
      <c r="AA9" s="274">
        <f t="array" ref="AA9:AB10">MINVERSE(T9:U10)</f>
        <v>-156.00117096018738</v>
      </c>
      <c r="AB9" s="276">
        <v>132.36462990561353</v>
      </c>
      <c r="AF9" s="290">
        <f>_xll.qlCalendarAdvance(Calendar,AF8,"1d","mf",,Trigger)</f>
        <v>41953</v>
      </c>
      <c r="AG9" s="301">
        <f>_xll.qlDayCounterYearFraction(DayCounterON,SettlementDate,AF9,,,Trigger)</f>
        <v>2.7397260273972601E-2</v>
      </c>
      <c r="AH9" s="291">
        <f t="shared" si="0"/>
        <v>1.0138901255953536E-5</v>
      </c>
      <c r="AI9" s="291">
        <f t="shared" si="1"/>
        <v>-4.6085688322805888E-6</v>
      </c>
      <c r="AJ9" s="261">
        <f t="shared" si="2"/>
        <v>-5.2627697055811979E-7</v>
      </c>
    </row>
    <row r="10" spans="1:36" ht="11.25" customHeight="1" x14ac:dyDescent="0.2">
      <c r="D10" s="285" t="s">
        <v>175</v>
      </c>
      <c r="E10" s="313" t="s">
        <v>17</v>
      </c>
      <c r="J10" s="322">
        <f>_xll.qlDayCounterYearFraction(DayCounterON,SettlementDate,E3,,,Trigger)</f>
        <v>0</v>
      </c>
      <c r="K10" s="323">
        <f>_xll.qlDayCounterYearFraction(DayCounterON,SettlementDate,F3,,,Trigger)</f>
        <v>7.6712328767123292E-2</v>
      </c>
      <c r="L10" s="323">
        <f>K10-J10</f>
        <v>7.6712328767123292E-2</v>
      </c>
      <c r="M10" s="323">
        <f>(K10^2-J10^2)/2</f>
        <v>2.942390692437606E-3</v>
      </c>
      <c r="N10" s="324">
        <f>(K10^3-J10^3)/3</f>
        <v>1.5047842810639813E-4</v>
      </c>
      <c r="P10" s="324" t="b">
        <f>P3</f>
        <v>1</v>
      </c>
      <c r="R10" s="440"/>
      <c r="S10" s="321"/>
      <c r="T10" s="274">
        <v>1.1022705948583223E-2</v>
      </c>
      <c r="U10" s="276">
        <v>9.0410958904109592E-2</v>
      </c>
      <c r="V10" s="442"/>
      <c r="W10" s="278">
        <v>-4.1477244052865864E-5</v>
      </c>
      <c r="X10" s="442"/>
      <c r="Y10" s="259">
        <v>1.1083331239447602E-5</v>
      </c>
      <c r="AA10" s="274">
        <v>19.019320843091336</v>
      </c>
      <c r="AB10" s="276">
        <v>-5.0769995032290129</v>
      </c>
      <c r="AF10" s="290">
        <f>_xll.qlCalendarAdvance(Calendar,AF9,"1d","mf",,Trigger)</f>
        <v>41954</v>
      </c>
      <c r="AG10" s="301">
        <f>_xll.qlDayCounterYearFraction(DayCounterON,SettlementDate,AF10,,,Trigger)</f>
        <v>3.0136986301369864E-2</v>
      </c>
      <c r="AH10" s="291">
        <f t="shared" si="0"/>
        <v>1.0138901255953536E-5</v>
      </c>
      <c r="AI10" s="291">
        <f t="shared" si="1"/>
        <v>-9.2170131022205381E-7</v>
      </c>
      <c r="AJ10" s="261">
        <f t="shared" si="2"/>
        <v>1.1015398317719779E-6</v>
      </c>
    </row>
    <row r="11" spans="1:36" ht="11.25" customHeight="1" x14ac:dyDescent="0.2">
      <c r="D11" s="285" t="s">
        <v>127</v>
      </c>
      <c r="E11" s="313" t="s">
        <v>17</v>
      </c>
      <c r="J11" s="322">
        <f>_xll.qlDayCounterYearFraction(DayCounterON,SettlementDate,E4,,,Trigger)</f>
        <v>0</v>
      </c>
      <c r="K11" s="323">
        <f>_xll.qlDayCounterYearFraction(DayCounterON,SettlementDate,F4,,,Trigger)</f>
        <v>7.6712328767123292E-2</v>
      </c>
      <c r="L11" s="323">
        <f>K11-J11</f>
        <v>7.6712328767123292E-2</v>
      </c>
      <c r="M11" s="323">
        <f>(K11^2-J11^2)/2</f>
        <v>2.942390692437606E-3</v>
      </c>
      <c r="N11" s="324">
        <f>(K11^3-J11^3)/3</f>
        <v>1.5047842810639813E-4</v>
      </c>
      <c r="P11" s="324" t="b">
        <f>P4</f>
        <v>0</v>
      </c>
      <c r="W11" s="280"/>
      <c r="X11" s="319"/>
      <c r="Y11" s="281"/>
      <c r="AF11" s="290">
        <f>_xll.qlCalendarAdvance(Calendar,AF10,"1d","mf",,Trigger)</f>
        <v>41955</v>
      </c>
      <c r="AG11" s="301">
        <f>_xll.qlDayCounterYearFraction(DayCounterON,SettlementDate,AF11,,,Trigger)</f>
        <v>3.287671232876712E-2</v>
      </c>
      <c r="AH11" s="291">
        <f t="shared" si="0"/>
        <v>1.0138901255953536E-5</v>
      </c>
      <c r="AI11" s="291">
        <f t="shared" si="1"/>
        <v>2.7651662118364676E-6</v>
      </c>
      <c r="AJ11" s="261">
        <f t="shared" si="2"/>
        <v>2.8367853673052949E-6</v>
      </c>
    </row>
    <row r="12" spans="1:36" ht="11.25" customHeight="1" thickBot="1" x14ac:dyDescent="0.25">
      <c r="D12" s="285" t="s">
        <v>128</v>
      </c>
      <c r="E12" s="313" t="s">
        <v>129</v>
      </c>
      <c r="J12" s="322">
        <f>_xll.qlDayCounterYearFraction(DayCounterON,SettlementDate,E5,,,Trigger)</f>
        <v>7.6712328767123292E-2</v>
      </c>
      <c r="K12" s="323">
        <f>_xll.qlDayCounterYearFraction(DayCounterON,SettlementDate,F5,,,Trigger)</f>
        <v>0.16712328767123288</v>
      </c>
      <c r="L12" s="323">
        <f>K12-J12</f>
        <v>9.0410958904109592E-2</v>
      </c>
      <c r="M12" s="323">
        <f>(K12^2-J12^2)/2</f>
        <v>1.1022705948583223E-2</v>
      </c>
      <c r="N12" s="324">
        <f>(K12^3-J12^3)/3</f>
        <v>1.4054501474228636E-3</v>
      </c>
      <c r="P12" s="324" t="b">
        <f>P5</f>
        <v>1</v>
      </c>
      <c r="W12" s="318" t="s">
        <v>40</v>
      </c>
      <c r="X12" s="319"/>
      <c r="Y12" s="281"/>
      <c r="AF12" s="290">
        <f>_xll.qlCalendarAdvance(Calendar,AF11,"1d","mf",,Trigger)</f>
        <v>41956</v>
      </c>
      <c r="AG12" s="301">
        <f>_xll.qlDayCounterYearFraction(DayCounterON,SettlementDate,AF12,,,Trigger)</f>
        <v>3.5616438356164383E-2</v>
      </c>
      <c r="AH12" s="291">
        <f t="shared" si="0"/>
        <v>1.0138901255953536E-5</v>
      </c>
      <c r="AI12" s="291">
        <f t="shared" si="1"/>
        <v>6.4520337338949959E-6</v>
      </c>
      <c r="AJ12" s="261">
        <f t="shared" si="2"/>
        <v>4.6794596360418387E-6</v>
      </c>
    </row>
    <row r="13" spans="1:36" ht="11.25" customHeight="1" thickBot="1" x14ac:dyDescent="0.25">
      <c r="D13" s="285" t="s">
        <v>162</v>
      </c>
      <c r="E13" s="313" t="s">
        <v>161</v>
      </c>
      <c r="G13" s="332" t="s">
        <v>159</v>
      </c>
      <c r="H13" s="317" t="str">
        <f>_xll.qlInterpolation(,E13,E5:E7,M5:M7)</f>
        <v>obj_00a77#0025</v>
      </c>
      <c r="J13" s="322">
        <f>_xll.qlDayCounterYearFraction(DayCounterON,SettlementDate,E6,,,Trigger)</f>
        <v>0.16712328767123288</v>
      </c>
      <c r="K13" s="323">
        <f>_xll.qlDayCounterYearFraction(DayCounterON,SettlementDate,F6,,,Trigger)</f>
        <v>0.24931506849315069</v>
      </c>
      <c r="L13" s="323">
        <f>K13-J13</f>
        <v>8.2191780821917804E-2</v>
      </c>
      <c r="M13" s="323">
        <f>(K13^2-J13^2)/2</f>
        <v>1.7113905047851378E-2</v>
      </c>
      <c r="N13" s="324">
        <f>(K13^3-J13^3)/3</f>
        <v>3.6097137143106853E-3</v>
      </c>
      <c r="P13" s="324" t="b">
        <f>P6</f>
        <v>1</v>
      </c>
      <c r="R13" s="337" t="s">
        <v>126</v>
      </c>
      <c r="U13" s="277">
        <f t="array" ref="U13">_xll.ohFilter(L10:L14,P10:P14)</f>
        <v>7.6712328767123292E-2</v>
      </c>
      <c r="V13" s="337" t="s">
        <v>42</v>
      </c>
      <c r="W13" s="278">
        <f>MMULT(AA13,Y13)</f>
        <v>1.0138901255953536E-5</v>
      </c>
      <c r="X13" s="337" t="s">
        <v>43</v>
      </c>
      <c r="Y13" s="259">
        <f>_xll.ohFilter(N3:N7,P3:P7)</f>
        <v>7.7777872648410697E-7</v>
      </c>
      <c r="AA13" s="277">
        <f>MINVERSE(U13)</f>
        <v>13.035714285714285</v>
      </c>
      <c r="AF13" s="290">
        <f>_xll.qlCalendarAdvance(Calendar,AF12,"1d","mf",,Trigger)</f>
        <v>41957</v>
      </c>
      <c r="AG13" s="301">
        <f>_xll.qlDayCounterYearFraction(DayCounterON,SettlementDate,AF13,,,Trigger)</f>
        <v>3.8356164383561646E-2</v>
      </c>
      <c r="AH13" s="291">
        <f t="shared" si="0"/>
        <v>1.0138901255953536E-5</v>
      </c>
      <c r="AI13" s="291">
        <f t="shared" si="1"/>
        <v>1.0138901255953531E-5</v>
      </c>
      <c r="AJ13" s="261">
        <f t="shared" si="2"/>
        <v>6.6295626379816052E-6</v>
      </c>
    </row>
    <row r="14" spans="1:36" ht="11.25" customHeight="1" thickBot="1" x14ac:dyDescent="0.25">
      <c r="D14" s="286" t="s">
        <v>166</v>
      </c>
      <c r="E14" s="334" t="s">
        <v>201</v>
      </c>
      <c r="J14" s="325">
        <f>_xll.qlDayCounterYearFraction(DayCounterON,SettlementDate,E7,,,Trigger)</f>
        <v>0.24931506849315069</v>
      </c>
      <c r="K14" s="326">
        <f>_xll.qlDayCounterYearFraction(DayCounterON,SettlementDate,F7,,,Trigger)</f>
        <v>0.32602739726027397</v>
      </c>
      <c r="L14" s="326">
        <f>K14-J14</f>
        <v>7.6712328767123278E-2</v>
      </c>
      <c r="M14" s="326">
        <f>(K14^2-J14^2)/2</f>
        <v>2.2067930193282039E-2</v>
      </c>
      <c r="N14" s="327">
        <f>(K14^3-J14^3)/3</f>
        <v>6.3859282927652694E-3</v>
      </c>
      <c r="P14" s="327" t="b">
        <f>P7</f>
        <v>0</v>
      </c>
      <c r="AF14" s="290">
        <f>_xll.qlCalendarAdvance(Calendar,AF13,"1d","mf",,Trigger)</f>
        <v>41960</v>
      </c>
      <c r="AG14" s="301">
        <f>_xll.qlDayCounterYearFraction(DayCounterON,SettlementDate,AF14,,,Trigger)</f>
        <v>4.6575342465753428E-2</v>
      </c>
      <c r="AH14" s="291">
        <f t="shared" si="0"/>
        <v>1.0138901255953536E-5</v>
      </c>
      <c r="AI14" s="291">
        <f t="shared" si="1"/>
        <v>2.1199503822129109E-5</v>
      </c>
      <c r="AJ14" s="261">
        <f t="shared" si="2"/>
        <v>1.3124444043020234E-5</v>
      </c>
    </row>
    <row r="15" spans="1:36" ht="11.25" customHeight="1" thickBot="1" x14ac:dyDescent="0.25">
      <c r="P15" s="272"/>
      <c r="AF15" s="290">
        <f>_xll.qlCalendarAdvance(Calendar,AF14,"1d","mf",,Trigger)</f>
        <v>41961</v>
      </c>
      <c r="AG15" s="301">
        <f>_xll.qlDayCounterYearFraction(DayCounterON,SettlementDate,AF15,,,Trigger)</f>
        <v>4.9315068493150684E-2</v>
      </c>
      <c r="AH15" s="291">
        <f t="shared" si="0"/>
        <v>1.0138901255953536E-5</v>
      </c>
      <c r="AI15" s="291">
        <f t="shared" si="1"/>
        <v>2.488637134418763E-5</v>
      </c>
      <c r="AJ15" s="261">
        <f t="shared" si="2"/>
        <v>1.5504261977772882E-5</v>
      </c>
    </row>
    <row r="16" spans="1:36" ht="11.25" customHeight="1" thickBot="1" x14ac:dyDescent="0.25">
      <c r="M16" s="328" t="s">
        <v>176</v>
      </c>
      <c r="N16" s="329"/>
      <c r="O16" s="330"/>
      <c r="P16" s="272"/>
      <c r="AF16" s="290">
        <f>_xll.qlCalendarAdvance(Calendar,AF15,"1d","mf",,Trigger)</f>
        <v>41962</v>
      </c>
      <c r="AG16" s="301">
        <f>_xll.qlDayCounterYearFraction(DayCounterON,SettlementDate,AF16,,,Trigger)</f>
        <v>5.2054794520547946E-2</v>
      </c>
      <c r="AH16" s="291">
        <f t="shared" si="0"/>
        <v>1.0138901255953536E-5</v>
      </c>
      <c r="AI16" s="291">
        <f t="shared" si="1"/>
        <v>2.8573238866246165E-5</v>
      </c>
      <c r="AJ16" s="261">
        <f t="shared" si="2"/>
        <v>1.7991508645728761E-5</v>
      </c>
    </row>
    <row r="17" spans="4:36" ht="15.75" customHeight="1" x14ac:dyDescent="0.2">
      <c r="D17" s="267" t="s">
        <v>136</v>
      </c>
      <c r="E17" s="268" t="s">
        <v>106</v>
      </c>
      <c r="F17" s="268" t="s">
        <v>107</v>
      </c>
      <c r="G17" s="282" t="s">
        <v>163</v>
      </c>
      <c r="H17" s="282"/>
      <c r="I17" s="268" t="s">
        <v>39</v>
      </c>
      <c r="J17" s="268"/>
      <c r="K17" s="268"/>
      <c r="L17" s="268"/>
      <c r="M17" s="331" t="s">
        <v>126</v>
      </c>
      <c r="N17" s="269" t="s">
        <v>125</v>
      </c>
      <c r="O17" s="269" t="s">
        <v>203</v>
      </c>
      <c r="P17" s="272"/>
      <c r="AF17" s="290">
        <f>_xll.qlCalendarAdvance(Calendar,AF16,"1d","mf",,Trigger)</f>
        <v>41963</v>
      </c>
      <c r="AG17" s="301">
        <f>_xll.qlDayCounterYearFraction(DayCounterON,SettlementDate,AF17,,,Trigger)</f>
        <v>5.4794520547945202E-2</v>
      </c>
      <c r="AH17" s="291">
        <f t="shared" si="0"/>
        <v>1.0138901255953536E-5</v>
      </c>
      <c r="AI17" s="291">
        <f t="shared" si="1"/>
        <v>3.2260106388304687E-5</v>
      </c>
      <c r="AJ17" s="261">
        <f t="shared" si="2"/>
        <v>2.0586184046887857E-5</v>
      </c>
    </row>
    <row r="18" spans="4:36" ht="11.25" customHeight="1" x14ac:dyDescent="0.2">
      <c r="D18" s="306" t="s">
        <v>48</v>
      </c>
      <c r="E18" s="297">
        <f t="shared" ref="E18:E22" si="3">SettlementDate</f>
        <v>41943</v>
      </c>
      <c r="F18" s="298">
        <f>_xll.qlCalendarAdvance(Calendar,SettlementDate,D18,"Following",,Trigger)</f>
        <v>41946</v>
      </c>
      <c r="G18" s="299" t="str">
        <f>_xll.qlMakeDatedOIS(,E18,F18,OvernightIndex,0,,,,EvaluationDate)</f>
        <v>obj_00582#0000</v>
      </c>
      <c r="H18" s="308" t="b">
        <f>_xll.qlInstrumentSetPricingEngine(G18,OisEngine)</f>
        <v>1</v>
      </c>
      <c r="I18" s="296">
        <f>_xll.qlOvernightIndexedSwapFairRate(G18,_xll.ohTrigger(InterestRatesTrigger))</f>
        <v>5.0792457034987137E-4</v>
      </c>
      <c r="J18" s="323">
        <f>_xll.qlDayCounterYearFraction(DayCounterOIS,E18,F18,,,Trigger)</f>
        <v>8.3333333333333332E-3</v>
      </c>
      <c r="K18" s="323">
        <f>_xll.qlDayCounterYearFraction(DayCounter1M,E18,F18,,,Trigger)</f>
        <v>8.3333333333333332E-3</v>
      </c>
      <c r="L18" s="323">
        <f>_xll.qlDayCounterYearFraction(DayCounterON,E18,F18,,,Trigger)</f>
        <v>8.21917808219178E-3</v>
      </c>
      <c r="M18" s="291">
        <f>($I18*$J18+$W$13*L18)/$K18</f>
        <v>5.1792458254752423E-4</v>
      </c>
      <c r="N18" s="291">
        <f>($I18*$J18+($W$10*L18+$W$9*L18^2/2))/$K18</f>
        <v>4.7247005145365195E-4</v>
      </c>
      <c r="O18" s="291">
        <f>($I18*$J18+($W$5*L18+$W$4*L18^2/2+$W$3*L18^3/3))/$K18</f>
        <v>4.9807635224455706E-4</v>
      </c>
      <c r="P18" s="272"/>
      <c r="AF18" s="290">
        <f>_xll.qlCalendarAdvance(Calendar,AF17,"1d","mf",,Trigger)</f>
        <v>41964</v>
      </c>
      <c r="AG18" s="301">
        <f>_xll.qlDayCounterYearFraction(DayCounterON,SettlementDate,AF18,,,Trigger)</f>
        <v>5.7534246575342465E-2</v>
      </c>
      <c r="AH18" s="291">
        <f t="shared" si="0"/>
        <v>1.0138901255953536E-5</v>
      </c>
      <c r="AI18" s="291">
        <f t="shared" si="1"/>
        <v>3.5946973910363222E-5</v>
      </c>
      <c r="AJ18" s="261">
        <f t="shared" si="2"/>
        <v>2.3288288181250183E-5</v>
      </c>
    </row>
    <row r="19" spans="4:36" ht="11.25" customHeight="1" x14ac:dyDescent="0.2">
      <c r="D19" s="304" t="s">
        <v>49</v>
      </c>
      <c r="E19" s="258">
        <f>SettlementDate</f>
        <v>41943</v>
      </c>
      <c r="F19" s="300">
        <f>_xll.qlCalendarAdvance(Calendar,SettlementDate,D19,"Following",,Trigger)</f>
        <v>41950</v>
      </c>
      <c r="G19" s="301" t="str">
        <f>_xll.qlMakeDatedOIS(,E19,F19,OvernightIndex,0,,,,EvaluationDate)</f>
        <v>obj_00585#0000</v>
      </c>
      <c r="H19" s="309" t="b">
        <f>_xll.qlInstrumentSetPricingEngine(G19,OisEngine)</f>
        <v>1</v>
      </c>
      <c r="I19" s="260">
        <f>_xll.qlOvernightIndexedSwapFairRate(G19,_xll.ohTrigger(InterestRatesTrigger))</f>
        <v>3.9999999543484572E-4</v>
      </c>
      <c r="J19" s="323">
        <f>_xll.qlDayCounterYearFraction(DayCounterOIS,E19,F19,,,Trigger)</f>
        <v>1.9444444444444445E-2</v>
      </c>
      <c r="K19" s="323">
        <f>_xll.qlDayCounterYearFraction(DayCounter1M,E19,F19,,,Trigger)</f>
        <v>1.9444444444444445E-2</v>
      </c>
      <c r="L19" s="323">
        <f>_xll.qlDayCounterYearFraction(DayCounterON,E19,F19,,,Trigger)</f>
        <v>1.9178082191780823E-2</v>
      </c>
      <c r="M19" s="291">
        <f>($I19*$J19+$W$13*L19)/$K19</f>
        <v>4.1000000763249852E-4</v>
      </c>
      <c r="N19" s="291">
        <f t="shared" ref="N19:N22" si="4">($I19*$J19+($W$10*L19+$W$9*L19^2/2))/$K19</f>
        <v>3.7181820151364588E-4</v>
      </c>
      <c r="O19" s="291">
        <f t="shared" ref="O19:O22" si="5">($I19*$J19+($W$5*L19+$W$4*L19^2/2+$W$3*L19^3/3))/$K19</f>
        <v>3.9184409468391232E-4</v>
      </c>
      <c r="P19" s="272"/>
      <c r="AF19" s="290">
        <f>_xll.qlCalendarAdvance(Calendar,AF18,"1d","mf",,Trigger)</f>
        <v>41967</v>
      </c>
      <c r="AG19" s="301">
        <f>_xll.qlDayCounterYearFraction(DayCounterON,SettlementDate,AF19,,,Trigger)</f>
        <v>6.575342465753424E-2</v>
      </c>
      <c r="AH19" s="291">
        <f t="shared" si="0"/>
        <v>1.0138901255953536E-5</v>
      </c>
      <c r="AI19" s="291">
        <f t="shared" si="1"/>
        <v>4.7007576476538799E-5</v>
      </c>
      <c r="AJ19" s="261">
        <f t="shared" si="2"/>
        <v>3.2039172983556471E-5</v>
      </c>
    </row>
    <row r="20" spans="4:36" ht="11.25" customHeight="1" x14ac:dyDescent="0.2">
      <c r="D20" s="304" t="s">
        <v>50</v>
      </c>
      <c r="E20" s="258">
        <f t="shared" si="3"/>
        <v>41943</v>
      </c>
      <c r="F20" s="300">
        <f>_xll.qlCalendarAdvance(Calendar,SettlementDate,D20,"Following",,Trigger)</f>
        <v>41957</v>
      </c>
      <c r="G20" s="301" t="str">
        <f>_xll.qlMakeDatedOIS(,E20,F20,OvernightIndex,0,,,,EvaluationDate)</f>
        <v>obj_0057f#0000</v>
      </c>
      <c r="H20" s="309" t="b">
        <f>_xll.qlInstrumentSetPricingEngine(G20,OisEngine)</f>
        <v>1</v>
      </c>
      <c r="I20" s="260">
        <f>_xll.qlOvernightIndexedSwapFairRate(G20,_xll.ohTrigger(InterestRatesTrigger))</f>
        <v>1.7999999389863217E-4</v>
      </c>
      <c r="J20" s="323">
        <f>_xll.qlDayCounterYearFraction(DayCounterOIS,E20,F20,,,Trigger)</f>
        <v>3.888888888888889E-2</v>
      </c>
      <c r="K20" s="323">
        <f>_xll.qlDayCounterYearFraction(DayCounter1M,E20,F20,,,Trigger)</f>
        <v>3.888888888888889E-2</v>
      </c>
      <c r="L20" s="323">
        <f>_xll.qlDayCounterYearFraction(DayCounterON,E20,F20,,,Trigger)</f>
        <v>3.8356164383561646E-2</v>
      </c>
      <c r="M20" s="291">
        <f t="shared" ref="M20:M22" si="6">($I20*$J20+$W$13*L20)/$K20</f>
        <v>1.9000000609628497E-4</v>
      </c>
      <c r="N20" s="291">
        <f t="shared" si="4"/>
        <v>1.645454686837165E-4</v>
      </c>
      <c r="O20" s="291">
        <f t="shared" si="5"/>
        <v>1.7616543138745139E-4</v>
      </c>
      <c r="P20" s="272"/>
      <c r="AF20" s="290">
        <f>_xll.qlCalendarAdvance(Calendar,AF19,"1d","mf",,Trigger)</f>
        <v>41968</v>
      </c>
      <c r="AG20" s="301">
        <f>_xll.qlDayCounterYearFraction(DayCounterON,SettlementDate,AF20,,,Trigger)</f>
        <v>6.8493150684931503E-2</v>
      </c>
      <c r="AH20" s="291">
        <f t="shared" si="0"/>
        <v>1.0138901255953536E-5</v>
      </c>
      <c r="AI20" s="291">
        <f t="shared" si="1"/>
        <v>5.0694443998597334E-5</v>
      </c>
      <c r="AJ20" s="261">
        <f t="shared" si="2"/>
        <v>3.5170992050731687E-5</v>
      </c>
    </row>
    <row r="21" spans="4:36" ht="11.25" customHeight="1" x14ac:dyDescent="0.2">
      <c r="D21" s="304" t="s">
        <v>51</v>
      </c>
      <c r="E21" s="258">
        <f t="shared" si="3"/>
        <v>41943</v>
      </c>
      <c r="F21" s="300">
        <f>_xll.qlCalendarAdvance(Calendar,SettlementDate,D21,"Following",,Trigger)</f>
        <v>41964</v>
      </c>
      <c r="G21" s="301" t="str">
        <f>_xll.qlMakeDatedOIS(,E21,F21,OvernightIndex,0,,,,EvaluationDate)</f>
        <v>obj_0056c#0000</v>
      </c>
      <c r="H21" s="309" t="b">
        <f>_xll.qlInstrumentSetPricingEngine(G21,OisEngine)</f>
        <v>1</v>
      </c>
      <c r="I21" s="260">
        <f>_xll.qlOvernightIndexedSwapFairRate(G21,_xll.ohTrigger(InterestRatesTrigger))</f>
        <v>1.1999999085077208E-4</v>
      </c>
      <c r="J21" s="323">
        <f>_xll.qlDayCounterYearFraction(DayCounterOIS,E21,F21,,,Trigger)</f>
        <v>5.8333333333333334E-2</v>
      </c>
      <c r="K21" s="323">
        <f>_xll.qlDayCounterYearFraction(DayCounter1M,E21,F21,,,Trigger)</f>
        <v>5.8333333333333334E-2</v>
      </c>
      <c r="L21" s="323">
        <f>_xll.qlDayCounterYearFraction(DayCounterON,E21,F21,,,Trigger)</f>
        <v>5.7534246575342465E-2</v>
      </c>
      <c r="M21" s="291">
        <f t="shared" si="6"/>
        <v>1.3000000304842489E-4</v>
      </c>
      <c r="N21" s="291">
        <f t="shared" si="4"/>
        <v>1.1727273434214066E-4</v>
      </c>
      <c r="O21" s="291">
        <f t="shared" si="5"/>
        <v>1.2221739932245334E-4</v>
      </c>
      <c r="P21" s="272"/>
      <c r="AF21" s="290">
        <f>_xll.qlCalendarAdvance(Calendar,AF20,"1d","mf",,Trigger)</f>
        <v>41969</v>
      </c>
      <c r="AG21" s="301">
        <f>_xll.qlDayCounterYearFraction(DayCounterON,SettlementDate,AF21,,,Trigger)</f>
        <v>7.1232876712328766E-2</v>
      </c>
      <c r="AH21" s="291">
        <f t="shared" si="0"/>
        <v>1.0138901255953536E-5</v>
      </c>
      <c r="AI21" s="291">
        <f t="shared" si="1"/>
        <v>5.4381311520655856E-5</v>
      </c>
      <c r="AJ21" s="261">
        <f t="shared" si="2"/>
        <v>3.8410239851110124E-5</v>
      </c>
    </row>
    <row r="22" spans="4:36" ht="11.25" customHeight="1" thickBot="1" x14ac:dyDescent="0.25">
      <c r="D22" s="305" t="s">
        <v>45</v>
      </c>
      <c r="E22" s="263">
        <f t="shared" si="3"/>
        <v>41943</v>
      </c>
      <c r="F22" s="302">
        <f>_xll.qlCalendarAdvance(Calendar,SettlementDate,D22,"mf",TRUE,Trigger)</f>
        <v>41971</v>
      </c>
      <c r="G22" s="303" t="str">
        <f>_xll.qlMakeDatedOIS(,E22,F22,OvernightIndex,0,,,,EvaluationDate)</f>
        <v>obj_00583#0000</v>
      </c>
      <c r="H22" s="310" t="b">
        <f>_xll.qlInstrumentSetPricingEngine(G22,OisEngine)</f>
        <v>1</v>
      </c>
      <c r="I22" s="265">
        <f>_xll.qlOvernightIndexedSwapFairRate(G22,_xll.ohTrigger(InterestRatesTrigger))</f>
        <v>8.9999987802347192E-5</v>
      </c>
      <c r="J22" s="326">
        <f>_xll.qlDayCounterYearFraction(DayCounterOIS,E22,F22,,,Trigger)</f>
        <v>7.7777777777777779E-2</v>
      </c>
      <c r="K22" s="326">
        <f>_xll.qlDayCounterYearFraction(DayCounter1M,E22,F22,,,Trigger)</f>
        <v>7.7777777777777779E-2</v>
      </c>
      <c r="L22" s="326">
        <f>_xll.qlDayCounterYearFraction(DayCounterON,E22,F22,,,Trigger)</f>
        <v>7.6712328767123292E-2</v>
      </c>
      <c r="M22" s="293">
        <f t="shared" si="6"/>
        <v>9.9999999999999991E-5</v>
      </c>
      <c r="N22" s="293">
        <f t="shared" si="4"/>
        <v>9.9999999999999991E-5</v>
      </c>
      <c r="O22" s="293">
        <f t="shared" si="5"/>
        <v>9.9999999999999991E-5</v>
      </c>
      <c r="P22" s="272"/>
      <c r="AF22" s="290">
        <f>_xll.qlCalendarAdvance(Calendar,AF21,"1d","mf",,Trigger)</f>
        <v>41970</v>
      </c>
      <c r="AG22" s="301">
        <f>_xll.qlDayCounterYearFraction(DayCounterON,SettlementDate,AF22,,,Trigger)</f>
        <v>7.3972602739726029E-2</v>
      </c>
      <c r="AH22" s="291">
        <f t="shared" si="0"/>
        <v>1.0138901255953536E-5</v>
      </c>
      <c r="AI22" s="291">
        <f t="shared" si="1"/>
        <v>5.8068179042714391E-5</v>
      </c>
      <c r="AJ22" s="261">
        <f t="shared" si="2"/>
        <v>4.175691638469178E-5</v>
      </c>
    </row>
    <row r="23" spans="4:36" ht="11.25" customHeight="1" x14ac:dyDescent="0.2">
      <c r="P23" s="272"/>
      <c r="AF23" s="290">
        <f>_xll.qlCalendarAdvance(Calendar,AF22,"1d","mf",,Trigger)</f>
        <v>41971</v>
      </c>
      <c r="AG23" s="301">
        <f>_xll.qlDayCounterYearFraction(DayCounterON,SettlementDate,AF23,,,Trigger)</f>
        <v>7.6712328767123292E-2</v>
      </c>
      <c r="AH23" s="291">
        <f t="shared" si="0"/>
        <v>1.0138901255953536E-5</v>
      </c>
      <c r="AI23" s="291">
        <f t="shared" si="1"/>
        <v>6.1755046564772933E-5</v>
      </c>
      <c r="AJ23" s="261">
        <f t="shared" si="2"/>
        <v>4.5211021651476671E-5</v>
      </c>
    </row>
    <row r="24" spans="4:36" ht="11.25" customHeight="1" thickBot="1" x14ac:dyDescent="0.25">
      <c r="P24" s="272"/>
      <c r="AF24" s="292">
        <f>_xll.qlCalendarAdvance(Calendar,AF23,"1d","mf",,Trigger)</f>
        <v>41974</v>
      </c>
      <c r="AG24" s="303">
        <f>_xll.qlDayCounterYearFraction(DayCounterON,SettlementDate,AF24,,,Trigger)</f>
        <v>8.4931506849315067E-2</v>
      </c>
      <c r="AH24" s="293">
        <f t="shared" si="0"/>
        <v>1.0138901255953536E-5</v>
      </c>
      <c r="AI24" s="293">
        <f t="shared" si="1"/>
        <v>7.2815649130948511E-5</v>
      </c>
      <c r="AJ24" s="266">
        <f t="shared" si="2"/>
        <v>5.6217909851050622E-5</v>
      </c>
    </row>
    <row r="25" spans="4:36" x14ac:dyDescent="0.2">
      <c r="D25" s="331" t="s">
        <v>167</v>
      </c>
      <c r="P25" s="272"/>
    </row>
    <row r="26" spans="4:36" x14ac:dyDescent="0.2">
      <c r="D26" s="335" t="s">
        <v>124</v>
      </c>
      <c r="P26" s="272"/>
    </row>
    <row r="27" spans="4:36" x14ac:dyDescent="0.2">
      <c r="D27" s="291">
        <f>IF($D$26="FLAT",M18,IF($D$26="linear",N18,O18))</f>
        <v>4.9807635224455706E-4</v>
      </c>
      <c r="P27" s="272"/>
    </row>
    <row r="28" spans="4:36" x14ac:dyDescent="0.2">
      <c r="D28" s="291">
        <f>IF($D$26="FLAT",M19,IF($D$26="linear",N19,O19))</f>
        <v>3.9184409468391232E-4</v>
      </c>
    </row>
    <row r="29" spans="4:36" x14ac:dyDescent="0.2">
      <c r="D29" s="291">
        <f>IF($D$26="FLAT",M20,IF($D$26="linear",N20,O20))</f>
        <v>1.7616543138745139E-4</v>
      </c>
    </row>
    <row r="30" spans="4:36" ht="12.75" customHeight="1" x14ac:dyDescent="0.2">
      <c r="D30" s="291">
        <f>IF($D$26="FLAT",M21,IF($D$26="linear",N21,O21))</f>
        <v>1.2221739932245334E-4</v>
      </c>
    </row>
    <row r="31" spans="4:36" x14ac:dyDescent="0.2">
      <c r="D31" s="336">
        <f>IF($D$26="FLAT",M22,IF($D$26="linear",N22,O22))</f>
        <v>9.9999999999999991E-5</v>
      </c>
    </row>
    <row r="38" spans="10:14" x14ac:dyDescent="0.2">
      <c r="N38" s="333"/>
    </row>
    <row r="39" spans="10:14" x14ac:dyDescent="0.2">
      <c r="J39" s="272"/>
      <c r="K39" s="272"/>
      <c r="N39" s="333"/>
    </row>
    <row r="40" spans="10:14" x14ac:dyDescent="0.2">
      <c r="N40" s="333"/>
    </row>
    <row r="41" spans="10:14" x14ac:dyDescent="0.2">
      <c r="N41" s="333"/>
    </row>
    <row r="42" spans="10:14" x14ac:dyDescent="0.2">
      <c r="N42" s="333"/>
    </row>
    <row r="43" spans="10:14" ht="11.25" customHeight="1" x14ac:dyDescent="0.2"/>
    <row r="58" spans="10:11" x14ac:dyDescent="0.2">
      <c r="J58" s="272"/>
    </row>
    <row r="59" spans="10:11" x14ac:dyDescent="0.2">
      <c r="J59" s="272"/>
    </row>
    <row r="60" spans="10:11" x14ac:dyDescent="0.2">
      <c r="J60" s="272"/>
    </row>
    <row r="61" spans="10:11" x14ac:dyDescent="0.2">
      <c r="J61" s="272"/>
    </row>
    <row r="62" spans="10:11" x14ac:dyDescent="0.2">
      <c r="J62" s="272"/>
    </row>
    <row r="63" spans="10:11" x14ac:dyDescent="0.2">
      <c r="J63" s="272"/>
    </row>
    <row r="64" spans="10:11" x14ac:dyDescent="0.2">
      <c r="J64" s="272"/>
      <c r="K64" s="272"/>
    </row>
    <row r="65" spans="10:11" x14ac:dyDescent="0.2">
      <c r="J65" s="272"/>
      <c r="K65" s="272"/>
    </row>
    <row r="66" spans="10:11" x14ac:dyDescent="0.2">
      <c r="J66" s="272"/>
      <c r="K66" s="272"/>
    </row>
    <row r="67" spans="10:11" x14ac:dyDescent="0.2">
      <c r="J67" s="272"/>
      <c r="K67" s="272"/>
    </row>
    <row r="68" spans="10:11" x14ac:dyDescent="0.2">
      <c r="J68" s="272"/>
      <c r="K68" s="272"/>
    </row>
    <row r="69" spans="10:11" x14ac:dyDescent="0.2">
      <c r="J69" s="272"/>
      <c r="K69" s="272"/>
    </row>
    <row r="70" spans="10:11" x14ac:dyDescent="0.2">
      <c r="J70" s="272"/>
      <c r="K70" s="272"/>
    </row>
    <row r="71" spans="10:11" x14ac:dyDescent="0.2">
      <c r="J71" s="272"/>
      <c r="K71" s="272"/>
    </row>
    <row r="72" spans="10:11" x14ac:dyDescent="0.2">
      <c r="J72" s="272"/>
      <c r="K72" s="272"/>
    </row>
    <row r="73" spans="10:11" x14ac:dyDescent="0.2">
      <c r="J73" s="272"/>
      <c r="K73" s="272"/>
    </row>
    <row r="74" spans="10:11" x14ac:dyDescent="0.2">
      <c r="J74" s="272"/>
      <c r="K74" s="272"/>
    </row>
    <row r="75" spans="10:11" x14ac:dyDescent="0.2">
      <c r="J75" s="272"/>
      <c r="K75" s="272"/>
    </row>
    <row r="76" spans="10:11" x14ac:dyDescent="0.2">
      <c r="J76" s="272"/>
      <c r="K76" s="272"/>
    </row>
    <row r="77" spans="10:11" x14ac:dyDescent="0.2">
      <c r="J77" s="272"/>
      <c r="K77" s="272"/>
    </row>
    <row r="78" spans="10:11" x14ac:dyDescent="0.2">
      <c r="J78" s="272"/>
      <c r="K78" s="272"/>
    </row>
    <row r="79" spans="10:11" x14ac:dyDescent="0.2">
      <c r="J79" s="272"/>
      <c r="K79" s="272"/>
    </row>
    <row r="80" spans="10:11" x14ac:dyDescent="0.2">
      <c r="J80" s="272"/>
      <c r="K80" s="272"/>
    </row>
    <row r="81" spans="10:11" x14ac:dyDescent="0.2">
      <c r="J81" s="272"/>
      <c r="K81" s="272"/>
    </row>
    <row r="82" spans="10:11" x14ac:dyDescent="0.2">
      <c r="J82" s="272"/>
      <c r="K82" s="272"/>
    </row>
    <row r="83" spans="10:11" x14ac:dyDescent="0.2">
      <c r="J83" s="272"/>
      <c r="K83" s="272"/>
    </row>
    <row r="84" spans="10:11" x14ac:dyDescent="0.2">
      <c r="J84" s="272"/>
      <c r="K84" s="272"/>
    </row>
    <row r="85" spans="10:11" x14ac:dyDescent="0.2">
      <c r="J85" s="272"/>
      <c r="K85" s="272"/>
    </row>
    <row r="86" spans="10:11" x14ac:dyDescent="0.2">
      <c r="J86" s="272"/>
      <c r="K86" s="272"/>
    </row>
    <row r="87" spans="10:11" x14ac:dyDescent="0.2">
      <c r="J87" s="272"/>
      <c r="K87" s="272"/>
    </row>
    <row r="88" spans="10:11" x14ac:dyDescent="0.2">
      <c r="J88" s="272"/>
      <c r="K88" s="272"/>
    </row>
    <row r="89" spans="10:11" x14ac:dyDescent="0.2">
      <c r="J89" s="272"/>
      <c r="K89" s="272"/>
    </row>
    <row r="90" spans="10:11" x14ac:dyDescent="0.2">
      <c r="J90" s="272"/>
      <c r="K90" s="272"/>
    </row>
    <row r="91" spans="10:11" x14ac:dyDescent="0.2">
      <c r="J91" s="272"/>
      <c r="K91" s="272"/>
    </row>
    <row r="92" spans="10:11" x14ac:dyDescent="0.2">
      <c r="J92" s="272"/>
      <c r="K92" s="272"/>
    </row>
    <row r="93" spans="10:11" x14ac:dyDescent="0.2">
      <c r="J93" s="272"/>
      <c r="K93" s="272"/>
    </row>
    <row r="94" spans="10:11" x14ac:dyDescent="0.2">
      <c r="J94" s="272"/>
      <c r="K94" s="272"/>
    </row>
    <row r="95" spans="10:11" x14ac:dyDescent="0.2">
      <c r="J95" s="272"/>
      <c r="K95" s="272"/>
    </row>
    <row r="96" spans="10:11" x14ac:dyDescent="0.2">
      <c r="J96" s="272"/>
      <c r="K96" s="272"/>
    </row>
    <row r="97" spans="10:11" x14ac:dyDescent="0.2">
      <c r="J97" s="272"/>
      <c r="K97" s="272"/>
    </row>
    <row r="98" spans="10:11" x14ac:dyDescent="0.2">
      <c r="J98" s="272"/>
      <c r="K98" s="272"/>
    </row>
    <row r="99" spans="10:11" x14ac:dyDescent="0.2">
      <c r="J99" s="272"/>
      <c r="K99" s="272"/>
    </row>
    <row r="100" spans="10:11" x14ac:dyDescent="0.2">
      <c r="J100" s="272"/>
      <c r="K100" s="272"/>
    </row>
    <row r="101" spans="10:11" x14ac:dyDescent="0.2">
      <c r="J101" s="272"/>
      <c r="K101" s="272"/>
    </row>
    <row r="102" spans="10:11" x14ac:dyDescent="0.2">
      <c r="J102" s="272"/>
      <c r="K102" s="272"/>
    </row>
    <row r="103" spans="10:11" x14ac:dyDescent="0.2">
      <c r="J103" s="272"/>
      <c r="K103" s="272"/>
    </row>
    <row r="104" spans="10:11" x14ac:dyDescent="0.2">
      <c r="J104" s="272"/>
      <c r="K104" s="272"/>
    </row>
    <row r="105" spans="10:11" x14ac:dyDescent="0.2">
      <c r="J105" s="272"/>
      <c r="K105" s="272"/>
    </row>
    <row r="106" spans="10:11" x14ac:dyDescent="0.2">
      <c r="J106" s="272"/>
      <c r="K106" s="272"/>
    </row>
    <row r="107" spans="10:11" x14ac:dyDescent="0.2">
      <c r="J107" s="272"/>
      <c r="K107" s="272"/>
    </row>
    <row r="108" spans="10:11" x14ac:dyDescent="0.2">
      <c r="J108" s="272"/>
      <c r="K108" s="272"/>
    </row>
    <row r="109" spans="10:11" x14ac:dyDescent="0.2">
      <c r="J109" s="272"/>
      <c r="K109" s="272"/>
    </row>
    <row r="110" spans="10:11" x14ac:dyDescent="0.2">
      <c r="J110" s="272"/>
      <c r="K110" s="272"/>
    </row>
    <row r="111" spans="10:11" x14ac:dyDescent="0.2">
      <c r="J111" s="256"/>
      <c r="K111" s="272"/>
    </row>
    <row r="112" spans="10:11" x14ac:dyDescent="0.2">
      <c r="J112" s="256"/>
      <c r="K112" s="272"/>
    </row>
    <row r="113" spans="10:11" x14ac:dyDescent="0.2">
      <c r="J113" s="256"/>
      <c r="K113" s="272"/>
    </row>
    <row r="114" spans="10:11" x14ac:dyDescent="0.2">
      <c r="J114" s="256"/>
      <c r="K114" s="272"/>
    </row>
    <row r="115" spans="10:11" x14ac:dyDescent="0.2">
      <c r="J115" s="256"/>
      <c r="K115" s="272"/>
    </row>
    <row r="116" spans="10:11" x14ac:dyDescent="0.2">
      <c r="J116" s="256"/>
      <c r="K116" s="272"/>
    </row>
    <row r="117" spans="10:11" x14ac:dyDescent="0.2">
      <c r="J117" s="256"/>
      <c r="K117" s="256"/>
    </row>
    <row r="118" spans="10:11" x14ac:dyDescent="0.2">
      <c r="J118" s="256"/>
      <c r="K118" s="256"/>
    </row>
    <row r="119" spans="10:11" x14ac:dyDescent="0.2">
      <c r="J119" s="256"/>
      <c r="K119" s="256"/>
    </row>
    <row r="120" spans="10:11" x14ac:dyDescent="0.2">
      <c r="J120" s="256"/>
      <c r="K120" s="256"/>
    </row>
    <row r="121" spans="10:11" x14ac:dyDescent="0.2">
      <c r="J121" s="256"/>
      <c r="K121" s="256"/>
    </row>
    <row r="122" spans="10:11" x14ac:dyDescent="0.2">
      <c r="J122" s="256"/>
      <c r="K122" s="256"/>
    </row>
    <row r="123" spans="10:11" x14ac:dyDescent="0.2">
      <c r="J123" s="256"/>
      <c r="K123" s="256"/>
    </row>
    <row r="124" spans="10:11" x14ac:dyDescent="0.2">
      <c r="J124" s="256"/>
      <c r="K124" s="256"/>
    </row>
    <row r="125" spans="10:11" x14ac:dyDescent="0.2">
      <c r="J125" s="256"/>
      <c r="K125" s="256"/>
    </row>
    <row r="126" spans="10:11" x14ac:dyDescent="0.2">
      <c r="J126" s="256"/>
      <c r="K126" s="256"/>
    </row>
    <row r="127" spans="10:11" x14ac:dyDescent="0.2">
      <c r="K127" s="256"/>
    </row>
    <row r="128" spans="10:11" x14ac:dyDescent="0.2">
      <c r="K128" s="256"/>
    </row>
    <row r="129" spans="11:11" x14ac:dyDescent="0.2">
      <c r="K129" s="256"/>
    </row>
    <row r="130" spans="11:11" x14ac:dyDescent="0.2">
      <c r="K130" s="256"/>
    </row>
    <row r="131" spans="11:11" x14ac:dyDescent="0.2">
      <c r="K131" s="256"/>
    </row>
    <row r="132" spans="11:11" x14ac:dyDescent="0.2">
      <c r="K132" s="256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26">
      <formula1>"flat,linear,quadratic"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>
      <selection activeCell="C5" sqref="C5"/>
    </sheetView>
  </sheetViews>
  <sheetFormatPr defaultColWidth="9.5" defaultRowHeight="11.25" outlineLevelCol="1" x14ac:dyDescent="0.2"/>
  <cols>
    <col min="1" max="1" width="3.5" style="255" customWidth="1"/>
    <col min="2" max="2" width="2.33203125" style="255" customWidth="1"/>
    <col min="3" max="3" width="3.5" style="255" customWidth="1"/>
    <col min="4" max="4" width="31.1640625" style="255" bestFit="1" customWidth="1"/>
    <col min="5" max="6" width="22.83203125" style="255" customWidth="1"/>
    <col min="7" max="7" width="19" style="255" hidden="1" customWidth="1" outlineLevel="1"/>
    <col min="8" max="8" width="11.6640625" style="255" hidden="1" customWidth="1" outlineLevel="1"/>
    <col min="9" max="9" width="10.83203125" style="255" customWidth="1" collapsed="1"/>
    <col min="10" max="15" width="10.83203125" style="255" customWidth="1"/>
    <col min="16" max="16" width="12.83203125" style="255" hidden="1" customWidth="1" outlineLevel="1"/>
    <col min="17" max="17" width="7" style="255" customWidth="1" collapsed="1"/>
    <col min="18" max="18" width="13.1640625" style="255" customWidth="1"/>
    <col min="19" max="21" width="6.83203125" style="255" customWidth="1"/>
    <col min="22" max="22" width="2.33203125" style="255" bestFit="1" customWidth="1"/>
    <col min="23" max="23" width="10.83203125" style="255" customWidth="1"/>
    <col min="24" max="24" width="2.33203125" style="255" bestFit="1" customWidth="1"/>
    <col min="25" max="25" width="10.83203125" style="255" customWidth="1"/>
    <col min="26" max="26" width="12.5" style="255" bestFit="1" customWidth="1"/>
    <col min="27" max="29" width="10.5" style="255" customWidth="1"/>
    <col min="30" max="31" width="9.5" style="255"/>
    <col min="32" max="32" width="20.33203125" style="255" bestFit="1" customWidth="1"/>
    <col min="33" max="33" width="12.33203125" style="255" bestFit="1" customWidth="1"/>
    <col min="34" max="35" width="9.5" style="255" bestFit="1" customWidth="1"/>
    <col min="36" max="36" width="12.1640625" style="255" customWidth="1"/>
    <col min="37" max="16384" width="9.5" style="255"/>
  </cols>
  <sheetData>
    <row r="1" spans="1:36" ht="12" thickBot="1" x14ac:dyDescent="0.25"/>
    <row r="2" spans="1:36" ht="19.5" customHeight="1" x14ac:dyDescent="0.2">
      <c r="D2" s="267" t="s">
        <v>123</v>
      </c>
      <c r="E2" s="268" t="s">
        <v>106</v>
      </c>
      <c r="F2" s="268" t="s">
        <v>107</v>
      </c>
      <c r="G2" s="267" t="s">
        <v>158</v>
      </c>
      <c r="H2" s="268"/>
      <c r="I2" s="268" t="s">
        <v>85</v>
      </c>
      <c r="J2" s="268" t="s">
        <v>39</v>
      </c>
      <c r="K2" s="282"/>
      <c r="L2" s="282"/>
      <c r="M2" s="269"/>
      <c r="N2" s="268" t="s">
        <v>154</v>
      </c>
      <c r="P2" s="268" t="s">
        <v>160</v>
      </c>
      <c r="W2" s="318" t="s">
        <v>131</v>
      </c>
      <c r="AA2" s="440" t="s">
        <v>130</v>
      </c>
      <c r="AB2" s="440"/>
      <c r="AC2" s="440"/>
      <c r="AF2" s="267" t="s">
        <v>106</v>
      </c>
      <c r="AG2" s="267"/>
      <c r="AH2" s="268" t="s">
        <v>44</v>
      </c>
      <c r="AI2" s="268" t="s">
        <v>121</v>
      </c>
      <c r="AJ2" s="269" t="s">
        <v>122</v>
      </c>
    </row>
    <row r="3" spans="1:36" x14ac:dyDescent="0.2">
      <c r="D3" s="257" t="str">
        <f>$E$9&amp;"LastFixing"&amp;QuoteSuffix</f>
        <v>Euribor3MLastFixing_Quote</v>
      </c>
      <c r="E3" s="258">
        <f>_xll.qlCalendarAdvance(Calendar,_xll.qlLastFixingQuoteReferenceDate($D$3),_xll.qlInterestRateIndexFixingDays($E$9)&amp;"D","f",,LastFixingsTrigger)</f>
        <v>41943</v>
      </c>
      <c r="F3" s="258">
        <f>_xll.qlInterestRateIndexMaturity($E$9,E3)</f>
        <v>42034</v>
      </c>
      <c r="G3" s="257" t="str">
        <f>_xll.qlMakeDatedOIS(,E3,F3,OvernightIndex,0,,,,EvaluationDate)</f>
        <v>obj_00501#0002</v>
      </c>
      <c r="H3" s="258" t="b">
        <f>_xll.qlInstrumentSetPricingEngine(G3,OisEngine)</f>
        <v>1</v>
      </c>
      <c r="I3" s="259">
        <f>_xll.qlQuoteValue($D3,AllTriggers)</f>
        <v>8.7999999999999992E-4</v>
      </c>
      <c r="J3" s="260">
        <f>_xll.qlOvernightIndexedSwapFairRate(G3,_xll.ohTrigger(H3,InterestRatesTrigger))</f>
        <v>-1.7921313597080646E-5</v>
      </c>
      <c r="K3" s="283">
        <f>I3*_xll.qlDayCounterYearFraction(DayCounter3M,E3,F3,,,)</f>
        <v>2.2244444444444441E-4</v>
      </c>
      <c r="L3" s="283">
        <f>J3*_xll.qlDayCounterYearFraction(DayCounterOIS,E3,F3,,,)</f>
        <v>-4.5301098259287187E-6</v>
      </c>
      <c r="M3" s="294">
        <f>K3-L3</f>
        <v>2.2697455427037313E-4</v>
      </c>
      <c r="N3" s="294">
        <f>M3</f>
        <v>2.2697455427037313E-4</v>
      </c>
      <c r="P3" s="294" t="b">
        <f>IF(E14="FUT",FALSE,IF(E14="FIX+FUT",TRUE,FALSE))</f>
        <v>0</v>
      </c>
      <c r="R3" s="441" t="s">
        <v>124</v>
      </c>
      <c r="S3" s="274">
        <f t="array" ref="S3:S5">_xll.ohFilter(N10:N14,P10:P14)</f>
        <v>5.165642289839947E-3</v>
      </c>
      <c r="T3" s="275">
        <f t="array" ref="T3:T5">_xll.ohFilter(M10:M14,P10:P14)</f>
        <v>3.1079001688872208E-2</v>
      </c>
      <c r="U3" s="276">
        <f t="array" ref="U3:U5">_xll.ohFilter(L10:L14,P10:P14)</f>
        <v>0.24931506849315069</v>
      </c>
      <c r="V3" s="270"/>
      <c r="W3" s="278">
        <f t="array" ref="W3:W5">MMULT(AA3:AC5,Y3:Y5)</f>
        <v>4.7663084417829404E-3</v>
      </c>
      <c r="X3" s="279"/>
      <c r="Y3" s="259">
        <f t="array" ref="Y3:Y5">_xll.ohFilter(N3:N7,P3:P7)</f>
        <v>2.2203373003867972E-4</v>
      </c>
      <c r="AA3" s="274">
        <f t="array" ref="AA3:AC5">MINVERSE(S3:U5)</f>
        <v>614.49926729006017</v>
      </c>
      <c r="AB3" s="275">
        <v>-1046.8009861263647</v>
      </c>
      <c r="AC3" s="276">
        <v>448.73619333588977</v>
      </c>
      <c r="AF3" s="287">
        <f>SettlementDate</f>
        <v>41943</v>
      </c>
      <c r="AG3" s="301">
        <f>_xll.qlDayCounterYearFraction(DayCounterON,SettlementDate,AF3,,,Trigger)</f>
        <v>0</v>
      </c>
      <c r="AH3" s="288">
        <f t="shared" ref="AH3:AH65" si="0">$W$13</f>
        <v>8.90574851254045E-4</v>
      </c>
      <c r="AI3" s="288">
        <f t="shared" ref="AI3:AI65" si="1">$W$10+$W$9*AG3</f>
        <v>6.8072444565754706E-4</v>
      </c>
      <c r="AJ3" s="289">
        <f t="shared" ref="AJ3:AJ65" si="2">($W$5+$W$4*AG3+$W$3*AG3^2)</f>
        <v>7.6311745253633198E-4</v>
      </c>
    </row>
    <row r="4" spans="1:36" x14ac:dyDescent="0.2">
      <c r="D4" s="315" t="s">
        <v>171</v>
      </c>
      <c r="E4" s="258">
        <f>SettlementDate</f>
        <v>41943</v>
      </c>
      <c r="F4" s="258">
        <f>_xll.qlInterestRateIndexMaturity($E$9,E4)</f>
        <v>42034</v>
      </c>
      <c r="G4" s="257" t="str">
        <f>_xll.qlMakeDatedOIS(,E4,F4,OvernightIndex,0,,,,EvaluationDate)</f>
        <v>obj_0058a#0000</v>
      </c>
      <c r="H4" s="258" t="b">
        <f>_xll.qlInstrumentSetPricingEngine(G4,OisEngine)</f>
        <v>1</v>
      </c>
      <c r="I4" s="259"/>
      <c r="J4" s="260"/>
      <c r="K4" s="283"/>
      <c r="L4" s="283"/>
      <c r="M4" s="294"/>
      <c r="N4" s="316">
        <f>_xll.qlInterpolationInterpolate($H$13,E4,TRUE,Trigger)</f>
        <v>2.2203373003867972E-4</v>
      </c>
      <c r="P4" s="294" t="b">
        <f>IF(E14="FUT",FALSE,IF(E14="FIX+FUT",FALSE,TRUE))</f>
        <v>1</v>
      </c>
      <c r="R4" s="441"/>
      <c r="S4" s="274">
        <v>9.3279351116617899E-3</v>
      </c>
      <c r="T4" s="275">
        <v>4.4886470257083887E-2</v>
      </c>
      <c r="U4" s="276">
        <v>0.25205479452054796</v>
      </c>
      <c r="V4" s="271" t="s">
        <v>42</v>
      </c>
      <c r="W4" s="278">
        <v>2.3025210750356878E-4</v>
      </c>
      <c r="X4" s="271" t="s">
        <v>43</v>
      </c>
      <c r="Y4" s="259">
        <v>2.4714243293629684E-4</v>
      </c>
      <c r="AA4" s="274">
        <v>-262.42745641144256</v>
      </c>
      <c r="AB4" s="275">
        <v>393.41255306160195</v>
      </c>
      <c r="AC4" s="276">
        <v>-136.81173720251232</v>
      </c>
      <c r="AF4" s="290">
        <f>_xll.qlCalendarAdvance(Calendar,AF3,"1d","mf",,Trigger)</f>
        <v>41946</v>
      </c>
      <c r="AG4" s="301">
        <f>_xll.qlDayCounterYearFraction(DayCounterON,SettlementDate,AF4,,,Trigger)</f>
        <v>8.21917808219178E-3</v>
      </c>
      <c r="AH4" s="291">
        <f t="shared" si="0"/>
        <v>8.90574851254045E-4</v>
      </c>
      <c r="AI4" s="291">
        <f t="shared" si="1"/>
        <v>6.9456073613643706E-4</v>
      </c>
      <c r="AJ4" s="261">
        <f t="shared" si="2"/>
        <v>7.6533192304631468E-4</v>
      </c>
    </row>
    <row r="5" spans="1:36" x14ac:dyDescent="0.2">
      <c r="A5" s="273"/>
      <c r="B5" s="273"/>
      <c r="C5" s="255" t="str">
        <f>_xll.qlIMMNextCode(SettlementDate-1,NOT(E15))</f>
        <v>X4</v>
      </c>
      <c r="D5" s="257" t="str">
        <f>Currency&amp;"FUT3M"&amp;C5&amp;QuoteSuffix</f>
        <v>EURFUT3MX4_Quote</v>
      </c>
      <c r="E5" s="258">
        <f>_xll.qlIMMdate(C5)</f>
        <v>41962</v>
      </c>
      <c r="F5" s="258">
        <f>_xll.qlInterestRateIndexMaturity($E$9,E5)</f>
        <v>42054</v>
      </c>
      <c r="G5" s="257" t="str">
        <f>_xll.qlMakeDatedOIS(,E5,F5,OvernightIndex,0,,,,EvaluationDate)</f>
        <v>obj_00591#0000</v>
      </c>
      <c r="H5" s="258" t="b">
        <f>_xll.qlInstrumentSetPricingEngine(G5,OisEngine)</f>
        <v>1</v>
      </c>
      <c r="I5" s="259">
        <f>1-_xll.qlQuoteValue($D5,AllTriggers)/100</f>
        <v>9.5000000000000639E-4</v>
      </c>
      <c r="J5" s="260">
        <f>_xll.qlOvernightIndexedSwapFairRate(G5,_xll.ohTrigger(H5,InterestRatesTrigger))</f>
        <v>-1.7079085402894456E-5</v>
      </c>
      <c r="K5" s="283">
        <f>I5*_xll.qlDayCounterYearFraction(DayCounter3M,E5,F5,,,)</f>
        <v>2.4277777777777939E-4</v>
      </c>
      <c r="L5" s="283">
        <f>J5*_xll.qlDayCounterYearFraction(DayCounterOIS,E5,F5,,,)</f>
        <v>-4.364655158517472E-6</v>
      </c>
      <c r="M5" s="294">
        <f>K5-L5</f>
        <v>2.4714243293629684E-4</v>
      </c>
      <c r="N5" s="294">
        <f>M5</f>
        <v>2.4714243293629684E-4</v>
      </c>
      <c r="P5" s="294" t="b">
        <v>1</v>
      </c>
      <c r="R5" s="441"/>
      <c r="S5" s="274">
        <v>1.6914633550718865E-2</v>
      </c>
      <c r="T5" s="275">
        <v>6.2150497279039221E-2</v>
      </c>
      <c r="U5" s="276">
        <v>0.24657534246575344</v>
      </c>
      <c r="V5" s="273"/>
      <c r="W5" s="278">
        <v>7.6311745253633198E-4</v>
      </c>
      <c r="X5" s="271"/>
      <c r="Y5" s="259">
        <v>2.8309659086409034E-4</v>
      </c>
      <c r="AA5" s="274">
        <v>23.992532801894392</v>
      </c>
      <c r="AB5" s="275">
        <v>-27.352819062486361</v>
      </c>
      <c r="AC5" s="276">
        <v>7.7570985419595075</v>
      </c>
      <c r="AF5" s="290">
        <f>_xll.qlCalendarAdvance(Calendar,AF4,"1d","mf",,Trigger)</f>
        <v>41947</v>
      </c>
      <c r="AG5" s="301">
        <f>_xll.qlDayCounterYearFraction(DayCounterON,SettlementDate,AF5,,,Trigger)</f>
        <v>1.0958904109589041E-2</v>
      </c>
      <c r="AH5" s="291">
        <f t="shared" si="0"/>
        <v>8.90574851254045E-4</v>
      </c>
      <c r="AI5" s="291">
        <f t="shared" si="1"/>
        <v>6.9917283296273369E-4</v>
      </c>
      <c r="AJ5" s="261">
        <f t="shared" si="2"/>
        <v>7.6621318540946943E-4</v>
      </c>
    </row>
    <row r="6" spans="1:36" x14ac:dyDescent="0.2">
      <c r="A6" s="273"/>
      <c r="B6" s="273"/>
      <c r="C6" s="314" t="str">
        <f>_xll.qlIMMNextCode(E5,TRUE)</f>
        <v>Z4</v>
      </c>
      <c r="D6" s="257" t="str">
        <f>Currency&amp;"FUT3M"&amp;C6&amp;QuoteSuffix</f>
        <v>EURFUT3MZ4_Quote</v>
      </c>
      <c r="E6" s="258">
        <f>_xll.qlIMMdate(C6)</f>
        <v>41990</v>
      </c>
      <c r="F6" s="258">
        <f>_xll.qlInterestRateIndexMaturity($E$9,E6)</f>
        <v>42080</v>
      </c>
      <c r="G6" s="257" t="str">
        <f>_xll.qlMakeDatedOIS(,E6,F6,OvernightIndex,0,,,,EvaluationDate)</f>
        <v>obj_00590#0000</v>
      </c>
      <c r="H6" s="258" t="b">
        <f>_xll.qlInstrumentSetPricingEngine(G6,OisEngine)</f>
        <v>1</v>
      </c>
      <c r="I6" s="259">
        <f>1-_xll.qlQuoteValue($D6,AllTriggers)/100</f>
        <v>1.0750000000000481E-3</v>
      </c>
      <c r="J6" s="260">
        <f>_xll.qlOvernightIndexedSwapFairRate(G6,_xll.ohTrigger(H6,InterestRatesTrigger))</f>
        <v>-5.7386363456313205E-5</v>
      </c>
      <c r="K6" s="283">
        <f>I6*_xll.qlDayCounterYearFraction(DayCounter3M,E6,F6,,,)</f>
        <v>2.6875000000001203E-4</v>
      </c>
      <c r="L6" s="283">
        <f>J6*_xll.qlDayCounterYearFraction(DayCounterOIS,E6,F6,,,)</f>
        <v>-1.4346590864078301E-5</v>
      </c>
      <c r="M6" s="294">
        <f>K6-L6</f>
        <v>2.8309659086409034E-4</v>
      </c>
      <c r="N6" s="294">
        <f>M6</f>
        <v>2.8309659086409034E-4</v>
      </c>
      <c r="P6" s="294" t="b">
        <v>1</v>
      </c>
      <c r="W6" s="280"/>
      <c r="X6" s="319"/>
      <c r="Y6" s="281"/>
      <c r="AF6" s="290">
        <f>_xll.qlCalendarAdvance(Calendar,AF5,"1d","mf",,Trigger)</f>
        <v>41948</v>
      </c>
      <c r="AG6" s="301">
        <f>_xll.qlDayCounterYearFraction(DayCounterON,SettlementDate,AF6,,,Trigger)</f>
        <v>1.3698630136986301E-2</v>
      </c>
      <c r="AH6" s="291">
        <f t="shared" si="0"/>
        <v>8.90574851254045E-4</v>
      </c>
      <c r="AI6" s="291">
        <f t="shared" si="1"/>
        <v>7.0378492978903032E-4</v>
      </c>
      <c r="AJ6" s="261">
        <f t="shared" si="2"/>
        <v>7.6716600053587094E-4</v>
      </c>
    </row>
    <row r="7" spans="1:36" ht="12" thickBot="1" x14ac:dyDescent="0.25">
      <c r="A7" s="273"/>
      <c r="B7" s="273"/>
      <c r="C7" s="314" t="str">
        <f>_xll.qlIMMNextCode(E6,TRUE)</f>
        <v>H5</v>
      </c>
      <c r="D7" s="262" t="str">
        <f>Currency&amp;"FUT3M"&amp;C7&amp;QuoteSuffix</f>
        <v>EURFUT3MH5_Quote</v>
      </c>
      <c r="E7" s="263">
        <f>_xll.qlIMMdate(C7)</f>
        <v>42081</v>
      </c>
      <c r="F7" s="263">
        <f>_xll.qlInterestRateIndexMaturity($E$9,E7)</f>
        <v>42173</v>
      </c>
      <c r="G7" s="262" t="str">
        <f>_xll.qlMakeDatedOIS(,E7,F7,OvernightIndex,0,,,,EvaluationDate)</f>
        <v>obj_00592#0000</v>
      </c>
      <c r="H7" s="263" t="b">
        <f>_xll.qlInstrumentSetPricingEngine(G7,OisEngine)</f>
        <v>1</v>
      </c>
      <c r="I7" s="265">
        <f>1-_xll.qlQuoteValue($D7,AllTriggers)/100</f>
        <v>1.0249999999999426E-3</v>
      </c>
      <c r="J7" s="265">
        <f>_xll.qlOvernightIndexedSwapFairRate(G7,_xll.ohTrigger(H7,InterestRatesTrigger))</f>
        <v>-3.3001569891746006E-4</v>
      </c>
      <c r="K7" s="284">
        <f>I7*_xll.qlDayCounterYearFraction(DayCounter3M,E7,F7,,,)</f>
        <v>2.6194444444442978E-4</v>
      </c>
      <c r="L7" s="284">
        <f>J7*_xll.qlDayCounterYearFraction(DayCounterOIS,E7,F7,,,)</f>
        <v>-8.4337345278906448E-5</v>
      </c>
      <c r="M7" s="295">
        <f>K7-L7</f>
        <v>3.4628178972333625E-4</v>
      </c>
      <c r="N7" s="295">
        <f>M7</f>
        <v>3.4628178972333625E-4</v>
      </c>
      <c r="P7" s="295" t="b">
        <f>IF(E14="FUT",TRUE,FALSE)</f>
        <v>0</v>
      </c>
      <c r="W7" s="280"/>
      <c r="X7" s="319"/>
      <c r="Y7" s="281"/>
      <c r="AF7" s="290">
        <f>_xll.qlCalendarAdvance(Calendar,AF6,"1d","mf",,Trigger)</f>
        <v>41949</v>
      </c>
      <c r="AG7" s="301">
        <f>_xll.qlDayCounterYearFraction(DayCounterON,SettlementDate,AF7,,,Trigger)</f>
        <v>1.643835616438356E-2</v>
      </c>
      <c r="AH7" s="291">
        <f t="shared" si="0"/>
        <v>8.90574851254045E-4</v>
      </c>
      <c r="AI7" s="291">
        <f t="shared" si="1"/>
        <v>7.0839702661532695E-4</v>
      </c>
      <c r="AJ7" s="261">
        <f t="shared" si="2"/>
        <v>7.6819036842551945E-4</v>
      </c>
    </row>
    <row r="8" spans="1:36" ht="18.75" customHeight="1" thickBot="1" x14ac:dyDescent="0.25">
      <c r="W8" s="320" t="s">
        <v>132</v>
      </c>
      <c r="X8" s="319"/>
      <c r="Y8" s="281"/>
      <c r="AF8" s="290">
        <f>_xll.qlCalendarAdvance(Calendar,AF7,"1d","mf",,Trigger)</f>
        <v>41950</v>
      </c>
      <c r="AG8" s="301">
        <f>_xll.qlDayCounterYearFraction(DayCounterON,SettlementDate,AF8,,,Trigger)</f>
        <v>1.9178082191780823E-2</v>
      </c>
      <c r="AH8" s="291">
        <f t="shared" si="0"/>
        <v>8.90574851254045E-4</v>
      </c>
      <c r="AI8" s="291">
        <f t="shared" si="1"/>
        <v>7.1300912344162358E-4</v>
      </c>
      <c r="AJ8" s="261">
        <f t="shared" si="2"/>
        <v>7.6928628907841474E-4</v>
      </c>
    </row>
    <row r="9" spans="1:36" x14ac:dyDescent="0.2">
      <c r="D9" s="267" t="s">
        <v>155</v>
      </c>
      <c r="E9" s="312" t="s">
        <v>168</v>
      </c>
      <c r="J9" s="267"/>
      <c r="K9" s="268"/>
      <c r="L9" s="268" t="s">
        <v>133</v>
      </c>
      <c r="M9" s="282" t="s">
        <v>134</v>
      </c>
      <c r="N9" s="269" t="s">
        <v>135</v>
      </c>
      <c r="P9" s="269" t="s">
        <v>160</v>
      </c>
      <c r="R9" s="440" t="s">
        <v>125</v>
      </c>
      <c r="S9" s="321"/>
      <c r="T9" s="274">
        <f t="array" ref="T9:T10">_xll.ohFilter(M10:M14,P10:P14)</f>
        <v>3.1079001688872208E-2</v>
      </c>
      <c r="U9" s="276">
        <f t="array" ref="U9:U10">_xll.ohFilter(L10:L14,P10:P14)</f>
        <v>0.24931506849315069</v>
      </c>
      <c r="V9" s="442" t="s">
        <v>42</v>
      </c>
      <c r="W9" s="278">
        <f t="array" ref="W9:W10">MMULT(AA9:AB10,Y9:Y10)</f>
        <v>1.683415341598278E-3</v>
      </c>
      <c r="X9" s="442" t="s">
        <v>43</v>
      </c>
      <c r="Y9" s="259">
        <f t="array" ref="Y9:Y10">_xll.ohFilter(N3:N7,P3:P7)</f>
        <v>2.2203373003867972E-4</v>
      </c>
      <c r="AA9" s="274">
        <f t="array" ref="AA9:AB10">MINVERSE(T9:U10)</f>
        <v>-75.077486615948104</v>
      </c>
      <c r="AB9" s="276">
        <v>74.261426978818236</v>
      </c>
      <c r="AF9" s="290">
        <f>_xll.qlCalendarAdvance(Calendar,AF8,"1d","mf",,Trigger)</f>
        <v>41953</v>
      </c>
      <c r="AG9" s="301">
        <f>_xll.qlDayCounterYearFraction(DayCounterON,SettlementDate,AF9,,,Trigger)</f>
        <v>2.7397260273972601E-2</v>
      </c>
      <c r="AH9" s="291">
        <f t="shared" si="0"/>
        <v>8.90574851254045E-4</v>
      </c>
      <c r="AI9" s="291">
        <f t="shared" si="1"/>
        <v>7.2684541392051358E-4</v>
      </c>
      <c r="AJ9" s="261">
        <f t="shared" si="2"/>
        <v>7.7300336761658211E-4</v>
      </c>
    </row>
    <row r="10" spans="1:36" ht="11.25" customHeight="1" x14ac:dyDescent="0.2">
      <c r="D10" s="285" t="s">
        <v>153</v>
      </c>
      <c r="E10" s="313" t="s">
        <v>17</v>
      </c>
      <c r="J10" s="322">
        <f>_xll.qlDayCounterYearFraction(DayCounterON,SettlementDate,E3,,,Trigger)</f>
        <v>0</v>
      </c>
      <c r="K10" s="323">
        <f>_xll.qlDayCounterYearFraction(DayCounterON,SettlementDate,F3,,,Trigger)</f>
        <v>0.24931506849315069</v>
      </c>
      <c r="L10" s="323">
        <f>K10-J10</f>
        <v>0.24931506849315069</v>
      </c>
      <c r="M10" s="323">
        <f>(K10^2-J10^2)/2</f>
        <v>3.1079001688872208E-2</v>
      </c>
      <c r="N10" s="324">
        <f>(K10^3-J10^3)/3</f>
        <v>5.165642289839947E-3</v>
      </c>
      <c r="P10" s="324" t="b">
        <f>P3</f>
        <v>0</v>
      </c>
      <c r="R10" s="440"/>
      <c r="S10" s="321"/>
      <c r="T10" s="274">
        <v>4.4886470257083887E-2</v>
      </c>
      <c r="U10" s="276">
        <v>0.25205479452054796</v>
      </c>
      <c r="V10" s="442"/>
      <c r="W10" s="278">
        <v>6.8072444565754706E-4</v>
      </c>
      <c r="X10" s="442"/>
      <c r="Y10" s="259">
        <v>2.4714243293629684E-4</v>
      </c>
      <c r="AA10" s="274">
        <v>13.369963369963362</v>
      </c>
      <c r="AB10" s="276">
        <v>-9.2572463768115867</v>
      </c>
      <c r="AF10" s="290">
        <f>_xll.qlCalendarAdvance(Calendar,AF9,"1d","mf",,Trigger)</f>
        <v>41954</v>
      </c>
      <c r="AG10" s="301">
        <f>_xll.qlDayCounterYearFraction(DayCounterON,SettlementDate,AF10,,,Trigger)</f>
        <v>3.0136986301369864E-2</v>
      </c>
      <c r="AH10" s="291">
        <f t="shared" si="0"/>
        <v>8.90574851254045E-4</v>
      </c>
      <c r="AI10" s="291">
        <f t="shared" si="1"/>
        <v>7.3145751074681022E-4</v>
      </c>
      <c r="AJ10" s="261">
        <f t="shared" si="2"/>
        <v>7.7438549932246493E-4</v>
      </c>
    </row>
    <row r="11" spans="1:36" ht="11.25" customHeight="1" x14ac:dyDescent="0.2">
      <c r="D11" s="285" t="s">
        <v>127</v>
      </c>
      <c r="E11" s="313" t="s">
        <v>17</v>
      </c>
      <c r="J11" s="322">
        <f>_xll.qlDayCounterYearFraction(DayCounterON,SettlementDate,E4,,,Trigger)</f>
        <v>0</v>
      </c>
      <c r="K11" s="323">
        <f>_xll.qlDayCounterYearFraction(DayCounterON,SettlementDate,F4,,,Trigger)</f>
        <v>0.24931506849315069</v>
      </c>
      <c r="L11" s="323">
        <f>K11-J11</f>
        <v>0.24931506849315069</v>
      </c>
      <c r="M11" s="323">
        <f>(K11^2-J11^2)/2</f>
        <v>3.1079001688872208E-2</v>
      </c>
      <c r="N11" s="324">
        <f>(K11^3-J11^3)/3</f>
        <v>5.165642289839947E-3</v>
      </c>
      <c r="P11" s="324" t="b">
        <f>P4</f>
        <v>1</v>
      </c>
      <c r="W11" s="280"/>
      <c r="X11" s="319"/>
      <c r="Y11" s="281"/>
      <c r="AF11" s="290">
        <f>_xll.qlCalendarAdvance(Calendar,AF10,"1d","mf",,Trigger)</f>
        <v>41955</v>
      </c>
      <c r="AG11" s="301">
        <f>_xll.qlDayCounterYearFraction(DayCounterON,SettlementDate,AF11,,,Trigger)</f>
        <v>3.287671232876712E-2</v>
      </c>
      <c r="AH11" s="291">
        <f t="shared" si="0"/>
        <v>8.90574851254045E-4</v>
      </c>
      <c r="AI11" s="291">
        <f t="shared" si="1"/>
        <v>7.3606960757310685E-4</v>
      </c>
      <c r="AJ11" s="261">
        <f t="shared" si="2"/>
        <v>7.7583918379159475E-4</v>
      </c>
    </row>
    <row r="12" spans="1:36" ht="11.25" customHeight="1" thickBot="1" x14ac:dyDescent="0.25">
      <c r="D12" s="285" t="s">
        <v>128</v>
      </c>
      <c r="E12" s="313" t="s">
        <v>129</v>
      </c>
      <c r="J12" s="322">
        <f>_xll.qlDayCounterYearFraction(DayCounterON,SettlementDate,E5,,,Trigger)</f>
        <v>5.2054794520547946E-2</v>
      </c>
      <c r="K12" s="323">
        <f>_xll.qlDayCounterYearFraction(DayCounterON,SettlementDate,F5,,,Trigger)</f>
        <v>0.30410958904109592</v>
      </c>
      <c r="L12" s="323">
        <f>K12-J12</f>
        <v>0.25205479452054796</v>
      </c>
      <c r="M12" s="323">
        <f>(K12^2-J12^2)/2</f>
        <v>4.4886470257083887E-2</v>
      </c>
      <c r="N12" s="324">
        <f>(K12^3-J12^3)/3</f>
        <v>9.3279351116617899E-3</v>
      </c>
      <c r="P12" s="324" t="b">
        <f>P5</f>
        <v>1</v>
      </c>
      <c r="W12" s="318" t="s">
        <v>40</v>
      </c>
      <c r="X12" s="319"/>
      <c r="Y12" s="281"/>
      <c r="AF12" s="290">
        <f>_xll.qlCalendarAdvance(Calendar,AF11,"1d","mf",,Trigger)</f>
        <v>41956</v>
      </c>
      <c r="AG12" s="301">
        <f>_xll.qlDayCounterYearFraction(DayCounterON,SettlementDate,AF12,,,Trigger)</f>
        <v>3.5616438356164383E-2</v>
      </c>
      <c r="AH12" s="291">
        <f t="shared" si="0"/>
        <v>8.90574851254045E-4</v>
      </c>
      <c r="AI12" s="291">
        <f t="shared" si="1"/>
        <v>7.4068170439940358E-4</v>
      </c>
      <c r="AJ12" s="261">
        <f t="shared" si="2"/>
        <v>7.7736442102397134E-4</v>
      </c>
    </row>
    <row r="13" spans="1:36" ht="11.25" customHeight="1" thickBot="1" x14ac:dyDescent="0.25">
      <c r="D13" s="285" t="s">
        <v>162</v>
      </c>
      <c r="E13" s="313" t="s">
        <v>161</v>
      </c>
      <c r="G13" s="332" t="s">
        <v>159</v>
      </c>
      <c r="H13" s="317" t="str">
        <f>_xll.qlInterpolation(,E13,E5:E7,M5:M7)</f>
        <v>obj_00a79#0025</v>
      </c>
      <c r="J13" s="322">
        <f>_xll.qlDayCounterYearFraction(DayCounterON,SettlementDate,E6,,,Trigger)</f>
        <v>0.12876712328767123</v>
      </c>
      <c r="K13" s="323">
        <f>_xll.qlDayCounterYearFraction(DayCounterON,SettlementDate,F6,,,Trigger)</f>
        <v>0.37534246575342467</v>
      </c>
      <c r="L13" s="323">
        <f>K13-J13</f>
        <v>0.24657534246575344</v>
      </c>
      <c r="M13" s="323">
        <f>(K13^2-J13^2)/2</f>
        <v>6.2150497279039221E-2</v>
      </c>
      <c r="N13" s="324">
        <f>(K13^3-J13^3)/3</f>
        <v>1.6914633550718865E-2</v>
      </c>
      <c r="P13" s="324" t="b">
        <f>P6</f>
        <v>1</v>
      </c>
      <c r="R13" s="311" t="s">
        <v>126</v>
      </c>
      <c r="U13" s="277">
        <f t="array" ref="U13">_xll.ohFilter(L10:L14,P10:P14)</f>
        <v>0.24931506849315069</v>
      </c>
      <c r="V13" s="311" t="s">
        <v>42</v>
      </c>
      <c r="W13" s="278">
        <f>MMULT(AA13,Y13)</f>
        <v>8.90574851254045E-4</v>
      </c>
      <c r="X13" s="311" t="s">
        <v>43</v>
      </c>
      <c r="Y13" s="259">
        <f>_xll.ohFilter(N3:N7,P3:P7)</f>
        <v>2.2203373003867972E-4</v>
      </c>
      <c r="AA13" s="277">
        <f>MINVERSE(U13)</f>
        <v>4.0109890109890109</v>
      </c>
      <c r="AF13" s="290">
        <f>_xll.qlCalendarAdvance(Calendar,AF12,"1d","mf",,Trigger)</f>
        <v>41957</v>
      </c>
      <c r="AG13" s="301">
        <f>_xll.qlDayCounterYearFraction(DayCounterON,SettlementDate,AF13,,,Trigger)</f>
        <v>3.8356164383561646E-2</v>
      </c>
      <c r="AH13" s="291">
        <f t="shared" si="0"/>
        <v>8.90574851254045E-4</v>
      </c>
      <c r="AI13" s="291">
        <f t="shared" si="1"/>
        <v>7.4529380122570022E-4</v>
      </c>
      <c r="AJ13" s="261">
        <f t="shared" si="2"/>
        <v>7.7896121101959481E-4</v>
      </c>
    </row>
    <row r="14" spans="1:36" ht="11.25" customHeight="1" thickBot="1" x14ac:dyDescent="0.25">
      <c r="D14" s="285" t="s">
        <v>166</v>
      </c>
      <c r="E14" s="338" t="s">
        <v>169</v>
      </c>
      <c r="J14" s="325">
        <f>_xll.qlDayCounterYearFraction(DayCounterON,SettlementDate,E7,,,Trigger)</f>
        <v>0.37808219178082192</v>
      </c>
      <c r="K14" s="326">
        <f>_xll.qlDayCounterYearFraction(DayCounterON,SettlementDate,F7,,,Trigger)</f>
        <v>0.63013698630136983</v>
      </c>
      <c r="L14" s="326">
        <f>K14-J14</f>
        <v>0.25205479452054791</v>
      </c>
      <c r="M14" s="326">
        <f>(K14^2-J14^2)/2</f>
        <v>0.12706323888159127</v>
      </c>
      <c r="N14" s="327">
        <f>(K14^3-J14^3)/3</f>
        <v>6.5388251241805181E-2</v>
      </c>
      <c r="P14" s="327" t="b">
        <f>P7</f>
        <v>0</v>
      </c>
      <c r="AF14" s="290">
        <f>_xll.qlCalendarAdvance(Calendar,AF13,"1d","mf",,Trigger)</f>
        <v>41960</v>
      </c>
      <c r="AG14" s="301">
        <f>_xll.qlDayCounterYearFraction(DayCounterON,SettlementDate,AF14,,,Trigger)</f>
        <v>4.6575342465753428E-2</v>
      </c>
      <c r="AH14" s="291">
        <f t="shared" si="0"/>
        <v>8.90574851254045E-4</v>
      </c>
      <c r="AI14" s="291">
        <f t="shared" si="1"/>
        <v>7.5913009170459011E-4</v>
      </c>
      <c r="AJ14" s="261">
        <f t="shared" si="2"/>
        <v>7.8418089758594664E-4</v>
      </c>
    </row>
    <row r="15" spans="1:36" ht="11.25" customHeight="1" thickBot="1" x14ac:dyDescent="0.25">
      <c r="D15" s="286" t="s">
        <v>172</v>
      </c>
      <c r="E15" s="339" t="b">
        <v>1</v>
      </c>
      <c r="P15" s="272"/>
      <c r="AF15" s="290">
        <f>_xll.qlCalendarAdvance(Calendar,AF14,"1d","mf",,Trigger)</f>
        <v>41961</v>
      </c>
      <c r="AG15" s="301">
        <f>_xll.qlDayCounterYearFraction(DayCounterON,SettlementDate,AF15,,,Trigger)</f>
        <v>4.9315068493150684E-2</v>
      </c>
      <c r="AH15" s="291">
        <f t="shared" si="0"/>
        <v>8.90574851254045E-4</v>
      </c>
      <c r="AI15" s="291">
        <f t="shared" si="1"/>
        <v>7.6374218853088685E-4</v>
      </c>
      <c r="AJ15" s="261">
        <f t="shared" si="2"/>
        <v>7.8606389863455765E-4</v>
      </c>
    </row>
    <row r="16" spans="1:36" ht="11.25" customHeight="1" thickBot="1" x14ac:dyDescent="0.25">
      <c r="M16" s="328" t="s">
        <v>170</v>
      </c>
      <c r="N16" s="329"/>
      <c r="O16" s="330"/>
      <c r="P16" s="272"/>
      <c r="AF16" s="290">
        <f>_xll.qlCalendarAdvance(Calendar,AF15,"1d","mf",,Trigger)</f>
        <v>41962</v>
      </c>
      <c r="AG16" s="301">
        <f>_xll.qlDayCounterYearFraction(DayCounterON,SettlementDate,AF16,,,Trigger)</f>
        <v>5.2054794520547946E-2</v>
      </c>
      <c r="AH16" s="291">
        <f t="shared" si="0"/>
        <v>8.90574851254045E-4</v>
      </c>
      <c r="AI16" s="291">
        <f t="shared" si="1"/>
        <v>7.6835428535718348E-4</v>
      </c>
      <c r="AJ16" s="261">
        <f t="shared" si="2"/>
        <v>7.8801845244641554E-4</v>
      </c>
    </row>
    <row r="17" spans="4:36" ht="15.75" customHeight="1" x14ac:dyDescent="0.2">
      <c r="D17" s="267" t="s">
        <v>136</v>
      </c>
      <c r="E17" s="268" t="s">
        <v>106</v>
      </c>
      <c r="F17" s="268" t="s">
        <v>107</v>
      </c>
      <c r="G17" s="282" t="s">
        <v>163</v>
      </c>
      <c r="H17" s="282"/>
      <c r="I17" s="268" t="s">
        <v>39</v>
      </c>
      <c r="J17" s="268"/>
      <c r="K17" s="268"/>
      <c r="L17" s="268"/>
      <c r="M17" s="331" t="s">
        <v>126</v>
      </c>
      <c r="N17" s="269" t="s">
        <v>125</v>
      </c>
      <c r="O17" s="269" t="s">
        <v>203</v>
      </c>
      <c r="P17" s="272"/>
      <c r="AF17" s="290">
        <f>_xll.qlCalendarAdvance(Calendar,AF16,"1d","mf",,Trigger)</f>
        <v>41963</v>
      </c>
      <c r="AG17" s="301">
        <f>_xll.qlDayCounterYearFraction(DayCounterON,SettlementDate,AF17,,,Trigger)</f>
        <v>5.4794520547945202E-2</v>
      </c>
      <c r="AH17" s="291">
        <f t="shared" si="0"/>
        <v>8.90574851254045E-4</v>
      </c>
      <c r="AI17" s="291">
        <f t="shared" si="1"/>
        <v>7.7296638218348011E-4</v>
      </c>
      <c r="AJ17" s="261">
        <f t="shared" si="2"/>
        <v>7.9004455902152043E-4</v>
      </c>
    </row>
    <row r="18" spans="4:36" ht="11.25" customHeight="1" x14ac:dyDescent="0.2">
      <c r="D18" s="306" t="s">
        <v>48</v>
      </c>
      <c r="E18" s="297">
        <f t="shared" ref="E18:E24" si="3">SettlementDate</f>
        <v>41943</v>
      </c>
      <c r="F18" s="298">
        <f>_xll.qlCalendarAdvance(Calendar,SettlementDate,D18,"Following",,Trigger)</f>
        <v>41946</v>
      </c>
      <c r="G18" s="299" t="str">
        <f>_xll.qlMakeDatedOIS(,E18,F18,OvernightIndex,0,,,,EvaluationDate)</f>
        <v>obj_0056f#0000</v>
      </c>
      <c r="H18" s="308" t="b">
        <f>_xll.qlInstrumentSetPricingEngine(G18,OisEngine)</f>
        <v>1</v>
      </c>
      <c r="I18" s="296">
        <f>_xll.qlOvernightIndexedSwapFairRate(G18,_xll.ohTrigger(InterestRatesTrigger))</f>
        <v>5.0792457034987137E-4</v>
      </c>
      <c r="J18" s="323">
        <f>_xll.qlDayCounterYearFraction(DayCounterOIS,E18,F18,,,Trigger)</f>
        <v>8.3333333333333332E-3</v>
      </c>
      <c r="K18" s="323">
        <f>_xll.qlDayCounterYearFraction(DayCounter3M,E18,F18,,,Trigger)</f>
        <v>8.3333333333333332E-3</v>
      </c>
      <c r="L18" s="323">
        <f>_xll.qlDayCounterYearFraction(DayCounterON,E18,F18,,,Trigger)</f>
        <v>8.21917808219178E-3</v>
      </c>
      <c r="M18" s="291">
        <f>($I18*$J18+$W$13*L18)/$K18</f>
        <v>1.3862997661072854E-3</v>
      </c>
      <c r="N18" s="291">
        <f>($I18*$J18+($W$10*L18+$W$9*L18^2/2))/$K18</f>
        <v>1.1861473997277266E-3</v>
      </c>
      <c r="O18" s="289">
        <f>($I18*$J18+($W$5*L18+$W$4*L18^2/2+$W$3*L18^3/3))/$K18</f>
        <v>1.2616274973602814E-3</v>
      </c>
      <c r="P18" s="272"/>
      <c r="AF18" s="290">
        <f>_xll.qlCalendarAdvance(Calendar,AF17,"1d","mf",,Trigger)</f>
        <v>41964</v>
      </c>
      <c r="AG18" s="301">
        <f>_xll.qlDayCounterYearFraction(DayCounterON,SettlementDate,AF18,,,Trigger)</f>
        <v>5.7534246575342465E-2</v>
      </c>
      <c r="AH18" s="291">
        <f t="shared" si="0"/>
        <v>8.90574851254045E-4</v>
      </c>
      <c r="AI18" s="291">
        <f t="shared" si="1"/>
        <v>7.7757847900977674E-4</v>
      </c>
      <c r="AJ18" s="261">
        <f t="shared" si="2"/>
        <v>7.9214221835987209E-4</v>
      </c>
    </row>
    <row r="19" spans="4:36" ht="11.25" customHeight="1" x14ac:dyDescent="0.2">
      <c r="D19" s="304" t="s">
        <v>49</v>
      </c>
      <c r="E19" s="258">
        <f>SettlementDate</f>
        <v>41943</v>
      </c>
      <c r="F19" s="300">
        <f>_xll.qlCalendarAdvance(Calendar,SettlementDate,D19,"Following",,Trigger)</f>
        <v>41950</v>
      </c>
      <c r="G19" s="301" t="str">
        <f>_xll.qlMakeDatedOIS(,E19,F19,OvernightIndex,0,,,,EvaluationDate)</f>
        <v>obj_00578#0000</v>
      </c>
      <c r="H19" s="309" t="b">
        <f>_xll.qlInstrumentSetPricingEngine(G19,OisEngine)</f>
        <v>1</v>
      </c>
      <c r="I19" s="260">
        <f>_xll.qlOvernightIndexedSwapFairRate(G19,_xll.ohTrigger(InterestRatesTrigger))</f>
        <v>3.9999999543484572E-4</v>
      </c>
      <c r="J19" s="323">
        <f>_xll.qlDayCounterYearFraction(DayCounterOIS,E19,F19,,,Trigger)</f>
        <v>1.9444444444444445E-2</v>
      </c>
      <c r="K19" s="323">
        <f>_xll.qlDayCounterYearFraction(DayCounter3M,E19,F19,,,Trigger)</f>
        <v>1.9444444444444445E-2</v>
      </c>
      <c r="L19" s="323">
        <f>_xll.qlDayCounterYearFraction(DayCounterON,E19,F19,,,Trigger)</f>
        <v>1.9178082191780823E-2</v>
      </c>
      <c r="M19" s="291">
        <f>($I19*$J19+$W$13*L19)/$K19</f>
        <v>1.2783751911922599E-3</v>
      </c>
      <c r="N19" s="291">
        <f t="shared" ref="N19:N24" si="4">($I19*$J19+($W$10*L19+$W$9*L19^2/2))/$K19</f>
        <v>1.0873206596481355E-3</v>
      </c>
      <c r="O19" s="261">
        <f t="shared" ref="O19:O24" si="5">($I19*$J19+($W$5*L19+$W$4*L19^2/2+$W$3*L19^3/3))/$K19</f>
        <v>1.1554177788010965E-3</v>
      </c>
      <c r="P19" s="272"/>
      <c r="AF19" s="290">
        <f>_xll.qlCalendarAdvance(Calendar,AF18,"1d","mf",,Trigger)</f>
        <v>41967</v>
      </c>
      <c r="AG19" s="301">
        <f>_xll.qlDayCounterYearFraction(DayCounterON,SettlementDate,AF19,,,Trigger)</f>
        <v>6.575342465753424E-2</v>
      </c>
      <c r="AH19" s="291">
        <f t="shared" si="0"/>
        <v>8.90574851254045E-4</v>
      </c>
      <c r="AI19" s="291">
        <f t="shared" si="1"/>
        <v>7.9141476948866674E-4</v>
      </c>
      <c r="AJ19" s="261">
        <f t="shared" si="2"/>
        <v>7.9886451295440837E-4</v>
      </c>
    </row>
    <row r="20" spans="4:36" ht="11.25" customHeight="1" x14ac:dyDescent="0.2">
      <c r="D20" s="304" t="s">
        <v>50</v>
      </c>
      <c r="E20" s="258">
        <f t="shared" si="3"/>
        <v>41943</v>
      </c>
      <c r="F20" s="300">
        <f>_xll.qlCalendarAdvance(Calendar,SettlementDate,D20,"Following",,Trigger)</f>
        <v>41957</v>
      </c>
      <c r="G20" s="301" t="str">
        <f>_xll.qlMakeDatedOIS(,E20,F20,OvernightIndex,0,,,,EvaluationDate)</f>
        <v>obj_0056b#0000</v>
      </c>
      <c r="H20" s="309" t="b">
        <f>_xll.qlInstrumentSetPricingEngine(G20,OisEngine)</f>
        <v>1</v>
      </c>
      <c r="I20" s="260">
        <f>_xll.qlOvernightIndexedSwapFairRate(G20,_xll.ohTrigger(InterestRatesTrigger))</f>
        <v>1.7999999389863217E-4</v>
      </c>
      <c r="J20" s="323">
        <f>_xll.qlDayCounterYearFraction(DayCounterOIS,E20,F20,,,Trigger)</f>
        <v>3.888888888888889E-2</v>
      </c>
      <c r="K20" s="323">
        <f>_xll.qlDayCounterYearFraction(DayCounter3M,E20,F20,,,Trigger)</f>
        <v>3.888888888888889E-2</v>
      </c>
      <c r="L20" s="323">
        <f>_xll.qlDayCounterYearFraction(DayCounterON,E20,F20,,,Trigger)</f>
        <v>3.8356164383561646E-2</v>
      </c>
      <c r="M20" s="291">
        <f t="shared" ref="M20:M24" si="6">($I20*$J20+$W$13*L20)/$K20</f>
        <v>1.0583751896560464E-3</v>
      </c>
      <c r="N20" s="291">
        <f t="shared" si="4"/>
        <v>8.8324186907393228E-4</v>
      </c>
      <c r="O20" s="261">
        <f t="shared" si="5"/>
        <v>9.3932445743883817E-4</v>
      </c>
      <c r="P20" s="272"/>
      <c r="AF20" s="290">
        <f>_xll.qlCalendarAdvance(Calendar,AF19,"1d","mf",,Trigger)</f>
        <v>41968</v>
      </c>
      <c r="AG20" s="301">
        <f>_xll.qlDayCounterYearFraction(DayCounterON,SettlementDate,AF20,,,Trigger)</f>
        <v>6.8493150684931503E-2</v>
      </c>
      <c r="AH20" s="291">
        <f t="shared" si="0"/>
        <v>8.90574851254045E-4</v>
      </c>
      <c r="AI20" s="291">
        <f t="shared" si="1"/>
        <v>7.9602686631496337E-4</v>
      </c>
      <c r="AJ20" s="261">
        <f t="shared" si="2"/>
        <v>8.0124838334574757E-4</v>
      </c>
    </row>
    <row r="21" spans="4:36" ht="11.25" customHeight="1" x14ac:dyDescent="0.2">
      <c r="D21" s="304" t="s">
        <v>51</v>
      </c>
      <c r="E21" s="258">
        <f t="shared" si="3"/>
        <v>41943</v>
      </c>
      <c r="F21" s="300">
        <f>_xll.qlCalendarAdvance(Calendar,SettlementDate,D21,"Following",,Trigger)</f>
        <v>41964</v>
      </c>
      <c r="G21" s="301" t="str">
        <f>_xll.qlMakeDatedOIS(,E21,F21,OvernightIndex,0,,,,EvaluationDate)</f>
        <v>obj_00579#0000</v>
      </c>
      <c r="H21" s="309" t="b">
        <f>_xll.qlInstrumentSetPricingEngine(G21,OisEngine)</f>
        <v>1</v>
      </c>
      <c r="I21" s="260">
        <f>_xll.qlOvernightIndexedSwapFairRate(G21,_xll.ohTrigger(InterestRatesTrigger))</f>
        <v>1.1999999085077208E-4</v>
      </c>
      <c r="J21" s="323">
        <f>_xll.qlDayCounterYearFraction(DayCounterOIS,E21,F21,,,Trigger)</f>
        <v>5.8333333333333334E-2</v>
      </c>
      <c r="K21" s="323">
        <f>_xll.qlDayCounterYearFraction(DayCounter3M,E21,F21,,,Trigger)</f>
        <v>5.8333333333333334E-2</v>
      </c>
      <c r="L21" s="323">
        <f>_xll.qlDayCounterYearFraction(DayCounterON,E21,F21,,,Trigger)</f>
        <v>5.7534246575342465E-2</v>
      </c>
      <c r="M21" s="291">
        <f t="shared" si="6"/>
        <v>9.9837518660818628E-4</v>
      </c>
      <c r="N21" s="291">
        <f t="shared" si="4"/>
        <v>8.3916307698808244E-4</v>
      </c>
      <c r="O21" s="261">
        <f t="shared" si="5"/>
        <v>8.8438382017559528E-4</v>
      </c>
      <c r="P21" s="272"/>
      <c r="AF21" s="290">
        <f>_xll.qlCalendarAdvance(Calendar,AF20,"1d","mf",,Trigger)</f>
        <v>41969</v>
      </c>
      <c r="AG21" s="301">
        <f>_xll.qlDayCounterYearFraction(DayCounterON,SettlementDate,AF21,,,Trigger)</f>
        <v>7.1232876712328766E-2</v>
      </c>
      <c r="AH21" s="291">
        <f t="shared" si="0"/>
        <v>8.90574851254045E-4</v>
      </c>
      <c r="AI21" s="291">
        <f t="shared" si="1"/>
        <v>8.0063896314126E-4</v>
      </c>
      <c r="AJ21" s="261">
        <f t="shared" si="2"/>
        <v>8.0370380650033376E-4</v>
      </c>
    </row>
    <row r="22" spans="4:36" ht="11.25" customHeight="1" x14ac:dyDescent="0.2">
      <c r="D22" s="304" t="s">
        <v>45</v>
      </c>
      <c r="E22" s="258">
        <f t="shared" si="3"/>
        <v>41943</v>
      </c>
      <c r="F22" s="300">
        <f>_xll.qlCalendarAdvance(Calendar,SettlementDate,D22,"mf",TRUE,Trigger)</f>
        <v>41971</v>
      </c>
      <c r="G22" s="301" t="str">
        <f>_xll.qlMakeDatedOIS(,E22,F22,OvernightIndex,0,,,,EvaluationDate)</f>
        <v>obj_00581#0000</v>
      </c>
      <c r="H22" s="309" t="b">
        <f>_xll.qlInstrumentSetPricingEngine(G22,OisEngine)</f>
        <v>1</v>
      </c>
      <c r="I22" s="260">
        <f>_xll.qlOvernightIndexedSwapFairRate(G22,_xll.ohTrigger(InterestRatesTrigger))</f>
        <v>8.9999987802347192E-5</v>
      </c>
      <c r="J22" s="323">
        <f>_xll.qlDayCounterYearFraction(DayCounterOIS,E22,F22,,,Trigger)</f>
        <v>7.7777777777777779E-2</v>
      </c>
      <c r="K22" s="323">
        <f>_xll.qlDayCounterYearFraction(DayCounter3M,E22,F22,,,Trigger)</f>
        <v>7.7777777777777779E-2</v>
      </c>
      <c r="L22" s="323">
        <f>_xll.qlDayCounterYearFraction(DayCounterON,E22,F22,,,Trigger)</f>
        <v>7.6712328767123292E-2</v>
      </c>
      <c r="M22" s="291">
        <f t="shared" si="6"/>
        <v>9.6837518355976152E-4</v>
      </c>
      <c r="N22" s="291">
        <f t="shared" si="4"/>
        <v>8.2508428490166803E-4</v>
      </c>
      <c r="O22" s="261">
        <f t="shared" si="5"/>
        <v>8.6059586852244984E-4</v>
      </c>
      <c r="P22" s="272"/>
      <c r="AF22" s="290">
        <f>_xll.qlCalendarAdvance(Calendar,AF21,"1d","mf",,Trigger)</f>
        <v>41970</v>
      </c>
      <c r="AG22" s="301">
        <f>_xll.qlDayCounterYearFraction(DayCounterON,SettlementDate,AF22,,,Trigger)</f>
        <v>7.3972602739726029E-2</v>
      </c>
      <c r="AH22" s="291">
        <f t="shared" si="0"/>
        <v>8.90574851254045E-4</v>
      </c>
      <c r="AI22" s="291">
        <f t="shared" si="1"/>
        <v>8.0525105996755663E-4</v>
      </c>
      <c r="AJ22" s="261">
        <f t="shared" si="2"/>
        <v>8.0623078241816673E-4</v>
      </c>
    </row>
    <row r="23" spans="4:36" ht="11.25" customHeight="1" x14ac:dyDescent="0.2">
      <c r="D23" s="304" t="s">
        <v>52</v>
      </c>
      <c r="E23" s="258">
        <f t="shared" si="3"/>
        <v>41943</v>
      </c>
      <c r="F23" s="300">
        <f>_xll.qlCalendarAdvance(Calendar,SettlementDate,D23,"mf",TRUE,Trigger)</f>
        <v>42004</v>
      </c>
      <c r="G23" s="301" t="str">
        <f>_xll.qlMakeDatedOIS(,E23,F23,OvernightIndex,0,,,,EvaluationDate)</f>
        <v>obj_00570#0000</v>
      </c>
      <c r="H23" s="309" t="b">
        <f>_xll.qlInstrumentSetPricingEngine(G23,OisEngine)</f>
        <v>1</v>
      </c>
      <c r="I23" s="260">
        <f>_xll.qlOvernightIndexedSwapFairRate(G23,_xll.ohTrigger(InterestRatesTrigger))</f>
        <v>4.9999999999999955E-5</v>
      </c>
      <c r="J23" s="323">
        <f>_xll.qlDayCounterYearFraction(DayCounterOIS,E23,F23,,,Trigger)</f>
        <v>0.16944444444444445</v>
      </c>
      <c r="K23" s="323">
        <f>_xll.qlDayCounterYearFraction(DayCounter3M,E23,F23,,,Trigger)</f>
        <v>0.16944444444444445</v>
      </c>
      <c r="L23" s="323">
        <f>_xll.qlDayCounterYearFraction(DayCounterON,E23,F23,,,Trigger)</f>
        <v>0.16712328767123288</v>
      </c>
      <c r="M23" s="291">
        <f t="shared" si="6"/>
        <v>9.2837519575741424E-4</v>
      </c>
      <c r="N23" s="291">
        <f t="shared" si="4"/>
        <v>8.6014143449165525E-4</v>
      </c>
      <c r="O23" s="261">
        <f t="shared" si="5"/>
        <v>8.6540723531901146E-4</v>
      </c>
      <c r="P23" s="272"/>
      <c r="AF23" s="290">
        <f>_xll.qlCalendarAdvance(Calendar,AF22,"1d","mf",,Trigger)</f>
        <v>41971</v>
      </c>
      <c r="AG23" s="301">
        <f>_xll.qlDayCounterYearFraction(DayCounterON,SettlementDate,AF23,,,Trigger)</f>
        <v>7.6712328767123292E-2</v>
      </c>
      <c r="AH23" s="291">
        <f t="shared" si="0"/>
        <v>8.90574851254045E-4</v>
      </c>
      <c r="AI23" s="291">
        <f t="shared" si="1"/>
        <v>8.0986315679385337E-4</v>
      </c>
      <c r="AJ23" s="261">
        <f t="shared" si="2"/>
        <v>8.0882931109924668E-4</v>
      </c>
    </row>
    <row r="24" spans="4:36" ht="11.25" customHeight="1" thickBot="1" x14ac:dyDescent="0.25">
      <c r="D24" s="305" t="s">
        <v>46</v>
      </c>
      <c r="E24" s="263">
        <f t="shared" si="3"/>
        <v>41943</v>
      </c>
      <c r="F24" s="302">
        <f>_xll.qlCalendarAdvance(Calendar,SettlementDate,D24,"mf",TRUE,Trigger)</f>
        <v>42034</v>
      </c>
      <c r="G24" s="303" t="str">
        <f>_xll.qlMakeDatedOIS(,E24,F24,OvernightIndex,0,,,,EvaluationDate)</f>
        <v>obj_00571#0000</v>
      </c>
      <c r="H24" s="310" t="b">
        <f>_xll.qlInstrumentSetPricingEngine(G24,OisEngine)</f>
        <v>1</v>
      </c>
      <c r="I24" s="265">
        <f>_xll.qlOvernightIndexedSwapFairRate(G24,_xll.ohTrigger(InterestRatesTrigger))</f>
        <v>-1.7921313597080646E-5</v>
      </c>
      <c r="J24" s="326">
        <f>_xll.qlDayCounterYearFraction(DayCounterOIS,E24,F24,,,Trigger)</f>
        <v>0.25277777777777777</v>
      </c>
      <c r="K24" s="326">
        <f>_xll.qlDayCounterYearFraction(DayCounter3M,E24,F24,,,Trigger)</f>
        <v>0.25277777777777777</v>
      </c>
      <c r="L24" s="326">
        <f>_xll.qlDayCounterYearFraction(DayCounterON,E24,F24,,,Trigger)</f>
        <v>0.24931506849315069</v>
      </c>
      <c r="M24" s="293">
        <f t="shared" si="6"/>
        <v>8.6045388216033367E-4</v>
      </c>
      <c r="N24" s="293">
        <f t="shared" si="4"/>
        <v>8.6045388216033334E-4</v>
      </c>
      <c r="O24" s="266">
        <f t="shared" si="5"/>
        <v>8.6045388216033139E-4</v>
      </c>
      <c r="P24" s="272"/>
      <c r="AF24" s="290">
        <f>_xll.qlCalendarAdvance(Calendar,AF23,"1d","mf",,Trigger)</f>
        <v>41974</v>
      </c>
      <c r="AG24" s="301">
        <f>_xll.qlDayCounterYearFraction(DayCounterON,SettlementDate,AF24,,,Trigger)</f>
        <v>8.4931506849315067E-2</v>
      </c>
      <c r="AH24" s="291">
        <f t="shared" si="0"/>
        <v>8.90574851254045E-4</v>
      </c>
      <c r="AI24" s="291">
        <f t="shared" si="1"/>
        <v>8.2369944727274326E-4</v>
      </c>
      <c r="AJ24" s="261">
        <f t="shared" si="2"/>
        <v>8.1705421372196742E-4</v>
      </c>
    </row>
    <row r="25" spans="4:36" x14ac:dyDescent="0.2">
      <c r="P25" s="272"/>
      <c r="AF25" s="290">
        <f>_xll.qlCalendarAdvance(Calendar,AF24,"1d","mf",,Trigger)</f>
        <v>41975</v>
      </c>
      <c r="AG25" s="301">
        <f>_xll.qlDayCounterYearFraction(DayCounterON,SettlementDate,AF25,,,Trigger)</f>
        <v>8.7671232876712329E-2</v>
      </c>
      <c r="AH25" s="291">
        <f t="shared" si="0"/>
        <v>8.90574851254045E-4</v>
      </c>
      <c r="AI25" s="291">
        <f t="shared" si="1"/>
        <v>8.2831154409903989E-4</v>
      </c>
      <c r="AJ25" s="261">
        <f t="shared" si="2"/>
        <v>8.1993895345603492E-4</v>
      </c>
    </row>
    <row r="26" spans="4:36" x14ac:dyDescent="0.2">
      <c r="P26" s="272"/>
      <c r="AF26" s="290">
        <f>_xll.qlCalendarAdvance(Calendar,AF25,"1d","mf",,Trigger)</f>
        <v>41976</v>
      </c>
      <c r="AG26" s="301">
        <f>_xll.qlDayCounterYearFraction(DayCounterON,SettlementDate,AF26,,,Trigger)</f>
        <v>9.0410958904109592E-2</v>
      </c>
      <c r="AH26" s="291">
        <f t="shared" si="0"/>
        <v>8.90574851254045E-4</v>
      </c>
      <c r="AI26" s="291">
        <f t="shared" si="1"/>
        <v>8.3292364092533663E-4</v>
      </c>
      <c r="AJ26" s="261">
        <f t="shared" si="2"/>
        <v>8.2289524595334919E-4</v>
      </c>
    </row>
    <row r="27" spans="4:36" x14ac:dyDescent="0.2">
      <c r="P27" s="272"/>
      <c r="AF27" s="290">
        <f>_xll.qlCalendarAdvance(Calendar,AF26,"1d","mf",,Trigger)</f>
        <v>41977</v>
      </c>
      <c r="AG27" s="301">
        <f>_xll.qlDayCounterYearFraction(DayCounterON,SettlementDate,AF27,,,Trigger)</f>
        <v>9.3150684931506855E-2</v>
      </c>
      <c r="AH27" s="291">
        <f t="shared" si="0"/>
        <v>8.90574851254045E-4</v>
      </c>
      <c r="AI27" s="291">
        <f t="shared" si="1"/>
        <v>8.3753573775163326E-4</v>
      </c>
      <c r="AJ27" s="261">
        <f t="shared" si="2"/>
        <v>8.2592309121391023E-4</v>
      </c>
    </row>
    <row r="28" spans="4:36" x14ac:dyDescent="0.2">
      <c r="AF28" s="290">
        <f>_xll.qlCalendarAdvance(Calendar,AF27,"1d","mf",,Trigger)</f>
        <v>41978</v>
      </c>
      <c r="AG28" s="301">
        <f>_xll.qlDayCounterYearFraction(DayCounterON,SettlementDate,AF28,,,Trigger)</f>
        <v>9.5890410958904104E-2</v>
      </c>
      <c r="AH28" s="291">
        <f t="shared" si="0"/>
        <v>8.90574851254045E-4</v>
      </c>
      <c r="AI28" s="291">
        <f t="shared" si="1"/>
        <v>8.4214783457792989E-4</v>
      </c>
      <c r="AJ28" s="261">
        <f t="shared" si="2"/>
        <v>8.2902248923771827E-4</v>
      </c>
    </row>
    <row r="29" spans="4:36" ht="12" thickBot="1" x14ac:dyDescent="0.25">
      <c r="AF29" s="290">
        <f>_xll.qlCalendarAdvance(Calendar,AF28,"1d","mf",,Trigger)</f>
        <v>41981</v>
      </c>
      <c r="AG29" s="301">
        <f>_xll.qlDayCounterYearFraction(DayCounterON,SettlementDate,AF29,,,Trigger)</f>
        <v>0.10410958904109589</v>
      </c>
      <c r="AH29" s="291">
        <f t="shared" si="0"/>
        <v>8.90574851254045E-4</v>
      </c>
      <c r="AI29" s="291">
        <f t="shared" si="1"/>
        <v>8.5598412505681989E-4</v>
      </c>
      <c r="AJ29" s="261">
        <f t="shared" si="2"/>
        <v>8.3874999988862368E-4</v>
      </c>
    </row>
    <row r="30" spans="4:36" ht="12.75" customHeight="1" x14ac:dyDescent="0.2">
      <c r="D30" s="331" t="s">
        <v>167</v>
      </c>
      <c r="AF30" s="290">
        <f>_xll.qlCalendarAdvance(Calendar,AF29,"1d","mf",,Trigger)</f>
        <v>41982</v>
      </c>
      <c r="AG30" s="301">
        <f>_xll.qlDayCounterYearFraction(DayCounterON,SettlementDate,AF30,,,Trigger)</f>
        <v>0.10684931506849316</v>
      </c>
      <c r="AH30" s="291">
        <f t="shared" si="0"/>
        <v>8.90574851254045E-4</v>
      </c>
      <c r="AI30" s="291">
        <f t="shared" si="1"/>
        <v>8.6059622188311652E-4</v>
      </c>
      <c r="AJ30" s="261">
        <f t="shared" si="2"/>
        <v>8.4213560896541926E-4</v>
      </c>
    </row>
    <row r="31" spans="4:36" x14ac:dyDescent="0.2">
      <c r="D31" s="335" t="s">
        <v>124</v>
      </c>
      <c r="AF31" s="290">
        <f>_xll.qlCalendarAdvance(Calendar,AF30,"1d","mf",,Trigger)</f>
        <v>41983</v>
      </c>
      <c r="AG31" s="301">
        <f>_xll.qlDayCounterYearFraction(DayCounterON,SettlementDate,AF31,,,Trigger)</f>
        <v>0.1095890410958904</v>
      </c>
      <c r="AH31" s="291">
        <f t="shared" si="0"/>
        <v>8.90574851254045E-4</v>
      </c>
      <c r="AI31" s="291">
        <f t="shared" si="1"/>
        <v>8.6520831870941315E-4</v>
      </c>
      <c r="AJ31" s="261">
        <f t="shared" si="2"/>
        <v>8.4559277080546171E-4</v>
      </c>
    </row>
    <row r="32" spans="4:36" x14ac:dyDescent="0.2">
      <c r="D32" s="291">
        <f t="shared" ref="D32:D38" si="7">IF($D$31="FLAT",M18,IF($D$31="linear",N18,O18))</f>
        <v>1.2616274973602814E-3</v>
      </c>
      <c r="AF32" s="290">
        <f>_xll.qlCalendarAdvance(Calendar,AF31,"1d","mf",,Trigger)</f>
        <v>41984</v>
      </c>
      <c r="AG32" s="301">
        <f>_xll.qlDayCounterYearFraction(DayCounterON,SettlementDate,AF32,,,Trigger)</f>
        <v>0.11232876712328767</v>
      </c>
      <c r="AH32" s="291">
        <f t="shared" si="0"/>
        <v>8.90574851254045E-4</v>
      </c>
      <c r="AI32" s="291">
        <f t="shared" si="1"/>
        <v>8.6982041553570978E-4</v>
      </c>
      <c r="AJ32" s="261">
        <f t="shared" si="2"/>
        <v>8.4912148540875105E-4</v>
      </c>
    </row>
    <row r="33" spans="4:36" x14ac:dyDescent="0.2">
      <c r="D33" s="291">
        <f t="shared" si="7"/>
        <v>1.1554177788010965E-3</v>
      </c>
      <c r="AF33" s="290">
        <f>_xll.qlCalendarAdvance(Calendar,AF32,"1d","mf",,Trigger)</f>
        <v>41985</v>
      </c>
      <c r="AG33" s="301">
        <f>_xll.qlDayCounterYearFraction(DayCounterON,SettlementDate,AF33,,,Trigger)</f>
        <v>0.11506849315068493</v>
      </c>
      <c r="AH33" s="291">
        <f t="shared" si="0"/>
        <v>8.90574851254045E-4</v>
      </c>
      <c r="AI33" s="291">
        <f t="shared" si="1"/>
        <v>8.7443251236200641E-4</v>
      </c>
      <c r="AJ33" s="261">
        <f t="shared" si="2"/>
        <v>8.5272175277528717E-4</v>
      </c>
    </row>
    <row r="34" spans="4:36" x14ac:dyDescent="0.2">
      <c r="D34" s="291">
        <f t="shared" si="7"/>
        <v>9.3932445743883817E-4</v>
      </c>
      <c r="AF34" s="290">
        <f>_xll.qlCalendarAdvance(Calendar,AF33,"1d","mf",,Trigger)</f>
        <v>41988</v>
      </c>
      <c r="AG34" s="301">
        <f>_xll.qlDayCounterYearFraction(DayCounterON,SettlementDate,AF34,,,Trigger)</f>
        <v>0.12328767123287671</v>
      </c>
      <c r="AH34" s="291">
        <f t="shared" si="0"/>
        <v>8.90574851254045E-4</v>
      </c>
      <c r="AI34" s="291">
        <f t="shared" si="1"/>
        <v>8.8826880284089641E-4</v>
      </c>
      <c r="AJ34" s="261">
        <f t="shared" si="2"/>
        <v>8.6395187145437726E-4</v>
      </c>
    </row>
    <row r="35" spans="4:36" x14ac:dyDescent="0.2">
      <c r="D35" s="291">
        <f t="shared" si="7"/>
        <v>8.8438382017559528E-4</v>
      </c>
      <c r="AF35" s="290">
        <f>_xll.qlCalendarAdvance(Calendar,AF34,"1d","mf",,Trigger)</f>
        <v>41989</v>
      </c>
      <c r="AG35" s="301">
        <f>_xll.qlDayCounterYearFraction(DayCounterON,SettlementDate,AF35,,,Trigger)</f>
        <v>0.12602739726027398</v>
      </c>
      <c r="AH35" s="291">
        <f t="shared" si="0"/>
        <v>8.90574851254045E-4</v>
      </c>
      <c r="AI35" s="291">
        <f t="shared" si="1"/>
        <v>8.9288089966719304E-4</v>
      </c>
      <c r="AJ35" s="261">
        <f t="shared" si="2"/>
        <v>8.6783834987390102E-4</v>
      </c>
    </row>
    <row r="36" spans="4:36" x14ac:dyDescent="0.2">
      <c r="D36" s="291">
        <f t="shared" si="7"/>
        <v>8.6059586852244984E-4</v>
      </c>
      <c r="AF36" s="290">
        <f>_xll.qlCalendarAdvance(Calendar,AF35,"1d","mf",,Trigger)</f>
        <v>41990</v>
      </c>
      <c r="AG36" s="301">
        <f>_xll.qlDayCounterYearFraction(DayCounterON,SettlementDate,AF36,,,Trigger)</f>
        <v>0.12876712328767123</v>
      </c>
      <c r="AH36" s="291">
        <f t="shared" si="0"/>
        <v>8.90574851254045E-4</v>
      </c>
      <c r="AI36" s="291">
        <f t="shared" si="1"/>
        <v>8.9749299649348967E-4</v>
      </c>
      <c r="AJ36" s="261">
        <f t="shared" si="2"/>
        <v>8.7179638105667155E-4</v>
      </c>
    </row>
    <row r="37" spans="4:36" x14ac:dyDescent="0.2">
      <c r="D37" s="291">
        <f t="shared" si="7"/>
        <v>8.6540723531901146E-4</v>
      </c>
      <c r="AF37" s="290">
        <f>_xll.qlCalendarAdvance(Calendar,AF36,"1d","mf",,Trigger)</f>
        <v>41991</v>
      </c>
      <c r="AG37" s="301">
        <f>_xll.qlDayCounterYearFraction(DayCounterON,SettlementDate,AF37,,,Trigger)</f>
        <v>0.13150684931506848</v>
      </c>
      <c r="AH37" s="291">
        <f t="shared" si="0"/>
        <v>8.90574851254045E-4</v>
      </c>
      <c r="AI37" s="291">
        <f t="shared" si="1"/>
        <v>9.0210509331978641E-4</v>
      </c>
      <c r="AJ37" s="261">
        <f t="shared" si="2"/>
        <v>8.7582596500268908E-4</v>
      </c>
    </row>
    <row r="38" spans="4:36" x14ac:dyDescent="0.2">
      <c r="D38" s="336">
        <f t="shared" si="7"/>
        <v>8.6045388216033139E-4</v>
      </c>
      <c r="AF38" s="290">
        <f>_xll.qlCalendarAdvance(Calendar,AF37,"1d","mf",,Trigger)</f>
        <v>41992</v>
      </c>
      <c r="AG38" s="301">
        <f>_xll.qlDayCounterYearFraction(DayCounterON,SettlementDate,AF38,,,Trigger)</f>
        <v>0.13424657534246576</v>
      </c>
      <c r="AH38" s="291">
        <f t="shared" si="0"/>
        <v>8.90574851254045E-4</v>
      </c>
      <c r="AI38" s="291">
        <f t="shared" si="1"/>
        <v>9.0671719014608304E-4</v>
      </c>
      <c r="AJ38" s="261">
        <f t="shared" si="2"/>
        <v>8.799271017119535E-4</v>
      </c>
    </row>
    <row r="39" spans="4:36" x14ac:dyDescent="0.2">
      <c r="AF39" s="290">
        <f>_xll.qlCalendarAdvance(Calendar,AF38,"1d","mf",,Trigger)</f>
        <v>41995</v>
      </c>
      <c r="AG39" s="301">
        <f>_xll.qlDayCounterYearFraction(DayCounterON,SettlementDate,AF39,,,Trigger)</f>
        <v>0.14246575342465753</v>
      </c>
      <c r="AH39" s="291">
        <f t="shared" si="0"/>
        <v>8.90574851254045E-4</v>
      </c>
      <c r="AI39" s="291">
        <f t="shared" si="1"/>
        <v>9.2055348062497293E-4</v>
      </c>
      <c r="AJ39" s="261">
        <f t="shared" si="2"/>
        <v>8.9265982841922793E-4</v>
      </c>
    </row>
    <row r="40" spans="4:36" x14ac:dyDescent="0.2">
      <c r="AF40" s="290">
        <f>_xll.qlCalendarAdvance(Calendar,AF39,"1d","mf",,Trigger)</f>
        <v>41996</v>
      </c>
      <c r="AG40" s="301">
        <f>_xll.qlDayCounterYearFraction(DayCounterON,SettlementDate,AF40,,,Trigger)</f>
        <v>0.14520547945205478</v>
      </c>
      <c r="AH40" s="291">
        <f t="shared" si="0"/>
        <v>8.90574851254045E-4</v>
      </c>
      <c r="AI40" s="291">
        <f t="shared" si="1"/>
        <v>9.2516557745126967E-4</v>
      </c>
      <c r="AJ40" s="261">
        <f t="shared" si="2"/>
        <v>8.9704717618147977E-4</v>
      </c>
    </row>
    <row r="41" spans="4:36" x14ac:dyDescent="0.2">
      <c r="AF41" s="290">
        <f>_xll.qlCalendarAdvance(Calendar,AF40,"1d","mf",,Trigger)</f>
        <v>41997</v>
      </c>
      <c r="AG41" s="301">
        <f>_xll.qlDayCounterYearFraction(DayCounterON,SettlementDate,AF41,,,Trigger)</f>
        <v>0.14794520547945206</v>
      </c>
      <c r="AH41" s="291">
        <f t="shared" si="0"/>
        <v>8.90574851254045E-4</v>
      </c>
      <c r="AI41" s="291">
        <f t="shared" si="1"/>
        <v>9.297776742775663E-4</v>
      </c>
      <c r="AJ41" s="261">
        <f t="shared" si="2"/>
        <v>9.015060767069786E-4</v>
      </c>
    </row>
    <row r="42" spans="4:36" x14ac:dyDescent="0.2">
      <c r="AF42" s="290">
        <f>_xll.qlCalendarAdvance(Calendar,AF41,"1d","mf",,Trigger)</f>
        <v>42002</v>
      </c>
      <c r="AG42" s="301">
        <f>_xll.qlDayCounterYearFraction(DayCounterON,SettlementDate,AF42,,,Trigger)</f>
        <v>0.16164383561643836</v>
      </c>
      <c r="AH42" s="291">
        <f t="shared" si="0"/>
        <v>8.90574851254045E-4</v>
      </c>
      <c r="AI42" s="291">
        <f t="shared" si="1"/>
        <v>9.5283815840904956E-4</v>
      </c>
      <c r="AJ42" s="261">
        <f t="shared" si="2"/>
        <v>9.2487387078317581E-4</v>
      </c>
    </row>
    <row r="43" spans="4:36" ht="11.25" customHeight="1" x14ac:dyDescent="0.2">
      <c r="N43" s="333"/>
      <c r="AF43" s="290">
        <f>_xll.qlCalendarAdvance(Calendar,AF42,"1d","mf",,Trigger)</f>
        <v>42003</v>
      </c>
      <c r="AG43" s="301">
        <f>_xll.qlDayCounterYearFraction(DayCounterON,SettlementDate,AF43,,,Trigger)</f>
        <v>0.16438356164383561</v>
      </c>
      <c r="AH43" s="291">
        <f t="shared" si="0"/>
        <v>8.90574851254045E-4</v>
      </c>
      <c r="AI43" s="291">
        <f t="shared" si="1"/>
        <v>9.5745025523534619E-4</v>
      </c>
      <c r="AJ43" s="261">
        <f t="shared" si="2"/>
        <v>9.2976208788815584E-4</v>
      </c>
    </row>
    <row r="44" spans="4:36" x14ac:dyDescent="0.2">
      <c r="J44" s="272"/>
      <c r="K44" s="272"/>
      <c r="N44" s="333"/>
      <c r="AF44" s="290">
        <f>_xll.qlCalendarAdvance(Calendar,AF43,"1d","mf",,Trigger)</f>
        <v>42004</v>
      </c>
      <c r="AG44" s="301">
        <f>_xll.qlDayCounterYearFraction(DayCounterON,SettlementDate,AF44,,,Trigger)</f>
        <v>0.16712328767123288</v>
      </c>
      <c r="AH44" s="291">
        <f t="shared" si="0"/>
        <v>8.90574851254045E-4</v>
      </c>
      <c r="AI44" s="291">
        <f t="shared" si="1"/>
        <v>9.6206235206164293E-4</v>
      </c>
      <c r="AJ44" s="261">
        <f t="shared" si="2"/>
        <v>9.3472185775638286E-4</v>
      </c>
    </row>
    <row r="45" spans="4:36" x14ac:dyDescent="0.2">
      <c r="N45" s="333"/>
      <c r="AF45" s="290">
        <f>_xll.qlCalendarAdvance(Calendar,AF44,"1d","mf",,Trigger)</f>
        <v>42006</v>
      </c>
      <c r="AG45" s="301">
        <f>_xll.qlDayCounterYearFraction(DayCounterON,SettlementDate,AF45,,,Trigger)</f>
        <v>0.17260273972602741</v>
      </c>
      <c r="AH45" s="291">
        <f t="shared" si="0"/>
        <v>8.90574851254045E-4</v>
      </c>
      <c r="AI45" s="291">
        <f t="shared" si="1"/>
        <v>9.7128654571423619E-4</v>
      </c>
      <c r="AJ45" s="261">
        <f t="shared" si="2"/>
        <v>9.4485605578257755E-4</v>
      </c>
    </row>
    <row r="46" spans="4:36" x14ac:dyDescent="0.2">
      <c r="N46" s="333"/>
      <c r="AF46" s="290">
        <f>_xll.qlCalendarAdvance(Calendar,AF45,"1d","mf",,Trigger)</f>
        <v>42009</v>
      </c>
      <c r="AG46" s="301">
        <f>_xll.qlDayCounterYearFraction(DayCounterON,SettlementDate,AF46,,,Trigger)</f>
        <v>0.18082191780821918</v>
      </c>
      <c r="AH46" s="291">
        <f t="shared" si="0"/>
        <v>8.90574851254045E-4</v>
      </c>
      <c r="AI46" s="291">
        <f t="shared" si="1"/>
        <v>9.8512283619312619E-4</v>
      </c>
      <c r="AJ46" s="261">
        <f t="shared" si="2"/>
        <v>9.6059399854622101E-4</v>
      </c>
    </row>
    <row r="47" spans="4:36" x14ac:dyDescent="0.2">
      <c r="N47" s="333"/>
      <c r="AF47" s="290">
        <f>_xll.qlCalendarAdvance(Calendar,AF46,"1d","mf",,Trigger)</f>
        <v>42010</v>
      </c>
      <c r="AG47" s="301">
        <f>_xll.qlDayCounterYearFraction(DayCounterON,SettlementDate,AF47,,,Trigger)</f>
        <v>0.18356164383561643</v>
      </c>
      <c r="AH47" s="291">
        <f t="shared" si="0"/>
        <v>8.90574851254045E-4</v>
      </c>
      <c r="AI47" s="291">
        <f t="shared" si="1"/>
        <v>9.8973493301942272E-4</v>
      </c>
      <c r="AJ47" s="261">
        <f t="shared" si="2"/>
        <v>9.6598308499392922E-4</v>
      </c>
    </row>
    <row r="48" spans="4:36" x14ac:dyDescent="0.2">
      <c r="AF48" s="290">
        <f>_xll.qlCalendarAdvance(Calendar,AF47,"1d","mf",,Trigger)</f>
        <v>42011</v>
      </c>
      <c r="AG48" s="301">
        <f>_xll.qlDayCounterYearFraction(DayCounterON,SettlementDate,AF48,,,Trigger)</f>
        <v>0.18630136986301371</v>
      </c>
      <c r="AH48" s="291">
        <f t="shared" si="0"/>
        <v>8.90574851254045E-4</v>
      </c>
      <c r="AI48" s="291">
        <f t="shared" si="1"/>
        <v>9.9434702984571945E-4</v>
      </c>
      <c r="AJ48" s="261">
        <f t="shared" si="2"/>
        <v>9.7144372420488443E-4</v>
      </c>
    </row>
    <row r="49" spans="10:36" x14ac:dyDescent="0.2">
      <c r="AF49" s="290">
        <f>_xll.qlCalendarAdvance(Calendar,AF48,"1d","mf",,Trigger)</f>
        <v>42012</v>
      </c>
      <c r="AG49" s="301">
        <f>_xll.qlDayCounterYearFraction(DayCounterON,SettlementDate,AF49,,,Trigger)</f>
        <v>0.18904109589041096</v>
      </c>
      <c r="AH49" s="291">
        <f t="shared" si="0"/>
        <v>8.90574851254045E-4</v>
      </c>
      <c r="AI49" s="291">
        <f t="shared" si="1"/>
        <v>9.9895912667201598E-4</v>
      </c>
      <c r="AJ49" s="261">
        <f t="shared" si="2"/>
        <v>9.7697591617908631E-4</v>
      </c>
    </row>
    <row r="50" spans="10:36" x14ac:dyDescent="0.2">
      <c r="AF50" s="290">
        <f>_xll.qlCalendarAdvance(Calendar,AF49,"1d","mf",,Trigger)</f>
        <v>42013</v>
      </c>
      <c r="AG50" s="301">
        <f>_xll.qlDayCounterYearFraction(DayCounterON,SettlementDate,AF50,,,Trigger)</f>
        <v>0.19178082191780821</v>
      </c>
      <c r="AH50" s="291">
        <f t="shared" si="0"/>
        <v>8.90574851254045E-4</v>
      </c>
      <c r="AI50" s="291">
        <f t="shared" si="1"/>
        <v>1.0035712234983127E-3</v>
      </c>
      <c r="AJ50" s="261">
        <f t="shared" si="2"/>
        <v>9.8257966091653539E-4</v>
      </c>
    </row>
    <row r="51" spans="10:36" x14ac:dyDescent="0.2">
      <c r="AF51" s="290">
        <f>_xll.qlCalendarAdvance(Calendar,AF50,"1d","mf",,Trigger)</f>
        <v>42016</v>
      </c>
      <c r="AG51" s="301">
        <f>_xll.qlDayCounterYearFraction(DayCounterON,SettlementDate,AF51,,,Trigger)</f>
        <v>0.2</v>
      </c>
      <c r="AH51" s="291">
        <f t="shared" si="0"/>
        <v>8.90574851254045E-4</v>
      </c>
      <c r="AI51" s="291">
        <f t="shared" si="1"/>
        <v>1.0174075139772027E-3</v>
      </c>
      <c r="AJ51" s="261">
        <f t="shared" si="2"/>
        <v>9.998202117083633E-4</v>
      </c>
    </row>
    <row r="52" spans="10:36" x14ac:dyDescent="0.2">
      <c r="AF52" s="290">
        <f>_xll.qlCalendarAdvance(Calendar,AF51,"1d","mf",,Trigger)</f>
        <v>42017</v>
      </c>
      <c r="AG52" s="301">
        <f>_xll.qlDayCounterYearFraction(DayCounterON,SettlementDate,AF52,,,Trigger)</f>
        <v>0.20273972602739726</v>
      </c>
      <c r="AH52" s="291">
        <f t="shared" si="0"/>
        <v>8.90574851254045E-4</v>
      </c>
      <c r="AI52" s="291">
        <f t="shared" si="1"/>
        <v>1.0220196108034992E-3</v>
      </c>
      <c r="AJ52" s="261">
        <f t="shared" si="2"/>
        <v>1.0057101674987997E-3</v>
      </c>
    </row>
    <row r="53" spans="10:36" x14ac:dyDescent="0.2">
      <c r="AF53" s="290">
        <f>_xll.qlCalendarAdvance(Calendar,AF52,"1d","mf",,Trigger)</f>
        <v>42018</v>
      </c>
      <c r="AG53" s="301">
        <f>_xll.qlDayCounterYearFraction(DayCounterON,SettlementDate,AF53,,,Trigger)</f>
        <v>0.20547945205479451</v>
      </c>
      <c r="AH53" s="291">
        <f t="shared" si="0"/>
        <v>8.90574851254045E-4</v>
      </c>
      <c r="AI53" s="291">
        <f t="shared" si="1"/>
        <v>1.026631707629796E-3</v>
      </c>
      <c r="AJ53" s="261">
        <f t="shared" si="2"/>
        <v>1.0116716760524831E-3</v>
      </c>
    </row>
    <row r="54" spans="10:36" x14ac:dyDescent="0.2">
      <c r="AF54" s="290">
        <f>_xll.qlCalendarAdvance(Calendar,AF53,"1d","mf",,Trigger)</f>
        <v>42019</v>
      </c>
      <c r="AG54" s="301">
        <f>_xll.qlDayCounterYearFraction(DayCounterON,SettlementDate,AF54,,,Trigger)</f>
        <v>0.20821917808219179</v>
      </c>
      <c r="AH54" s="291">
        <f t="shared" si="0"/>
        <v>8.90574851254045E-4</v>
      </c>
      <c r="AI54" s="291">
        <f t="shared" si="1"/>
        <v>1.0312438044560927E-3</v>
      </c>
      <c r="AJ54" s="261">
        <f t="shared" si="2"/>
        <v>1.0177047373694133E-3</v>
      </c>
    </row>
    <row r="55" spans="10:36" x14ac:dyDescent="0.2">
      <c r="AF55" s="290">
        <f>_xll.qlCalendarAdvance(Calendar,AF54,"1d","mf",,Trigger)</f>
        <v>42020</v>
      </c>
      <c r="AG55" s="301">
        <f>_xll.qlDayCounterYearFraction(DayCounterON,SettlementDate,AF55,,,Trigger)</f>
        <v>0.21095890410958903</v>
      </c>
      <c r="AH55" s="291">
        <f t="shared" si="0"/>
        <v>8.90574851254045E-4</v>
      </c>
      <c r="AI55" s="291">
        <f t="shared" si="1"/>
        <v>1.0358559012823892E-3</v>
      </c>
      <c r="AJ55" s="261">
        <f t="shared" si="2"/>
        <v>1.0238093514495904E-3</v>
      </c>
    </row>
    <row r="56" spans="10:36" x14ac:dyDescent="0.2">
      <c r="AF56" s="290">
        <f>_xll.qlCalendarAdvance(Calendar,AF55,"1d","mf",,Trigger)</f>
        <v>42023</v>
      </c>
      <c r="AG56" s="301">
        <f>_xll.qlDayCounterYearFraction(DayCounterON,SettlementDate,AF56,,,Trigger)</f>
        <v>0.21917808219178081</v>
      </c>
      <c r="AH56" s="291">
        <f t="shared" si="0"/>
        <v>8.90574851254045E-4</v>
      </c>
      <c r="AI56" s="291">
        <f t="shared" si="1"/>
        <v>1.0496921917612792E-3</v>
      </c>
      <c r="AJ56" s="261">
        <f t="shared" si="2"/>
        <v>1.042552510269603E-3</v>
      </c>
    </row>
    <row r="57" spans="10:36" x14ac:dyDescent="0.2">
      <c r="AF57" s="290">
        <f>_xll.qlCalendarAdvance(Calendar,AF56,"1d","mf",,Trigger)</f>
        <v>42024</v>
      </c>
      <c r="AG57" s="301">
        <f>_xll.qlDayCounterYearFraction(DayCounterON,SettlementDate,AF57,,,Trigger)</f>
        <v>0.22191780821917809</v>
      </c>
      <c r="AH57" s="291">
        <f t="shared" si="0"/>
        <v>8.90574851254045E-4</v>
      </c>
      <c r="AI57" s="291">
        <f t="shared" si="1"/>
        <v>1.054304288587576E-3</v>
      </c>
      <c r="AJ57" s="261">
        <f t="shared" si="2"/>
        <v>1.0489433354027677E-3</v>
      </c>
    </row>
    <row r="58" spans="10:36" x14ac:dyDescent="0.2">
      <c r="AF58" s="290">
        <f>_xll.qlCalendarAdvance(Calendar,AF57,"1d","mf",,Trigger)</f>
        <v>42025</v>
      </c>
      <c r="AG58" s="301">
        <f>_xll.qlDayCounterYearFraction(DayCounterON,SettlementDate,AF58,,,Trigger)</f>
        <v>0.22465753424657534</v>
      </c>
      <c r="AH58" s="291">
        <f t="shared" si="0"/>
        <v>8.90574851254045E-4</v>
      </c>
      <c r="AI58" s="291">
        <f t="shared" si="1"/>
        <v>1.0589163854138725E-3</v>
      </c>
      <c r="AJ58" s="261">
        <f t="shared" si="2"/>
        <v>1.0554057132991792E-3</v>
      </c>
    </row>
    <row r="59" spans="10:36" x14ac:dyDescent="0.2">
      <c r="AF59" s="290">
        <f>_xll.qlCalendarAdvance(Calendar,AF58,"1d","mf",,Trigger)</f>
        <v>42026</v>
      </c>
      <c r="AG59" s="301">
        <f>_xll.qlDayCounterYearFraction(DayCounterON,SettlementDate,AF59,,,Trigger)</f>
        <v>0.22739726027397261</v>
      </c>
      <c r="AH59" s="291">
        <f t="shared" si="0"/>
        <v>8.90574851254045E-4</v>
      </c>
      <c r="AI59" s="291">
        <f t="shared" si="1"/>
        <v>1.0635284822401692E-3</v>
      </c>
      <c r="AJ59" s="261">
        <f t="shared" si="2"/>
        <v>1.0619396439588375E-3</v>
      </c>
    </row>
    <row r="60" spans="10:36" x14ac:dyDescent="0.2">
      <c r="AF60" s="290">
        <f>_xll.qlCalendarAdvance(Calendar,AF59,"1d","mf",,Trigger)</f>
        <v>42027</v>
      </c>
      <c r="AG60" s="301">
        <f>_xll.qlDayCounterYearFraction(DayCounterON,SettlementDate,AF60,,,Trigger)</f>
        <v>0.23013698630136986</v>
      </c>
      <c r="AH60" s="291">
        <f t="shared" si="0"/>
        <v>8.90574851254045E-4</v>
      </c>
      <c r="AI60" s="291">
        <f t="shared" si="1"/>
        <v>1.0681405790664658E-3</v>
      </c>
      <c r="AJ60" s="261">
        <f t="shared" si="2"/>
        <v>1.0685451273817427E-3</v>
      </c>
    </row>
    <row r="61" spans="10:36" x14ac:dyDescent="0.2">
      <c r="AF61" s="290">
        <f>_xll.qlCalendarAdvance(Calendar,AF60,"1d","mf",,Trigger)</f>
        <v>42030</v>
      </c>
      <c r="AG61" s="301">
        <f>_xll.qlDayCounterYearFraction(DayCounterON,SettlementDate,AF61,,,Trigger)</f>
        <v>0.23835616438356164</v>
      </c>
      <c r="AH61" s="291">
        <f t="shared" si="0"/>
        <v>8.90574851254045E-4</v>
      </c>
      <c r="AI61" s="291">
        <f t="shared" si="1"/>
        <v>1.0819768695453558E-3</v>
      </c>
      <c r="AJ61" s="261">
        <f t="shared" si="2"/>
        <v>1.0887908942299397E-3</v>
      </c>
    </row>
    <row r="62" spans="10:36" x14ac:dyDescent="0.2">
      <c r="AF62" s="290">
        <f>_xll.qlCalendarAdvance(Calendar,AF61,"1d","mf",,Trigger)</f>
        <v>42031</v>
      </c>
      <c r="AG62" s="301">
        <f>_xll.qlDayCounterYearFraction(DayCounterON,SettlementDate,AF62,,,Trigger)</f>
        <v>0.24109589041095891</v>
      </c>
      <c r="AH62" s="291">
        <f t="shared" si="0"/>
        <v>8.90574851254045E-4</v>
      </c>
      <c r="AI62" s="291">
        <f t="shared" si="1"/>
        <v>1.0865889663716525E-3</v>
      </c>
      <c r="AJ62" s="261">
        <f t="shared" si="2"/>
        <v>1.0956825887058325E-3</v>
      </c>
    </row>
    <row r="63" spans="10:36" x14ac:dyDescent="0.2">
      <c r="J63" s="272"/>
      <c r="AF63" s="290">
        <f>_xll.qlCalendarAdvance(Calendar,AF62,"1d","mf",,Trigger)</f>
        <v>42032</v>
      </c>
      <c r="AG63" s="301">
        <f>_xll.qlDayCounterYearFraction(DayCounterON,SettlementDate,AF63,,,Trigger)</f>
        <v>0.24383561643835616</v>
      </c>
      <c r="AH63" s="291">
        <f t="shared" si="0"/>
        <v>8.90574851254045E-4</v>
      </c>
      <c r="AI63" s="291">
        <f t="shared" si="1"/>
        <v>1.091201063197949E-3</v>
      </c>
      <c r="AJ63" s="261">
        <f t="shared" si="2"/>
        <v>1.1026458359449723E-3</v>
      </c>
    </row>
    <row r="64" spans="10:36" x14ac:dyDescent="0.2">
      <c r="J64" s="272"/>
      <c r="AF64" s="290">
        <f>_xll.qlCalendarAdvance(Calendar,AF63,"1d","mf",,Trigger)</f>
        <v>42033</v>
      </c>
      <c r="AG64" s="301">
        <f>_xll.qlDayCounterYearFraction(DayCounterON,SettlementDate,AF64,,,Trigger)</f>
        <v>0.24657534246575341</v>
      </c>
      <c r="AH64" s="291">
        <f t="shared" si="0"/>
        <v>8.90574851254045E-4</v>
      </c>
      <c r="AI64" s="291">
        <f t="shared" si="1"/>
        <v>1.0958131600242458E-3</v>
      </c>
      <c r="AJ64" s="261">
        <f t="shared" si="2"/>
        <v>1.1096806359473588E-3</v>
      </c>
    </row>
    <row r="65" spans="10:36" ht="12" thickBot="1" x14ac:dyDescent="0.25">
      <c r="J65" s="272"/>
      <c r="AF65" s="292">
        <f>_xll.qlCalendarAdvance(Calendar,AF64,"1d","mf",,Trigger)</f>
        <v>42034</v>
      </c>
      <c r="AG65" s="303">
        <f>_xll.qlDayCounterYearFraction(DayCounterON,SettlementDate,AF65,,,Trigger)</f>
        <v>0.24931506849315069</v>
      </c>
      <c r="AH65" s="293">
        <f t="shared" si="0"/>
        <v>8.90574851254045E-4</v>
      </c>
      <c r="AI65" s="293">
        <f t="shared" si="1"/>
        <v>1.1004252568505425E-3</v>
      </c>
      <c r="AJ65" s="266">
        <f t="shared" si="2"/>
        <v>1.1167869887129922E-3</v>
      </c>
    </row>
    <row r="66" spans="10:36" x14ac:dyDescent="0.2">
      <c r="J66" s="272"/>
    </row>
    <row r="67" spans="10:36" x14ac:dyDescent="0.2">
      <c r="J67" s="272"/>
    </row>
    <row r="68" spans="10:36" x14ac:dyDescent="0.2">
      <c r="J68" s="272"/>
    </row>
    <row r="69" spans="10:36" x14ac:dyDescent="0.2">
      <c r="J69" s="272"/>
      <c r="K69" s="272"/>
    </row>
    <row r="70" spans="10:36" x14ac:dyDescent="0.2">
      <c r="J70" s="272"/>
      <c r="K70" s="272"/>
    </row>
    <row r="71" spans="10:36" x14ac:dyDescent="0.2">
      <c r="J71" s="272"/>
      <c r="K71" s="272"/>
    </row>
    <row r="72" spans="10:36" x14ac:dyDescent="0.2">
      <c r="J72" s="272"/>
      <c r="K72" s="272"/>
    </row>
    <row r="73" spans="10:36" x14ac:dyDescent="0.2">
      <c r="J73" s="272"/>
      <c r="K73" s="272"/>
    </row>
    <row r="74" spans="10:36" x14ac:dyDescent="0.2">
      <c r="J74" s="272"/>
      <c r="K74" s="272"/>
    </row>
    <row r="75" spans="10:36" x14ac:dyDescent="0.2">
      <c r="J75" s="272"/>
      <c r="K75" s="272"/>
    </row>
    <row r="76" spans="10:36" x14ac:dyDescent="0.2">
      <c r="J76" s="272"/>
      <c r="K76" s="272"/>
    </row>
    <row r="77" spans="10:36" x14ac:dyDescent="0.2">
      <c r="J77" s="272"/>
      <c r="K77" s="272"/>
    </row>
    <row r="78" spans="10:36" x14ac:dyDescent="0.2">
      <c r="J78" s="272"/>
      <c r="K78" s="272"/>
    </row>
    <row r="79" spans="10:36" x14ac:dyDescent="0.2">
      <c r="J79" s="272"/>
      <c r="K79" s="272"/>
    </row>
    <row r="80" spans="10:36" x14ac:dyDescent="0.2">
      <c r="J80" s="272"/>
      <c r="K80" s="272"/>
    </row>
    <row r="81" spans="10:11" x14ac:dyDescent="0.2">
      <c r="J81" s="272"/>
      <c r="K81" s="272"/>
    </row>
    <row r="82" spans="10:11" x14ac:dyDescent="0.2">
      <c r="J82" s="272"/>
      <c r="K82" s="272"/>
    </row>
    <row r="83" spans="10:11" x14ac:dyDescent="0.2">
      <c r="J83" s="272"/>
      <c r="K83" s="272"/>
    </row>
    <row r="84" spans="10:11" x14ac:dyDescent="0.2">
      <c r="J84" s="272"/>
      <c r="K84" s="272"/>
    </row>
    <row r="85" spans="10:11" x14ac:dyDescent="0.2">
      <c r="J85" s="272"/>
      <c r="K85" s="272"/>
    </row>
    <row r="86" spans="10:11" x14ac:dyDescent="0.2">
      <c r="J86" s="272"/>
      <c r="K86" s="272"/>
    </row>
    <row r="87" spans="10:11" x14ac:dyDescent="0.2">
      <c r="J87" s="272"/>
      <c r="K87" s="272"/>
    </row>
    <row r="88" spans="10:11" x14ac:dyDescent="0.2">
      <c r="J88" s="272"/>
      <c r="K88" s="272"/>
    </row>
    <row r="89" spans="10:11" x14ac:dyDescent="0.2">
      <c r="J89" s="272"/>
      <c r="K89" s="272"/>
    </row>
    <row r="90" spans="10:11" x14ac:dyDescent="0.2">
      <c r="J90" s="272"/>
      <c r="K90" s="272"/>
    </row>
    <row r="91" spans="10:11" x14ac:dyDescent="0.2">
      <c r="J91" s="272"/>
      <c r="K91" s="272"/>
    </row>
    <row r="92" spans="10:11" x14ac:dyDescent="0.2">
      <c r="J92" s="272"/>
      <c r="K92" s="272"/>
    </row>
    <row r="93" spans="10:11" x14ac:dyDescent="0.2">
      <c r="J93" s="272"/>
      <c r="K93" s="272"/>
    </row>
    <row r="94" spans="10:11" x14ac:dyDescent="0.2">
      <c r="J94" s="272"/>
      <c r="K94" s="272"/>
    </row>
    <row r="95" spans="10:11" x14ac:dyDescent="0.2">
      <c r="J95" s="272"/>
      <c r="K95" s="272"/>
    </row>
    <row r="96" spans="10:11" x14ac:dyDescent="0.2">
      <c r="J96" s="272"/>
      <c r="K96" s="272"/>
    </row>
    <row r="97" spans="10:11" x14ac:dyDescent="0.2">
      <c r="J97" s="272"/>
      <c r="K97" s="272"/>
    </row>
    <row r="98" spans="10:11" x14ac:dyDescent="0.2">
      <c r="J98" s="272"/>
      <c r="K98" s="272"/>
    </row>
    <row r="99" spans="10:11" x14ac:dyDescent="0.2">
      <c r="J99" s="272"/>
      <c r="K99" s="272"/>
    </row>
    <row r="100" spans="10:11" x14ac:dyDescent="0.2">
      <c r="J100" s="272"/>
      <c r="K100" s="272"/>
    </row>
    <row r="101" spans="10:11" x14ac:dyDescent="0.2">
      <c r="J101" s="272"/>
      <c r="K101" s="272"/>
    </row>
    <row r="102" spans="10:11" x14ac:dyDescent="0.2">
      <c r="J102" s="272"/>
      <c r="K102" s="272"/>
    </row>
    <row r="103" spans="10:11" x14ac:dyDescent="0.2">
      <c r="J103" s="272"/>
      <c r="K103" s="272"/>
    </row>
    <row r="104" spans="10:11" x14ac:dyDescent="0.2">
      <c r="J104" s="272"/>
      <c r="K104" s="272"/>
    </row>
    <row r="105" spans="10:11" x14ac:dyDescent="0.2">
      <c r="J105" s="272"/>
      <c r="K105" s="272"/>
    </row>
    <row r="106" spans="10:11" x14ac:dyDescent="0.2">
      <c r="J106" s="272"/>
      <c r="K106" s="272"/>
    </row>
    <row r="107" spans="10:11" x14ac:dyDescent="0.2">
      <c r="J107" s="272"/>
      <c r="K107" s="272"/>
    </row>
    <row r="108" spans="10:11" x14ac:dyDescent="0.2">
      <c r="J108" s="272"/>
      <c r="K108" s="272"/>
    </row>
    <row r="109" spans="10:11" x14ac:dyDescent="0.2">
      <c r="J109" s="272"/>
      <c r="K109" s="272"/>
    </row>
    <row r="110" spans="10:11" x14ac:dyDescent="0.2">
      <c r="J110" s="272"/>
      <c r="K110" s="272"/>
    </row>
    <row r="111" spans="10:11" x14ac:dyDescent="0.2">
      <c r="J111" s="272"/>
      <c r="K111" s="272"/>
    </row>
    <row r="112" spans="10:11" x14ac:dyDescent="0.2">
      <c r="J112" s="272"/>
      <c r="K112" s="272"/>
    </row>
    <row r="113" spans="10:11" x14ac:dyDescent="0.2">
      <c r="J113" s="272"/>
      <c r="K113" s="272"/>
    </row>
    <row r="114" spans="10:11" x14ac:dyDescent="0.2">
      <c r="J114" s="272"/>
      <c r="K114" s="272"/>
    </row>
    <row r="115" spans="10:11" x14ac:dyDescent="0.2">
      <c r="J115" s="272"/>
      <c r="K115" s="272"/>
    </row>
    <row r="116" spans="10:11" x14ac:dyDescent="0.2">
      <c r="J116" s="256"/>
      <c r="K116" s="272"/>
    </row>
    <row r="117" spans="10:11" x14ac:dyDescent="0.2">
      <c r="J117" s="256"/>
      <c r="K117" s="272"/>
    </row>
    <row r="118" spans="10:11" x14ac:dyDescent="0.2">
      <c r="J118" s="256"/>
      <c r="K118" s="272"/>
    </row>
    <row r="119" spans="10:11" x14ac:dyDescent="0.2">
      <c r="J119" s="256"/>
      <c r="K119" s="272"/>
    </row>
    <row r="120" spans="10:11" x14ac:dyDescent="0.2">
      <c r="J120" s="256"/>
      <c r="K120" s="272"/>
    </row>
    <row r="121" spans="10:11" x14ac:dyDescent="0.2">
      <c r="J121" s="256"/>
      <c r="K121" s="272"/>
    </row>
    <row r="122" spans="10:11" x14ac:dyDescent="0.2">
      <c r="J122" s="256"/>
      <c r="K122" s="256"/>
    </row>
    <row r="123" spans="10:11" x14ac:dyDescent="0.2">
      <c r="J123" s="256"/>
      <c r="K123" s="256"/>
    </row>
    <row r="124" spans="10:11" x14ac:dyDescent="0.2">
      <c r="J124" s="256"/>
      <c r="K124" s="256"/>
    </row>
    <row r="125" spans="10:11" x14ac:dyDescent="0.2">
      <c r="J125" s="256"/>
      <c r="K125" s="256"/>
    </row>
    <row r="126" spans="10:11" x14ac:dyDescent="0.2">
      <c r="J126" s="256"/>
      <c r="K126" s="256"/>
    </row>
    <row r="127" spans="10:11" x14ac:dyDescent="0.2">
      <c r="J127" s="256"/>
      <c r="K127" s="256"/>
    </row>
    <row r="128" spans="10:11" x14ac:dyDescent="0.2">
      <c r="J128" s="256"/>
      <c r="K128" s="256"/>
    </row>
    <row r="129" spans="10:11" x14ac:dyDescent="0.2">
      <c r="J129" s="256"/>
      <c r="K129" s="256"/>
    </row>
    <row r="130" spans="10:11" x14ac:dyDescent="0.2">
      <c r="J130" s="256"/>
      <c r="K130" s="256"/>
    </row>
    <row r="131" spans="10:11" x14ac:dyDescent="0.2">
      <c r="J131" s="256"/>
      <c r="K131" s="256"/>
    </row>
    <row r="132" spans="10:11" x14ac:dyDescent="0.2">
      <c r="K132" s="256"/>
    </row>
    <row r="133" spans="10:11" x14ac:dyDescent="0.2">
      <c r="K133" s="256"/>
    </row>
    <row r="134" spans="10:11" x14ac:dyDescent="0.2">
      <c r="K134" s="256"/>
    </row>
    <row r="135" spans="10:11" x14ac:dyDescent="0.2">
      <c r="K135" s="256"/>
    </row>
    <row r="136" spans="10:11" x14ac:dyDescent="0.2">
      <c r="K136" s="256"/>
    </row>
    <row r="137" spans="10:11" x14ac:dyDescent="0.2">
      <c r="K137" s="256"/>
    </row>
  </sheetData>
  <mergeCells count="5">
    <mergeCell ref="AA2:AC2"/>
    <mergeCell ref="R3:R5"/>
    <mergeCell ref="R9:R10"/>
    <mergeCell ref="V9:V10"/>
    <mergeCell ref="X9:X10"/>
  </mergeCells>
  <dataValidations count="5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5">
      <formula1>"TRUE,FALSE"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1" width="3.5" style="255" customWidth="1"/>
    <col min="2" max="2" width="2.33203125" style="255" customWidth="1"/>
    <col min="3" max="3" width="3.5" style="255" customWidth="1"/>
    <col min="4" max="4" width="31.1640625" style="255" bestFit="1" customWidth="1"/>
    <col min="5" max="6" width="22.83203125" style="255" customWidth="1"/>
    <col min="7" max="7" width="19" style="255" hidden="1" customWidth="1" outlineLevel="1"/>
    <col min="8" max="8" width="11.6640625" style="255" hidden="1" customWidth="1" outlineLevel="1"/>
    <col min="9" max="9" width="10.83203125" style="255" customWidth="1" collapsed="1"/>
    <col min="10" max="15" width="10.83203125" style="255" customWidth="1"/>
    <col min="16" max="16" width="12.83203125" style="255" hidden="1" customWidth="1" outlineLevel="1"/>
    <col min="17" max="17" width="7" style="255" customWidth="1" collapsed="1"/>
    <col min="18" max="18" width="13.1640625" style="255" customWidth="1"/>
    <col min="19" max="21" width="6.83203125" style="255" customWidth="1"/>
    <col min="22" max="22" width="2.33203125" style="255" bestFit="1" customWidth="1"/>
    <col min="23" max="23" width="10.83203125" style="255" customWidth="1"/>
    <col min="24" max="24" width="2.33203125" style="255" bestFit="1" customWidth="1"/>
    <col min="25" max="25" width="10.83203125" style="255" customWidth="1"/>
    <col min="26" max="26" width="12.5" style="255" bestFit="1" customWidth="1"/>
    <col min="27" max="29" width="10.5" style="255" customWidth="1"/>
    <col min="30" max="31" width="9.5" style="255"/>
    <col min="32" max="32" width="20.33203125" style="255" bestFit="1" customWidth="1"/>
    <col min="33" max="33" width="12.33203125" style="255" bestFit="1" customWidth="1"/>
    <col min="34" max="35" width="9.5" style="255" bestFit="1" customWidth="1"/>
    <col min="36" max="36" width="12.1640625" style="255" customWidth="1"/>
    <col min="37" max="16384" width="9.5" style="255"/>
  </cols>
  <sheetData>
    <row r="1" spans="1:36" ht="12" thickBot="1" x14ac:dyDescent="0.25"/>
    <row r="2" spans="1:36" ht="19.5" customHeight="1" x14ac:dyDescent="0.2">
      <c r="D2" s="267" t="s">
        <v>123</v>
      </c>
      <c r="E2" s="268" t="s">
        <v>106</v>
      </c>
      <c r="F2" s="268" t="s">
        <v>107</v>
      </c>
      <c r="G2" s="267" t="s">
        <v>158</v>
      </c>
      <c r="H2" s="268"/>
      <c r="I2" s="268" t="s">
        <v>85</v>
      </c>
      <c r="J2" s="268" t="s">
        <v>39</v>
      </c>
      <c r="K2" s="282"/>
      <c r="L2" s="282"/>
      <c r="M2" s="269"/>
      <c r="N2" s="268" t="s">
        <v>154</v>
      </c>
      <c r="P2" s="268" t="s">
        <v>160</v>
      </c>
      <c r="W2" s="318" t="s">
        <v>131</v>
      </c>
      <c r="AA2" s="440" t="s">
        <v>130</v>
      </c>
      <c r="AB2" s="440"/>
      <c r="AC2" s="440"/>
      <c r="AF2" s="267" t="s">
        <v>106</v>
      </c>
      <c r="AG2" s="267"/>
      <c r="AH2" s="268" t="s">
        <v>44</v>
      </c>
      <c r="AI2" s="268" t="s">
        <v>121</v>
      </c>
      <c r="AJ2" s="269" t="s">
        <v>122</v>
      </c>
    </row>
    <row r="3" spans="1:36" x14ac:dyDescent="0.2">
      <c r="D3" s="257" t="str">
        <f>$E$9&amp;"LastFixing"&amp;QuoteSuffix</f>
        <v>Euribor6MLastFixing_Quote</v>
      </c>
      <c r="E3" s="258">
        <f>_xll.qlCalendarAdvance(Calendar,_xll.qlLastFixingQuoteReferenceDate($D$3),_xll.qlInterestRateIndexFixingDays($E$9)&amp;"D","f",,LastFixingsTrigger)</f>
        <v>41943</v>
      </c>
      <c r="F3" s="258">
        <f>_xll.qlInterestRateIndexMaturity($E$9,E3)</f>
        <v>42124</v>
      </c>
      <c r="G3" s="257" t="str">
        <f>_xll.qlMakeDatedOIS(,E3,F3,OvernightIndex,0,,,,EvaluationDate)</f>
        <v>obj_00502#0002</v>
      </c>
      <c r="H3" s="258" t="b">
        <f>_xll.qlInstrumentSetPricingEngine(G3,OisEngine)</f>
        <v>1</v>
      </c>
      <c r="I3" s="259">
        <f>_xll.qlQuoteValue($D3,AllTriggers)</f>
        <v>1.8799999999999999E-3</v>
      </c>
      <c r="J3" s="260">
        <f>_xll.qlOvernightIndexedSwapFairRate(G3,_xll.ohTrigger(H3,InterestRatesTrigger))</f>
        <v>-6.0000000000216422E-5</v>
      </c>
      <c r="K3" s="283">
        <f>I3*_xll.qlDayCounterYearFraction(DayCounter6M,E3,F3,,,Trigger)</f>
        <v>9.4522222222222219E-4</v>
      </c>
      <c r="L3" s="283">
        <f>J3*_xll.qlDayCounterYearFraction(DayCounterOIS,E3,F3,,,Trigger)</f>
        <v>-3.0166666666775477E-5</v>
      </c>
      <c r="M3" s="294">
        <f>K3-L3</f>
        <v>9.7538888888899767E-4</v>
      </c>
      <c r="N3" s="294">
        <f>M3</f>
        <v>9.7538888888899767E-4</v>
      </c>
      <c r="P3" s="294" t="b">
        <f>IF(E14="FRA",FALSE,IF(E14="FIX+FRA",TRUE,FALSE))</f>
        <v>0</v>
      </c>
      <c r="R3" s="441" t="s">
        <v>124</v>
      </c>
      <c r="S3" s="274">
        <f t="array" ref="S3:S5">_xll.ohFilter(N10:N14,P10:P14)</f>
        <v>4.0647690632200313E-2</v>
      </c>
      <c r="T3" s="275">
        <f t="array" ref="T3:T5">_xll.ohFilter(M10:M14,P10:P14)</f>
        <v>0.12295364984049541</v>
      </c>
      <c r="U3" s="276">
        <f t="array" ref="U3:U5">_xll.ohFilter(L10:L14,P10:P14)</f>
        <v>0.49589041095890413</v>
      </c>
      <c r="V3" s="270"/>
      <c r="W3" s="278">
        <f t="array" ref="W3:W5">MMULT(AA3:AC5,Y3:Y5)</f>
        <v>2.0354264303105163E-3</v>
      </c>
      <c r="X3" s="279"/>
      <c r="Y3" s="259">
        <f t="array" ref="Y3:Y5">_xll.ohFilter(N3:N7,P3:P7)</f>
        <v>1.0665776547597746E-3</v>
      </c>
      <c r="AA3" s="274">
        <f t="array" ref="AA3:AC5">MINVERSE(S3:U5)</f>
        <v>159.75171706795581</v>
      </c>
      <c r="AB3" s="275">
        <v>-298.19420256082878</v>
      </c>
      <c r="AC3" s="276">
        <v>140.08996727497686</v>
      </c>
      <c r="AF3" s="287">
        <f>SettlementDate</f>
        <v>41943</v>
      </c>
      <c r="AG3" s="301">
        <f>_xll.qlDayCounterYearFraction(DayCounterON,SettlementDate,AF3,,,Trigger)</f>
        <v>0</v>
      </c>
      <c r="AH3" s="288">
        <f t="shared" ref="AH3:AH34" si="0">$W$13</f>
        <v>2.1508333921951258E-3</v>
      </c>
      <c r="AI3" s="288">
        <f t="shared" ref="AI3:AI34" si="1">$W$10+$W$9*AG3</f>
        <v>1.9595980036797968E-3</v>
      </c>
      <c r="AJ3" s="289">
        <f t="shared" ref="AJ3:AJ34" si="2">($W$5+$W$4*AG3+$W$3*AG3^2)</f>
        <v>2.0838926793032789E-3</v>
      </c>
    </row>
    <row r="4" spans="1:36" x14ac:dyDescent="0.2">
      <c r="D4" s="315" t="s">
        <v>157</v>
      </c>
      <c r="E4" s="258">
        <f>SettlementDate</f>
        <v>41943</v>
      </c>
      <c r="F4" s="258">
        <f>_xll.qlInterestRateIndexMaturity($E$9,E4)</f>
        <v>42124</v>
      </c>
      <c r="G4" s="257" t="str">
        <f>_xll.qlMakeDatedOIS(,E4,F4,OvernightIndex,0,,,,EvaluationDate)</f>
        <v>obj_00589#0000</v>
      </c>
      <c r="H4" s="258" t="b">
        <f>_xll.qlInstrumentSetPricingEngine(G4,OisEngine)</f>
        <v>1</v>
      </c>
      <c r="I4" s="259"/>
      <c r="J4" s="260"/>
      <c r="K4" s="283"/>
      <c r="L4" s="283"/>
      <c r="M4" s="294"/>
      <c r="N4" s="316">
        <f>_xll.qlInterpolationInterpolate($H$13,E4,TRUE,Trigger)</f>
        <v>1.0665776547597746E-3</v>
      </c>
      <c r="P4" s="294" t="b">
        <f>IF(E14="FRA",FALSE,IF(E14="FIX+FRA",FALSE,TRUE))</f>
        <v>1</v>
      </c>
      <c r="R4" s="441"/>
      <c r="S4" s="274">
        <v>6.333260842928029E-2</v>
      </c>
      <c r="T4" s="275">
        <v>0.16256708575717771</v>
      </c>
      <c r="U4" s="276">
        <v>0.49863013698630132</v>
      </c>
      <c r="V4" s="271" t="s">
        <v>42</v>
      </c>
      <c r="W4" s="278">
        <v>-4.0291708527816217E-4</v>
      </c>
      <c r="X4" s="271" t="s">
        <v>43</v>
      </c>
      <c r="Y4" s="259">
        <v>1.1024995008877595E-3</v>
      </c>
      <c r="AA4" s="274">
        <v>-117.98396570978821</v>
      </c>
      <c r="AB4" s="275">
        <v>197.70684114991937</v>
      </c>
      <c r="AC4" s="276">
        <v>-80.815178429909636</v>
      </c>
      <c r="AF4" s="290">
        <f>_xll.qlCalendarAdvance(Calendar,AF3,"1d","mf",,Trigger)</f>
        <v>41946</v>
      </c>
      <c r="AG4" s="301">
        <f>_xll.qlDayCounterYearFraction(DayCounterON,SettlementDate,AF4,,,Trigger)</f>
        <v>8.21917808219178E-3</v>
      </c>
      <c r="AH4" s="291">
        <f t="shared" si="0"/>
        <v>2.1508333921951258E-3</v>
      </c>
      <c r="AI4" s="291">
        <f t="shared" si="1"/>
        <v>1.9659372983267137E-3</v>
      </c>
      <c r="AJ4" s="261">
        <f t="shared" si="2"/>
        <v>2.0807185350322577E-3</v>
      </c>
    </row>
    <row r="5" spans="1:36" x14ac:dyDescent="0.2">
      <c r="A5" s="273">
        <v>1</v>
      </c>
      <c r="B5" s="273" t="s">
        <v>42</v>
      </c>
      <c r="C5" s="314">
        <f>A5+6</f>
        <v>7</v>
      </c>
      <c r="D5" s="257" t="str">
        <f>Currency&amp;A5&amp;B5&amp;C5&amp;"F"&amp;QuoteSuffix</f>
        <v>EUR1x7F_Quote</v>
      </c>
      <c r="E5" s="258">
        <f>_xll.qlCalendarAdvance(Calendar,SettlementDate,A5&amp;"M","mf")</f>
        <v>41971</v>
      </c>
      <c r="F5" s="258">
        <f>_xll.qlInterestRateIndexMaturity($E$9,E5)</f>
        <v>42153</v>
      </c>
      <c r="G5" s="257" t="str">
        <f>_xll.qlMakeDatedOIS(,E5,F5,OvernightIndex,0,,,,EvaluationDate)</f>
        <v>obj_0058d#0000</v>
      </c>
      <c r="H5" s="258" t="b">
        <f>_xll.qlInstrumentSetPricingEngine(G5,OisEngine)</f>
        <v>1</v>
      </c>
      <c r="I5" s="259">
        <f>_xll.qlQuoteValue($D5,AllTriggers)</f>
        <v>2.0400000000000001E-3</v>
      </c>
      <c r="J5" s="260">
        <f>_xll.qlOvernightIndexedSwapFairRate(G5,_xll.ohTrigger(H5,InterestRatesTrigger))</f>
        <v>-1.4076824351424958E-4</v>
      </c>
      <c r="K5" s="283">
        <f>I5*_xll.qlDayCounterYearFraction(DayCounter6M,E5,F5,,,Trigger)</f>
        <v>1.0313333333333333E-3</v>
      </c>
      <c r="L5" s="283">
        <f>J5*_xll.qlDayCounterYearFraction(DayCounterOIS,E5,F5,,,Trigger)</f>
        <v>-7.1166167554426174E-5</v>
      </c>
      <c r="M5" s="294">
        <f>K5-L5</f>
        <v>1.1024995008877595E-3</v>
      </c>
      <c r="N5" s="294">
        <f>M5</f>
        <v>1.1024995008877595E-3</v>
      </c>
      <c r="P5" s="294" t="b">
        <v>1</v>
      </c>
      <c r="R5" s="441"/>
      <c r="S5" s="274">
        <v>9.5594842042035888E-2</v>
      </c>
      <c r="T5" s="275">
        <v>0.20582848564458625</v>
      </c>
      <c r="U5" s="276">
        <v>0.49589041095890418</v>
      </c>
      <c r="V5" s="273"/>
      <c r="W5" s="278">
        <v>2.0838926793032789E-3</v>
      </c>
      <c r="X5" s="271"/>
      <c r="Y5" s="259">
        <v>1.1450268517245383E-3</v>
      </c>
      <c r="AA5" s="274">
        <v>18.175428752301865</v>
      </c>
      <c r="AB5" s="275">
        <v>-24.577752976190204</v>
      </c>
      <c r="AC5" s="276">
        <v>8.554687499999881</v>
      </c>
      <c r="AF5" s="290">
        <f>_xll.qlCalendarAdvance(Calendar,AF4,"1d","mf",,Trigger)</f>
        <v>41947</v>
      </c>
      <c r="AG5" s="301">
        <f>_xll.qlDayCounterYearFraction(DayCounterON,SettlementDate,AF5,,,Trigger)</f>
        <v>1.0958904109589041E-2</v>
      </c>
      <c r="AH5" s="291">
        <f t="shared" si="0"/>
        <v>2.1508333921951258E-3</v>
      </c>
      <c r="AI5" s="291">
        <f t="shared" si="1"/>
        <v>1.9680503965423526E-3</v>
      </c>
      <c r="AJ5" s="261">
        <f t="shared" si="2"/>
        <v>2.0797215993886898E-3</v>
      </c>
    </row>
    <row r="6" spans="1:36" x14ac:dyDescent="0.2">
      <c r="A6" s="273">
        <v>2</v>
      </c>
      <c r="B6" s="273" t="s">
        <v>42</v>
      </c>
      <c r="C6" s="314">
        <f t="shared" ref="C6:C7" si="3">A6+6</f>
        <v>8</v>
      </c>
      <c r="D6" s="257" t="str">
        <f>Currency&amp;A6&amp;B6&amp;C6&amp;"F"&amp;QuoteSuffix</f>
        <v>EUR2x8F_Quote</v>
      </c>
      <c r="E6" s="258">
        <f>_xll.qlCalendarAdvance(Calendar,SettlementDate,A6&amp;"M","mf")</f>
        <v>42004</v>
      </c>
      <c r="F6" s="258">
        <f>_xll.qlInterestRateIndexMaturity($E$9,E6)</f>
        <v>42185</v>
      </c>
      <c r="G6" s="257" t="str">
        <f>_xll.qlMakeDatedOIS(,E6,F6,OvernightIndex,0,,,,EvaluationDate)</f>
        <v>obj_0058e#0000</v>
      </c>
      <c r="H6" s="258" t="b">
        <f>_xll.qlInstrumentSetPricingEngine(G6,OisEngine)</f>
        <v>1</v>
      </c>
      <c r="I6" s="259">
        <f>_xll.qlQuoteValue($D6,AllTriggers)</f>
        <v>2.0600000000000002E-3</v>
      </c>
      <c r="J6" s="260">
        <f>_xll.qlOvernightIndexedSwapFairRate(G6,_xll.ohTrigger(H6,InterestRatesTrigger))</f>
        <v>-2.1740147304328026E-4</v>
      </c>
      <c r="K6" s="283">
        <f>I6*_xll.qlDayCounterYearFraction(DayCounter6M,E6,F6,,,Trigger)</f>
        <v>1.0357222222222224E-3</v>
      </c>
      <c r="L6" s="283">
        <f>J6*_xll.qlDayCounterYearFraction(DayCounterOIS,E6,F6,,,Trigger)</f>
        <v>-1.0930462950231591E-4</v>
      </c>
      <c r="M6" s="294">
        <f>K6-L6</f>
        <v>1.1450268517245383E-3</v>
      </c>
      <c r="N6" s="294">
        <f>M6</f>
        <v>1.1450268517245383E-3</v>
      </c>
      <c r="P6" s="294" t="b">
        <v>1</v>
      </c>
      <c r="W6" s="280"/>
      <c r="X6" s="319"/>
      <c r="Y6" s="281"/>
      <c r="AF6" s="290">
        <f>_xll.qlCalendarAdvance(Calendar,AF5,"1d","mf",,Trigger)</f>
        <v>41948</v>
      </c>
      <c r="AG6" s="301">
        <f>_xll.qlDayCounterYearFraction(DayCounterON,SettlementDate,AF6,,,Trigger)</f>
        <v>1.3698630136986301E-2</v>
      </c>
      <c r="AH6" s="291">
        <f t="shared" si="0"/>
        <v>2.1508333921951258E-3</v>
      </c>
      <c r="AI6" s="291">
        <f t="shared" si="1"/>
        <v>1.970163494757992E-3</v>
      </c>
      <c r="AJ6" s="261">
        <f t="shared" si="2"/>
        <v>2.0787552199685081E-3</v>
      </c>
    </row>
    <row r="7" spans="1:36" ht="12" thickBot="1" x14ac:dyDescent="0.25">
      <c r="A7" s="273">
        <v>3</v>
      </c>
      <c r="B7" s="273" t="s">
        <v>42</v>
      </c>
      <c r="C7" s="314">
        <f t="shared" si="3"/>
        <v>9</v>
      </c>
      <c r="D7" s="262" t="str">
        <f>Currency&amp;A7&amp;B7&amp;C7&amp;"F"&amp;QuoteSuffix</f>
        <v>EUR3x9F_Quote</v>
      </c>
      <c r="E7" s="263">
        <f>_xll.qlCalendarAdvance(Calendar,SettlementDate,A7&amp;"M","mf")</f>
        <v>42034</v>
      </c>
      <c r="F7" s="263">
        <f>_xll.qlInterestRateIndexMaturity($E$9,E7)</f>
        <v>42216</v>
      </c>
      <c r="G7" s="262" t="str">
        <f>_xll.qlMakeDatedOIS(,E7,F7,OvernightIndex,0,,,,EvaluationDate)</f>
        <v>obj_00588#0000</v>
      </c>
      <c r="H7" s="263" t="b">
        <f>_xll.qlInstrumentSetPricingEngine(G7,OisEngine)</f>
        <v>1</v>
      </c>
      <c r="I7" s="264">
        <f>_xll.qlQuoteValue($D7,AllTriggers)</f>
        <v>2.0700000000000002E-3</v>
      </c>
      <c r="J7" s="265">
        <f>_xll.qlOvernightIndexedSwapFairRate(G7,_xll.ohTrigger(H7,InterestRatesTrigger))</f>
        <v>-2.7604059369576168E-4</v>
      </c>
      <c r="K7" s="284">
        <f>I7*_xll.qlDayCounterYearFraction(DayCounter6M,E7,F7,,,Trigger)</f>
        <v>1.0465000000000001E-3</v>
      </c>
      <c r="L7" s="284">
        <f>J7*_xll.qlDayCounterYearFraction(DayCounterOIS,E7,F7,,,Trigger)</f>
        <v>-1.3955385570174617E-4</v>
      </c>
      <c r="M7" s="295">
        <f>K7-L7</f>
        <v>1.1860538557017463E-3</v>
      </c>
      <c r="N7" s="295">
        <f>M7</f>
        <v>1.1860538557017463E-3</v>
      </c>
      <c r="P7" s="295" t="b">
        <f>IF(E14="FRA",TRUE,FALSE)</f>
        <v>0</v>
      </c>
      <c r="W7" s="280"/>
      <c r="X7" s="319"/>
      <c r="Y7" s="281"/>
      <c r="AF7" s="290">
        <f>_xll.qlCalendarAdvance(Calendar,AF6,"1d","mf",,Trigger)</f>
        <v>41949</v>
      </c>
      <c r="AG7" s="301">
        <f>_xll.qlDayCounterYearFraction(DayCounterON,SettlementDate,AF7,,,Trigger)</f>
        <v>1.643835616438356E-2</v>
      </c>
      <c r="AH7" s="291">
        <f t="shared" si="0"/>
        <v>2.1508333921951258E-3</v>
      </c>
      <c r="AI7" s="291">
        <f t="shared" si="1"/>
        <v>1.9722765929736309E-3</v>
      </c>
      <c r="AJ7" s="261">
        <f t="shared" si="2"/>
        <v>2.0778193967717121E-3</v>
      </c>
    </row>
    <row r="8" spans="1:36" ht="18.75" customHeight="1" thickBot="1" x14ac:dyDescent="0.25">
      <c r="W8" s="320" t="s">
        <v>132</v>
      </c>
      <c r="X8" s="319"/>
      <c r="Y8" s="281"/>
      <c r="AF8" s="290">
        <f>_xll.qlCalendarAdvance(Calendar,AF7,"1d","mf",,Trigger)</f>
        <v>41950</v>
      </c>
      <c r="AG8" s="301">
        <f>_xll.qlDayCounterYearFraction(DayCounterON,SettlementDate,AF8,,,Trigger)</f>
        <v>1.9178082191780823E-2</v>
      </c>
      <c r="AH8" s="291">
        <f t="shared" si="0"/>
        <v>2.1508333921951258E-3</v>
      </c>
      <c r="AI8" s="291">
        <f t="shared" si="1"/>
        <v>1.9743896911892699E-3</v>
      </c>
      <c r="AJ8" s="261">
        <f t="shared" si="2"/>
        <v>2.0769141297983023E-3</v>
      </c>
    </row>
    <row r="9" spans="1:36" x14ac:dyDescent="0.2">
      <c r="D9" s="267" t="s">
        <v>155</v>
      </c>
      <c r="E9" s="312" t="s">
        <v>156</v>
      </c>
      <c r="J9" s="267"/>
      <c r="K9" s="268"/>
      <c r="L9" s="268" t="s">
        <v>133</v>
      </c>
      <c r="M9" s="282" t="s">
        <v>134</v>
      </c>
      <c r="N9" s="269" t="s">
        <v>135</v>
      </c>
      <c r="P9" s="269" t="s">
        <v>160</v>
      </c>
      <c r="R9" s="440" t="s">
        <v>125</v>
      </c>
      <c r="S9" s="321"/>
      <c r="T9" s="274">
        <f t="array" ref="T9:T10">_xll.ohFilter(M10:M14,P10:P14)</f>
        <v>0.12295364984049541</v>
      </c>
      <c r="U9" s="276">
        <f t="array" ref="U9:U10">_xll.ohFilter(L10:L14,P10:P14)</f>
        <v>0.49589041095890413</v>
      </c>
      <c r="V9" s="442" t="s">
        <v>42</v>
      </c>
      <c r="W9" s="278">
        <f t="array" ref="W9:W10">MMULT(AA9:AB10,Y9:Y10)</f>
        <v>7.7128084870823482E-4</v>
      </c>
      <c r="X9" s="442" t="s">
        <v>43</v>
      </c>
      <c r="Y9" s="259">
        <f t="array" ref="Y9:Y10">_xll.ohFilter(N3:N7,P3:P7)</f>
        <v>1.0665776547597746E-3</v>
      </c>
      <c r="AA9" s="274">
        <f t="array" ref="AA9:AB10">MINVERSE(T9:U10)</f>
        <v>-25.826306096733532</v>
      </c>
      <c r="AB9" s="276">
        <v>25.684403315982255</v>
      </c>
      <c r="AF9" s="290">
        <f>_xll.qlCalendarAdvance(Calendar,AF8,"1d","mf",,Trigger)</f>
        <v>41953</v>
      </c>
      <c r="AG9" s="301">
        <f>_xll.qlDayCounterYearFraction(DayCounterON,SettlementDate,AF9,,,Trigger)</f>
        <v>2.7397260273972601E-2</v>
      </c>
      <c r="AH9" s="291">
        <f t="shared" si="0"/>
        <v>2.1508333921951258E-3</v>
      </c>
      <c r="AI9" s="291">
        <f t="shared" si="1"/>
        <v>1.9807289858361867E-3</v>
      </c>
      <c r="AJ9" s="261">
        <f t="shared" si="2"/>
        <v>2.0743816662183905E-3</v>
      </c>
    </row>
    <row r="10" spans="1:36" ht="11.25" customHeight="1" x14ac:dyDescent="0.2">
      <c r="D10" s="285" t="s">
        <v>153</v>
      </c>
      <c r="E10" s="313" t="s">
        <v>17</v>
      </c>
      <c r="J10" s="322">
        <f>_xll.qlDayCounterYearFraction(DayCounterON,SettlementDate,E3,,,Trigger)</f>
        <v>0</v>
      </c>
      <c r="K10" s="323">
        <f>_xll.qlDayCounterYearFraction(DayCounterON,SettlementDate,F3,,,Trigger)</f>
        <v>0.49589041095890413</v>
      </c>
      <c r="L10" s="323">
        <f>K10-J10</f>
        <v>0.49589041095890413</v>
      </c>
      <c r="M10" s="323">
        <f>(K10^2-J10^2)/2</f>
        <v>0.12295364984049541</v>
      </c>
      <c r="N10" s="324">
        <f>(K10^3-J10^3)/3</f>
        <v>4.0647690632200313E-2</v>
      </c>
      <c r="P10" s="324" t="b">
        <f>P3</f>
        <v>0</v>
      </c>
      <c r="R10" s="440"/>
      <c r="S10" s="321"/>
      <c r="T10" s="274">
        <v>0.16256708575717771</v>
      </c>
      <c r="U10" s="276">
        <v>0.49863013698630132</v>
      </c>
      <c r="V10" s="442"/>
      <c r="W10" s="278">
        <v>1.9595980036797968E-3</v>
      </c>
      <c r="X10" s="442"/>
      <c r="Y10" s="259">
        <v>1.1024995008877595E-3</v>
      </c>
      <c r="AA10" s="274">
        <v>8.420083357565181</v>
      </c>
      <c r="AB10" s="276">
        <v>-6.3683246577983406</v>
      </c>
      <c r="AF10" s="290">
        <f>_xll.qlCalendarAdvance(Calendar,AF9,"1d","mf",,Trigger)</f>
        <v>41954</v>
      </c>
      <c r="AG10" s="301">
        <f>_xll.qlDayCounterYearFraction(DayCounterON,SettlementDate,AF10,,,Trigger)</f>
        <v>3.0136986301369864E-2</v>
      </c>
      <c r="AH10" s="291">
        <f t="shared" si="0"/>
        <v>2.1508333921951258E-3</v>
      </c>
      <c r="AI10" s="291">
        <f t="shared" si="1"/>
        <v>1.9828420840518257E-3</v>
      </c>
      <c r="AJ10" s="261">
        <f t="shared" si="2"/>
        <v>2.0735986241385254E-3</v>
      </c>
    </row>
    <row r="11" spans="1:36" ht="11.25" customHeight="1" x14ac:dyDescent="0.2">
      <c r="D11" s="285" t="s">
        <v>127</v>
      </c>
      <c r="E11" s="313" t="s">
        <v>17</v>
      </c>
      <c r="J11" s="322">
        <f>_xll.qlDayCounterYearFraction(DayCounterON,SettlementDate,E4,,,Trigger)</f>
        <v>0</v>
      </c>
      <c r="K11" s="323">
        <f>_xll.qlDayCounterYearFraction(DayCounterON,SettlementDate,F4,,,Trigger)</f>
        <v>0.49589041095890413</v>
      </c>
      <c r="L11" s="323">
        <f>K11-J11</f>
        <v>0.49589041095890413</v>
      </c>
      <c r="M11" s="323">
        <f>(K11^2-J11^2)/2</f>
        <v>0.12295364984049541</v>
      </c>
      <c r="N11" s="324">
        <f>(K11^3-J11^3)/3</f>
        <v>4.0647690632200313E-2</v>
      </c>
      <c r="P11" s="324" t="b">
        <f>P4</f>
        <v>1</v>
      </c>
      <c r="W11" s="280"/>
      <c r="X11" s="319"/>
      <c r="Y11" s="281"/>
      <c r="AF11" s="290">
        <f>_xll.qlCalendarAdvance(Calendar,AF10,"1d","mf",,Trigger)</f>
        <v>41955</v>
      </c>
      <c r="AG11" s="301">
        <f>_xll.qlDayCounterYearFraction(DayCounterON,SettlementDate,AF11,,,Trigger)</f>
        <v>3.287671232876712E-2</v>
      </c>
      <c r="AH11" s="291">
        <f t="shared" si="0"/>
        <v>2.1508333921951258E-3</v>
      </c>
      <c r="AI11" s="291">
        <f t="shared" si="1"/>
        <v>1.9849551822674646E-3</v>
      </c>
      <c r="AJ11" s="261">
        <f t="shared" si="2"/>
        <v>2.072846138282047E-3</v>
      </c>
    </row>
    <row r="12" spans="1:36" ht="11.25" customHeight="1" thickBot="1" x14ac:dyDescent="0.25">
      <c r="D12" s="285" t="s">
        <v>128</v>
      </c>
      <c r="E12" s="313" t="s">
        <v>129</v>
      </c>
      <c r="J12" s="322">
        <f>_xll.qlDayCounterYearFraction(DayCounterON,SettlementDate,E5,,,Trigger)</f>
        <v>7.6712328767123292E-2</v>
      </c>
      <c r="K12" s="323">
        <f>_xll.qlDayCounterYearFraction(DayCounterON,SettlementDate,F5,,,Trigger)</f>
        <v>0.57534246575342463</v>
      </c>
      <c r="L12" s="323">
        <f>K12-J12</f>
        <v>0.49863013698630132</v>
      </c>
      <c r="M12" s="323">
        <f>(K12^2-J12^2)/2</f>
        <v>0.16256708575717771</v>
      </c>
      <c r="N12" s="324">
        <f>(K12^3-J12^3)/3</f>
        <v>6.333260842928029E-2</v>
      </c>
      <c r="P12" s="324" t="b">
        <f>P5</f>
        <v>1</v>
      </c>
      <c r="W12" s="318" t="s">
        <v>40</v>
      </c>
      <c r="X12" s="319"/>
      <c r="Y12" s="281"/>
      <c r="AF12" s="290">
        <f>_xll.qlCalendarAdvance(Calendar,AF11,"1d","mf",,Trigger)</f>
        <v>41956</v>
      </c>
      <c r="AG12" s="301">
        <f>_xll.qlDayCounterYearFraction(DayCounterON,SettlementDate,AF12,,,Trigger)</f>
        <v>3.5616438356164383E-2</v>
      </c>
      <c r="AH12" s="291">
        <f t="shared" si="0"/>
        <v>2.1508333921951258E-3</v>
      </c>
      <c r="AI12" s="291">
        <f t="shared" si="1"/>
        <v>1.987068280483104E-3</v>
      </c>
      <c r="AJ12" s="261">
        <f t="shared" si="2"/>
        <v>2.0721242086489543E-3</v>
      </c>
    </row>
    <row r="13" spans="1:36" ht="11.25" customHeight="1" thickBot="1" x14ac:dyDescent="0.25">
      <c r="D13" s="285" t="s">
        <v>162</v>
      </c>
      <c r="E13" s="313" t="s">
        <v>161</v>
      </c>
      <c r="G13" s="332" t="s">
        <v>159</v>
      </c>
      <c r="H13" s="317" t="str">
        <f>_xll.qlInterpolation(,E13,E5:E7,M5:M7)</f>
        <v>obj_00a78#0025</v>
      </c>
      <c r="J13" s="322">
        <f>_xll.qlDayCounterYearFraction(DayCounterON,SettlementDate,E6,,,Trigger)</f>
        <v>0.16712328767123288</v>
      </c>
      <c r="K13" s="323">
        <f>_xll.qlDayCounterYearFraction(DayCounterON,SettlementDate,F6,,,Trigger)</f>
        <v>0.66301369863013704</v>
      </c>
      <c r="L13" s="323">
        <f>K13-J13</f>
        <v>0.49589041095890418</v>
      </c>
      <c r="M13" s="323">
        <f>(K13^2-J13^2)/2</f>
        <v>0.20582848564458625</v>
      </c>
      <c r="N13" s="324">
        <f>(K13^3-J13^3)/3</f>
        <v>9.5594842042035888E-2</v>
      </c>
      <c r="P13" s="324" t="b">
        <f>P6</f>
        <v>1</v>
      </c>
      <c r="R13" s="307" t="s">
        <v>126</v>
      </c>
      <c r="U13" s="277">
        <f t="array" ref="U13">_xll.ohFilter(L10:L14,P10:P14)</f>
        <v>0.49589041095890413</v>
      </c>
      <c r="V13" s="307" t="s">
        <v>42</v>
      </c>
      <c r="W13" s="278">
        <f>MMULT(AA13,Y13)</f>
        <v>2.1508333921951258E-3</v>
      </c>
      <c r="X13" s="307" t="s">
        <v>43</v>
      </c>
      <c r="Y13" s="259">
        <f>_xll.ohFilter(N3:N7,P3:P7)</f>
        <v>1.0665776547597746E-3</v>
      </c>
      <c r="AA13" s="277">
        <f>MINVERSE(U13)</f>
        <v>2.0165745856353592</v>
      </c>
      <c r="AF13" s="290">
        <f>_xll.qlCalendarAdvance(Calendar,AF12,"1d","mf",,Trigger)</f>
        <v>41957</v>
      </c>
      <c r="AG13" s="301">
        <f>_xll.qlDayCounterYearFraction(DayCounterON,SettlementDate,AF13,,,Trigger)</f>
        <v>3.8356164383561646E-2</v>
      </c>
      <c r="AH13" s="291">
        <f t="shared" si="0"/>
        <v>2.1508333921951258E-3</v>
      </c>
      <c r="AI13" s="291">
        <f t="shared" si="1"/>
        <v>1.989181378698743E-3</v>
      </c>
      <c r="AJ13" s="261">
        <f t="shared" si="2"/>
        <v>2.0714328352392478E-3</v>
      </c>
    </row>
    <row r="14" spans="1:36" ht="11.25" customHeight="1" thickBot="1" x14ac:dyDescent="0.25">
      <c r="D14" s="286" t="s">
        <v>166</v>
      </c>
      <c r="E14" s="334" t="s">
        <v>165</v>
      </c>
      <c r="J14" s="325">
        <f>_xll.qlDayCounterYearFraction(DayCounterON,SettlementDate,E7,,,Trigger)</f>
        <v>0.24931506849315069</v>
      </c>
      <c r="K14" s="326">
        <f>_xll.qlDayCounterYearFraction(DayCounterON,SettlementDate,F7,,,Trigger)</f>
        <v>0.74794520547945209</v>
      </c>
      <c r="L14" s="326">
        <f>K14-J14</f>
        <v>0.49863013698630143</v>
      </c>
      <c r="M14" s="326">
        <f>(K14^2-J14^2)/2</f>
        <v>0.24863201351097772</v>
      </c>
      <c r="N14" s="327">
        <f>(K14^3-J14^3)/3</f>
        <v>0.13430669953583865</v>
      </c>
      <c r="P14" s="327" t="b">
        <f>P7</f>
        <v>0</v>
      </c>
      <c r="AF14" s="290">
        <f>_xll.qlCalendarAdvance(Calendar,AF13,"1d","mf",,Trigger)</f>
        <v>41960</v>
      </c>
      <c r="AG14" s="301">
        <f>_xll.qlDayCounterYearFraction(DayCounterON,SettlementDate,AF14,,,Trigger)</f>
        <v>4.6575342465753428E-2</v>
      </c>
      <c r="AH14" s="291">
        <f t="shared" si="0"/>
        <v>2.1508333921951258E-3</v>
      </c>
      <c r="AI14" s="291">
        <f t="shared" si="1"/>
        <v>1.9955206733456598E-3</v>
      </c>
      <c r="AJ14" s="261">
        <f t="shared" si="2"/>
        <v>2.0695420523504453E-3</v>
      </c>
    </row>
    <row r="15" spans="1:36" ht="11.25" customHeight="1" thickBot="1" x14ac:dyDescent="0.25">
      <c r="P15" s="272"/>
      <c r="AF15" s="290">
        <f>_xll.qlCalendarAdvance(Calendar,AF14,"1d","mf",,Trigger)</f>
        <v>41961</v>
      </c>
      <c r="AG15" s="301">
        <f>_xll.qlDayCounterYearFraction(DayCounterON,SettlementDate,AF15,,,Trigger)</f>
        <v>4.9315068493150684E-2</v>
      </c>
      <c r="AH15" s="291">
        <f t="shared" si="0"/>
        <v>2.1508333921951258E-3</v>
      </c>
      <c r="AI15" s="291">
        <f t="shared" si="1"/>
        <v>1.9976337715612988E-3</v>
      </c>
      <c r="AJ15" s="261">
        <f t="shared" si="2"/>
        <v>2.0689729038342835E-3</v>
      </c>
    </row>
    <row r="16" spans="1:36" ht="11.25" customHeight="1" thickBot="1" x14ac:dyDescent="0.25">
      <c r="M16" s="328" t="s">
        <v>164</v>
      </c>
      <c r="N16" s="329"/>
      <c r="O16" s="330"/>
      <c r="P16" s="272"/>
      <c r="AF16" s="290">
        <f>_xll.qlCalendarAdvance(Calendar,AF15,"1d","mf",,Trigger)</f>
        <v>41962</v>
      </c>
      <c r="AG16" s="301">
        <f>_xll.qlDayCounterYearFraction(DayCounterON,SettlementDate,AF16,,,Trigger)</f>
        <v>5.2054794520547946E-2</v>
      </c>
      <c r="AH16" s="291">
        <f t="shared" si="0"/>
        <v>2.1508333921951258E-3</v>
      </c>
      <c r="AI16" s="291">
        <f t="shared" si="1"/>
        <v>1.9997468697769377E-3</v>
      </c>
      <c r="AJ16" s="261">
        <f t="shared" si="2"/>
        <v>2.0684343115415079E-3</v>
      </c>
    </row>
    <row r="17" spans="4:36" ht="15.75" customHeight="1" x14ac:dyDescent="0.2">
      <c r="D17" s="267" t="s">
        <v>136</v>
      </c>
      <c r="E17" s="268" t="s">
        <v>106</v>
      </c>
      <c r="F17" s="268" t="s">
        <v>107</v>
      </c>
      <c r="G17" s="282" t="s">
        <v>163</v>
      </c>
      <c r="H17" s="282"/>
      <c r="I17" s="268" t="s">
        <v>39</v>
      </c>
      <c r="J17" s="268"/>
      <c r="K17" s="268"/>
      <c r="L17" s="268"/>
      <c r="M17" s="331" t="s">
        <v>126</v>
      </c>
      <c r="N17" s="269" t="s">
        <v>125</v>
      </c>
      <c r="O17" s="269" t="s">
        <v>203</v>
      </c>
      <c r="P17" s="272"/>
      <c r="AF17" s="290">
        <f>_xll.qlCalendarAdvance(Calendar,AF16,"1d","mf",,Trigger)</f>
        <v>41963</v>
      </c>
      <c r="AG17" s="301">
        <f>_xll.qlDayCounterYearFraction(DayCounterON,SettlementDate,AF17,,,Trigger)</f>
        <v>5.4794520547945202E-2</v>
      </c>
      <c r="AH17" s="291">
        <f t="shared" si="0"/>
        <v>2.1508333921951258E-3</v>
      </c>
      <c r="AI17" s="291">
        <f t="shared" si="1"/>
        <v>2.0018599679925766E-3</v>
      </c>
      <c r="AJ17" s="261">
        <f t="shared" si="2"/>
        <v>2.0679262754721181E-3</v>
      </c>
    </row>
    <row r="18" spans="4:36" ht="11.25" customHeight="1" x14ac:dyDescent="0.2">
      <c r="D18" s="306" t="s">
        <v>48</v>
      </c>
      <c r="E18" s="297">
        <f t="shared" ref="E18:E27" si="4">SettlementDate</f>
        <v>41943</v>
      </c>
      <c r="F18" s="298">
        <f>_xll.qlCalendarAdvance(Calendar,SettlementDate,D18,"Following",,Trigger)</f>
        <v>41946</v>
      </c>
      <c r="G18" s="299" t="str">
        <f>_xll.qlMakeDatedOIS(,E18,F18,OvernightIndex,0,,,,EvaluationDate)</f>
        <v>obj_00595#0000</v>
      </c>
      <c r="H18" s="308" t="b">
        <f>_xll.qlInstrumentSetPricingEngine(G18,OisEngine)</f>
        <v>1</v>
      </c>
      <c r="I18" s="296">
        <f>_xll.qlOvernightIndexedSwapFairRate(G18,_xll.ohTrigger(InterestRatesTrigger))</f>
        <v>5.0792457034987137E-4</v>
      </c>
      <c r="J18" s="323">
        <f>_xll.qlDayCounterYearFraction(DayCounterOIS,E18,F18,,,Trigger)</f>
        <v>8.3333333333333332E-3</v>
      </c>
      <c r="K18" s="323">
        <f>_xll.qlDayCounterYearFraction(DayCounter6M,E18,F18,,,Trigger)</f>
        <v>8.3333333333333332E-3</v>
      </c>
      <c r="L18" s="323">
        <f>_xll.qlDayCounterYearFraction(DayCounterON,E18,F18,,,Trigger)</f>
        <v>8.21917808219178E-3</v>
      </c>
      <c r="M18" s="291">
        <f>($I18*$J18+$W$13*L18)/$K18</f>
        <v>2.6292944914190364E-3</v>
      </c>
      <c r="N18" s="291">
        <f>($I18*$J18+($W$10*L18+$W$9*L18^2/2))/$K18</f>
        <v>2.4438049932571917E-3</v>
      </c>
      <c r="O18" s="291">
        <f>($I18*$J18+($W$5*L18+$W$4*L18^2/2+$W$3*L18^3/3))/$K18</f>
        <v>2.5616828399391378E-3</v>
      </c>
      <c r="P18" s="272"/>
      <c r="AF18" s="290">
        <f>_xll.qlCalendarAdvance(Calendar,AF17,"1d","mf",,Trigger)</f>
        <v>41964</v>
      </c>
      <c r="AG18" s="301">
        <f>_xll.qlDayCounterYearFraction(DayCounterON,SettlementDate,AF18,,,Trigger)</f>
        <v>5.7534246575342465E-2</v>
      </c>
      <c r="AH18" s="291">
        <f t="shared" si="0"/>
        <v>2.1508333921951258E-3</v>
      </c>
      <c r="AI18" s="291">
        <f t="shared" si="1"/>
        <v>2.0039730662082156E-3</v>
      </c>
      <c r="AJ18" s="261">
        <f t="shared" si="2"/>
        <v>2.0674487956261148E-3</v>
      </c>
    </row>
    <row r="19" spans="4:36" ht="11.25" customHeight="1" x14ac:dyDescent="0.2">
      <c r="D19" s="304" t="s">
        <v>49</v>
      </c>
      <c r="E19" s="258">
        <f>SettlementDate</f>
        <v>41943</v>
      </c>
      <c r="F19" s="300">
        <f>_xll.qlCalendarAdvance(Calendar,SettlementDate,D19,"Following",,Trigger)</f>
        <v>41950</v>
      </c>
      <c r="G19" s="301" t="str">
        <f>_xll.qlMakeDatedOIS(,E19,F19,OvernightIndex,0,,,,EvaluationDate)</f>
        <v>obj_0059e#0000</v>
      </c>
      <c r="H19" s="309" t="b">
        <f>_xll.qlInstrumentSetPricingEngine(G19,OisEngine)</f>
        <v>1</v>
      </c>
      <c r="I19" s="260">
        <f>_xll.qlOvernightIndexedSwapFairRate(G19,_xll.ohTrigger(InterestRatesTrigger))</f>
        <v>3.9999999543484572E-4</v>
      </c>
      <c r="J19" s="323">
        <f>_xll.qlDayCounterYearFraction(DayCounterOIS,E19,F19,,,Trigger)</f>
        <v>1.9444444444444445E-2</v>
      </c>
      <c r="K19" s="323">
        <f>_xll.qlDayCounterYearFraction(DayCounter6M,E19,F19,,,Trigger)</f>
        <v>1.9444444444444445E-2</v>
      </c>
      <c r="L19" s="323">
        <f>_xll.qlDayCounterYearFraction(DayCounterON,E19,F19,,,Trigger)</f>
        <v>1.9178082191780823E-2</v>
      </c>
      <c r="M19" s="291">
        <f>($I19*$J19+$W$13*L19)/$K19</f>
        <v>2.521369916504011E-3</v>
      </c>
      <c r="N19" s="291">
        <f t="shared" ref="N19:N27" si="5">($I19*$J19+($W$10*L19+$W$9*L19^2/2))/$K19</f>
        <v>2.340048721671646E-3</v>
      </c>
      <c r="O19" s="291">
        <f t="shared" ref="O19:O27" si="6">($I19*$J19+($W$5*L19+$W$4*L19^2/2+$W$3*L19^3/3))/$K19</f>
        <v>2.4517816611606185E-3</v>
      </c>
      <c r="P19" s="272"/>
      <c r="AF19" s="290">
        <f>_xll.qlCalendarAdvance(Calendar,AF18,"1d","mf",,Trigger)</f>
        <v>41967</v>
      </c>
      <c r="AG19" s="301">
        <f>_xll.qlDayCounterYearFraction(DayCounterON,SettlementDate,AF19,,,Trigger)</f>
        <v>6.575342465753424E-2</v>
      </c>
      <c r="AH19" s="291">
        <f t="shared" si="0"/>
        <v>2.1508333921951258E-3</v>
      </c>
      <c r="AI19" s="291">
        <f t="shared" si="1"/>
        <v>2.0103123608551329E-3</v>
      </c>
      <c r="AJ19" s="261">
        <f t="shared" si="2"/>
        <v>2.0661996934284218E-3</v>
      </c>
    </row>
    <row r="20" spans="4:36" ht="11.25" customHeight="1" x14ac:dyDescent="0.2">
      <c r="D20" s="304" t="s">
        <v>50</v>
      </c>
      <c r="E20" s="258">
        <f t="shared" si="4"/>
        <v>41943</v>
      </c>
      <c r="F20" s="300">
        <f>_xll.qlCalendarAdvance(Calendar,SettlementDate,D20,"Following",,Trigger)</f>
        <v>41957</v>
      </c>
      <c r="G20" s="301" t="str">
        <f>_xll.qlMakeDatedOIS(,E20,F20,OvernightIndex,0,,,,EvaluationDate)</f>
        <v>obj_005ae#0000</v>
      </c>
      <c r="H20" s="309" t="b">
        <f>_xll.qlInstrumentSetPricingEngine(G20,OisEngine)</f>
        <v>1</v>
      </c>
      <c r="I20" s="260">
        <f>_xll.qlOvernightIndexedSwapFairRate(G20,_xll.ohTrigger(InterestRatesTrigger))</f>
        <v>1.7999999389863217E-4</v>
      </c>
      <c r="J20" s="323">
        <f>_xll.qlDayCounterYearFraction(DayCounterOIS,E20,F20,,,Trigger)</f>
        <v>3.888888888888889E-2</v>
      </c>
      <c r="K20" s="323">
        <f>_xll.qlDayCounterYearFraction(DayCounter6M,E20,F20,,,Trigger)</f>
        <v>3.888888888888889E-2</v>
      </c>
      <c r="L20" s="323">
        <f>_xll.qlDayCounterYearFraction(DayCounterON,E20,F20,,,Trigger)</f>
        <v>3.8356164383561646E-2</v>
      </c>
      <c r="M20" s="291">
        <f t="shared" ref="M20:M27" si="7">($I20*$J20+$W$13*L20)/$K20</f>
        <v>2.3013699149677974E-3</v>
      </c>
      <c r="N20" s="291">
        <f t="shared" si="5"/>
        <v>2.1273432509620219E-3</v>
      </c>
      <c r="O20" s="291">
        <f t="shared" si="6"/>
        <v>2.2287093693072464E-3</v>
      </c>
      <c r="P20" s="272"/>
      <c r="AF20" s="290">
        <f>_xll.qlCalendarAdvance(Calendar,AF19,"1d","mf",,Trigger)</f>
        <v>41968</v>
      </c>
      <c r="AG20" s="301">
        <f>_xll.qlDayCounterYearFraction(DayCounterON,SettlementDate,AF20,,,Trigger)</f>
        <v>6.8493150684931503E-2</v>
      </c>
      <c r="AH20" s="291">
        <f t="shared" si="0"/>
        <v>2.1508333921951258E-3</v>
      </c>
      <c r="AI20" s="291">
        <f t="shared" si="1"/>
        <v>2.0124254590707718E-3</v>
      </c>
      <c r="AJ20" s="261">
        <f t="shared" si="2"/>
        <v>2.0658444384759633E-3</v>
      </c>
    </row>
    <row r="21" spans="4:36" ht="11.25" customHeight="1" x14ac:dyDescent="0.2">
      <c r="D21" s="304" t="s">
        <v>51</v>
      </c>
      <c r="E21" s="258">
        <f t="shared" si="4"/>
        <v>41943</v>
      </c>
      <c r="F21" s="300">
        <f>_xll.qlCalendarAdvance(Calendar,SettlementDate,D21,"Following",,Trigger)</f>
        <v>41964</v>
      </c>
      <c r="G21" s="301" t="str">
        <f>_xll.qlMakeDatedOIS(,E21,F21,OvernightIndex,0,,,,EvaluationDate)</f>
        <v>obj_005a5#0000</v>
      </c>
      <c r="H21" s="309" t="b">
        <f>_xll.qlInstrumentSetPricingEngine(G21,OisEngine)</f>
        <v>1</v>
      </c>
      <c r="I21" s="260">
        <f>_xll.qlOvernightIndexedSwapFairRate(G21,_xll.ohTrigger(InterestRatesTrigger))</f>
        <v>1.1999999085077208E-4</v>
      </c>
      <c r="J21" s="323">
        <f>_xll.qlDayCounterYearFraction(DayCounterOIS,E21,F21,,,Trigger)</f>
        <v>5.8333333333333334E-2</v>
      </c>
      <c r="K21" s="323">
        <f>_xll.qlDayCounterYearFraction(DayCounter6M,E21,F21,,,Trigger)</f>
        <v>5.8333333333333334E-2</v>
      </c>
      <c r="L21" s="323">
        <f>_xll.qlDayCounterYearFraction(DayCounterON,E21,F21,,,Trigger)</f>
        <v>5.7534246575342465E-2</v>
      </c>
      <c r="M21" s="291">
        <f t="shared" si="7"/>
        <v>2.2413699119199371E-3</v>
      </c>
      <c r="N21" s="291">
        <f t="shared" si="5"/>
        <v>2.074637778740751E-3</v>
      </c>
      <c r="O21" s="291">
        <f t="shared" si="6"/>
        <v>2.166129324143627E-3</v>
      </c>
      <c r="P21" s="272"/>
      <c r="AF21" s="290">
        <f>_xll.qlCalendarAdvance(Calendar,AF20,"1d","mf",,Trigger)</f>
        <v>41969</v>
      </c>
      <c r="AG21" s="301">
        <f>_xll.qlDayCounterYearFraction(DayCounterON,SettlementDate,AF21,,,Trigger)</f>
        <v>7.1232876712328766E-2</v>
      </c>
      <c r="AH21" s="291">
        <f t="shared" si="0"/>
        <v>2.1508333921951258E-3</v>
      </c>
      <c r="AI21" s="291">
        <f t="shared" si="1"/>
        <v>2.0145385572864108E-3</v>
      </c>
      <c r="AJ21" s="261">
        <f t="shared" si="2"/>
        <v>2.0655197397468905E-3</v>
      </c>
    </row>
    <row r="22" spans="4:36" ht="11.25" customHeight="1" x14ac:dyDescent="0.2">
      <c r="D22" s="304" t="s">
        <v>45</v>
      </c>
      <c r="E22" s="258">
        <f t="shared" si="4"/>
        <v>41943</v>
      </c>
      <c r="F22" s="300">
        <f>_xll.qlCalendarAdvance(Calendar,SettlementDate,D22,"mf",TRUE,Trigger)</f>
        <v>41971</v>
      </c>
      <c r="G22" s="301" t="str">
        <f>_xll.qlMakeDatedOIS(,E22,F22,OvernightIndex,0,,,,EvaluationDate)</f>
        <v>obj_005a1#0000</v>
      </c>
      <c r="H22" s="309" t="b">
        <f>_xll.qlInstrumentSetPricingEngine(G22,OisEngine)</f>
        <v>1</v>
      </c>
      <c r="I22" s="260">
        <f>_xll.qlOvernightIndexedSwapFairRate(G22,_xll.ohTrigger(InterestRatesTrigger))</f>
        <v>8.9999987802347192E-5</v>
      </c>
      <c r="J22" s="323">
        <f>_xll.qlDayCounterYearFraction(DayCounterOIS,E22,F22,,,Trigger)</f>
        <v>7.7777777777777779E-2</v>
      </c>
      <c r="K22" s="323">
        <f>_xll.qlDayCounterYearFraction(DayCounter6M,E22,F22,,,Trigger)</f>
        <v>7.7777777777777779E-2</v>
      </c>
      <c r="L22" s="323">
        <f>_xll.qlDayCounterYearFraction(DayCounterON,E22,F22,,,Trigger)</f>
        <v>7.6712328767123292E-2</v>
      </c>
      <c r="M22" s="291">
        <f t="shared" si="7"/>
        <v>2.2113699088715123E-3</v>
      </c>
      <c r="N22" s="291">
        <f t="shared" si="5"/>
        <v>2.051932306518916E-3</v>
      </c>
      <c r="O22" s="291">
        <f t="shared" si="6"/>
        <v>2.1340415271808417E-3</v>
      </c>
      <c r="P22" s="272"/>
      <c r="AF22" s="290">
        <f>_xll.qlCalendarAdvance(Calendar,AF21,"1d","mf",,Trigger)</f>
        <v>41970</v>
      </c>
      <c r="AG22" s="301">
        <f>_xll.qlDayCounterYearFraction(DayCounterON,SettlementDate,AF22,,,Trigger)</f>
        <v>7.3972602739726029E-2</v>
      </c>
      <c r="AH22" s="291">
        <f t="shared" si="0"/>
        <v>2.1508333921951258E-3</v>
      </c>
      <c r="AI22" s="291">
        <f t="shared" si="1"/>
        <v>2.0166516555020497E-3</v>
      </c>
      <c r="AJ22" s="261">
        <f t="shared" si="2"/>
        <v>2.0652255972412039E-3</v>
      </c>
    </row>
    <row r="23" spans="4:36" ht="11.25" customHeight="1" x14ac:dyDescent="0.2">
      <c r="D23" s="304" t="s">
        <v>52</v>
      </c>
      <c r="E23" s="258">
        <f t="shared" si="4"/>
        <v>41943</v>
      </c>
      <c r="F23" s="300">
        <f>_xll.qlCalendarAdvance(Calendar,SettlementDate,D23,"mf",TRUE,Trigger)</f>
        <v>42004</v>
      </c>
      <c r="G23" s="301" t="str">
        <f>_xll.qlMakeDatedOIS(,E23,F23,OvernightIndex,0,,,,EvaluationDate)</f>
        <v>obj_0059f#0000</v>
      </c>
      <c r="H23" s="309" t="b">
        <f>_xll.qlInstrumentSetPricingEngine(G23,OisEngine)</f>
        <v>1</v>
      </c>
      <c r="I23" s="260">
        <f>_xll.qlOvernightIndexedSwapFairRate(G23,_xll.ohTrigger(InterestRatesTrigger))</f>
        <v>4.9999999999999955E-5</v>
      </c>
      <c r="J23" s="323">
        <f>_xll.qlDayCounterYearFraction(DayCounterOIS,E23,F23,,,Trigger)</f>
        <v>0.16944444444444445</v>
      </c>
      <c r="K23" s="323">
        <f>_xll.qlDayCounterYearFraction(DayCounter6M,E23,F23,,,Trigger)</f>
        <v>0.16944444444444445</v>
      </c>
      <c r="L23" s="323">
        <f>_xll.qlDayCounterYearFraction(DayCounterON,E23,F23,,,Trigger)</f>
        <v>0.16712328767123288</v>
      </c>
      <c r="M23" s="291">
        <f t="shared" si="7"/>
        <v>2.1713699210691652E-3</v>
      </c>
      <c r="N23" s="291">
        <f t="shared" si="5"/>
        <v>2.046320821184775E-3</v>
      </c>
      <c r="O23" s="291">
        <f t="shared" si="6"/>
        <v>2.0908293642500457E-3</v>
      </c>
      <c r="P23" s="272"/>
      <c r="AF23" s="290">
        <f>_xll.qlCalendarAdvance(Calendar,AF22,"1d","mf",,Trigger)</f>
        <v>41971</v>
      </c>
      <c r="AG23" s="301">
        <f>_xll.qlDayCounterYearFraction(DayCounterON,SettlementDate,AF23,,,Trigger)</f>
        <v>7.6712328767123292E-2</v>
      </c>
      <c r="AH23" s="291">
        <f t="shared" si="0"/>
        <v>2.1508333921951258E-3</v>
      </c>
      <c r="AI23" s="291">
        <f t="shared" si="1"/>
        <v>2.0187647537176887E-3</v>
      </c>
      <c r="AJ23" s="261">
        <f t="shared" si="2"/>
        <v>2.064962010958904E-3</v>
      </c>
    </row>
    <row r="24" spans="4:36" ht="11.25" customHeight="1" x14ac:dyDescent="0.2">
      <c r="D24" s="304" t="s">
        <v>46</v>
      </c>
      <c r="E24" s="258">
        <f t="shared" si="4"/>
        <v>41943</v>
      </c>
      <c r="F24" s="300">
        <f>_xll.qlCalendarAdvance(Calendar,SettlementDate,D24,"mf",TRUE,Trigger)</f>
        <v>42034</v>
      </c>
      <c r="G24" s="301" t="str">
        <f>_xll.qlMakeDatedOIS(,E24,F24,OvernightIndex,0,,,,EvaluationDate)</f>
        <v>obj_0059d#0000</v>
      </c>
      <c r="H24" s="309" t="b">
        <f>_xll.qlInstrumentSetPricingEngine(G24,OisEngine)</f>
        <v>1</v>
      </c>
      <c r="I24" s="260">
        <f>_xll.qlOvernightIndexedSwapFairRate(G24,_xll.ohTrigger(InterestRatesTrigger))</f>
        <v>-1.7921313597080646E-5</v>
      </c>
      <c r="J24" s="323">
        <f>_xll.qlDayCounterYearFraction(DayCounterOIS,E24,F24,,,Trigger)</f>
        <v>0.25277777777777777</v>
      </c>
      <c r="K24" s="323">
        <f>_xll.qlDayCounterYearFraction(DayCounter6M,E24,F24,,,Trigger)</f>
        <v>0.25277777777777777</v>
      </c>
      <c r="L24" s="323">
        <f>_xll.qlDayCounterYearFraction(DayCounterON,E24,F24,,,Trigger)</f>
        <v>0.24931506849315069</v>
      </c>
      <c r="M24" s="291">
        <f t="shared" si="7"/>
        <v>2.1034486074720847E-3</v>
      </c>
      <c r="N24" s="291">
        <f t="shared" si="5"/>
        <v>2.0096617825587919E-3</v>
      </c>
      <c r="O24" s="291">
        <f t="shared" si="6"/>
        <v>2.0294812496151216E-3</v>
      </c>
      <c r="P24" s="272"/>
      <c r="AF24" s="290">
        <f>_xll.qlCalendarAdvance(Calendar,AF23,"1d","mf",,Trigger)</f>
        <v>41974</v>
      </c>
      <c r="AG24" s="301">
        <f>_xll.qlDayCounterYearFraction(DayCounterON,SettlementDate,AF24,,,Trigger)</f>
        <v>8.4931506849315067E-2</v>
      </c>
      <c r="AH24" s="291">
        <f t="shared" si="0"/>
        <v>2.1508333921951258E-3</v>
      </c>
      <c r="AI24" s="291">
        <f t="shared" si="1"/>
        <v>2.0251040483646059E-3</v>
      </c>
      <c r="AJ24" s="261">
        <f t="shared" si="2"/>
        <v>2.0643545894523203E-3</v>
      </c>
    </row>
    <row r="25" spans="4:36" x14ac:dyDescent="0.2">
      <c r="D25" s="304" t="s">
        <v>53</v>
      </c>
      <c r="E25" s="258">
        <f t="shared" si="4"/>
        <v>41943</v>
      </c>
      <c r="F25" s="300">
        <f>_xll.qlCalendarAdvance(Calendar,SettlementDate,D25,"mf",TRUE,Trigger)</f>
        <v>42062</v>
      </c>
      <c r="G25" s="301" t="str">
        <f>_xll.qlMakeDatedOIS(,E25,F25,OvernightIndex,0,,,,EvaluationDate)</f>
        <v>obj_005ab#0000</v>
      </c>
      <c r="H25" s="309" t="b">
        <f>_xll.qlInstrumentSetPricingEngine(G25,OisEngine)</f>
        <v>1</v>
      </c>
      <c r="I25" s="260">
        <f>_xll.qlOvernightIndexedSwapFairRate(G25,_xll.ohTrigger(InterestRatesTrigger))</f>
        <v>-2.0000000000332543E-5</v>
      </c>
      <c r="J25" s="323">
        <f>_xll.qlDayCounterYearFraction(DayCounterOIS,E25,F25,,,Trigger)</f>
        <v>0.33055555555555555</v>
      </c>
      <c r="K25" s="323">
        <f>_xll.qlDayCounterYearFraction(DayCounter6M,E25,F25,,,Trigger)</f>
        <v>0.33055555555555555</v>
      </c>
      <c r="L25" s="323">
        <f>_xll.qlDayCounterYearFraction(DayCounterON,E25,F25,,,Trigger)</f>
        <v>0.32602739726027397</v>
      </c>
      <c r="M25" s="291">
        <f t="shared" si="7"/>
        <v>2.1013699210688324E-3</v>
      </c>
      <c r="N25" s="291">
        <f t="shared" si="5"/>
        <v>2.0367612194618981E-3</v>
      </c>
      <c r="O25" s="291">
        <f t="shared" si="6"/>
        <v>2.0416948048187799E-3</v>
      </c>
      <c r="P25" s="272"/>
      <c r="AF25" s="290">
        <f>_xll.qlCalendarAdvance(Calendar,AF24,"1d","mf",,Trigger)</f>
        <v>41975</v>
      </c>
      <c r="AG25" s="301">
        <f>_xll.qlDayCounterYearFraction(DayCounterON,SettlementDate,AF25,,,Trigger)</f>
        <v>8.7671232876712329E-2</v>
      </c>
      <c r="AH25" s="291">
        <f t="shared" si="0"/>
        <v>2.1508333921951258E-3</v>
      </c>
      <c r="AI25" s="291">
        <f t="shared" si="1"/>
        <v>2.0272171465802449E-3</v>
      </c>
      <c r="AJ25" s="261">
        <f t="shared" si="2"/>
        <v>2.0642132280635646E-3</v>
      </c>
    </row>
    <row r="26" spans="4:36" x14ac:dyDescent="0.2">
      <c r="D26" s="304" t="s">
        <v>54</v>
      </c>
      <c r="E26" s="258">
        <f t="shared" si="4"/>
        <v>41943</v>
      </c>
      <c r="F26" s="300">
        <f>_xll.qlCalendarAdvance(Calendar,SettlementDate,D26,"mf",TRUE,Trigger)</f>
        <v>42094</v>
      </c>
      <c r="G26" s="301" t="str">
        <f>_xll.qlMakeDatedOIS(,E26,F26,OvernightIndex,0,,,,EvaluationDate)</f>
        <v>obj_005a0#0000</v>
      </c>
      <c r="H26" s="309" t="b">
        <f>_xll.qlInstrumentSetPricingEngine(G26,OisEngine)</f>
        <v>1</v>
      </c>
      <c r="I26" s="260">
        <f>_xll.qlOvernightIndexedSwapFairRate(G26,_xll.ohTrigger(InterestRatesTrigger))</f>
        <v>-1.9999999999707521E-5</v>
      </c>
      <c r="J26" s="323">
        <f>_xll.qlDayCounterYearFraction(DayCounterOIS,E26,F26,,,Trigger)</f>
        <v>0.41944444444444445</v>
      </c>
      <c r="K26" s="323">
        <f>_xll.qlDayCounterYearFraction(DayCounter6M,E26,F26,,,Trigger)</f>
        <v>0.41944444444444445</v>
      </c>
      <c r="L26" s="323">
        <f>_xll.qlDayCounterYearFraction(DayCounterON,E26,F26,,,Trigger)</f>
        <v>0.41369863013698632</v>
      </c>
      <c r="M26" s="291">
        <f t="shared" si="7"/>
        <v>2.1013699210694578E-3</v>
      </c>
      <c r="N26" s="291">
        <f t="shared" si="5"/>
        <v>2.0701076460983604E-3</v>
      </c>
      <c r="O26" s="291">
        <f t="shared" si="6"/>
        <v>2.0676728416220559E-3</v>
      </c>
      <c r="P26" s="272"/>
      <c r="AF26" s="290">
        <f>_xll.qlCalendarAdvance(Calendar,AF25,"1d","mf",,Trigger)</f>
        <v>41976</v>
      </c>
      <c r="AG26" s="301">
        <f>_xll.qlDayCounterYearFraction(DayCounterON,SettlementDate,AF26,,,Trigger)</f>
        <v>9.0410958904109592E-2</v>
      </c>
      <c r="AH26" s="291">
        <f t="shared" si="0"/>
        <v>2.1508333921951258E-3</v>
      </c>
      <c r="AI26" s="291">
        <f t="shared" si="1"/>
        <v>2.0293302447958838E-3</v>
      </c>
      <c r="AJ26" s="261">
        <f t="shared" si="2"/>
        <v>2.0641024228981947E-3</v>
      </c>
    </row>
    <row r="27" spans="4:36" ht="12" thickBot="1" x14ac:dyDescent="0.25">
      <c r="D27" s="305" t="s">
        <v>47</v>
      </c>
      <c r="E27" s="263">
        <f t="shared" si="4"/>
        <v>41943</v>
      </c>
      <c r="F27" s="302">
        <f>_xll.qlCalendarAdvance(Calendar,SettlementDate,D27,"mf",TRUE,Trigger)</f>
        <v>42124</v>
      </c>
      <c r="G27" s="303" t="str">
        <f>_xll.qlMakeDatedOIS(,E27,F27,OvernightIndex,0,,,,EvaluationDate)</f>
        <v>obj_005a2#0000</v>
      </c>
      <c r="H27" s="310" t="b">
        <f>_xll.qlInstrumentSetPricingEngine(G27,OisEngine)</f>
        <v>1</v>
      </c>
      <c r="I27" s="265">
        <f>_xll.qlOvernightIndexedSwapFairRate(G27,_xll.ohTrigger(InterestRatesTrigger))</f>
        <v>-6.0000000000216422E-5</v>
      </c>
      <c r="J27" s="326">
        <f>_xll.qlDayCounterYearFraction(DayCounterOIS,E27,F27,,,Trigger)</f>
        <v>0.50277777777777777</v>
      </c>
      <c r="K27" s="326">
        <f>_xll.qlDayCounterYearFraction(DayCounter6M,E27,F27,,,Trigger)</f>
        <v>0.50277777777777777</v>
      </c>
      <c r="L27" s="326">
        <f>_xll.qlDayCounterYearFraction(DayCounterON,E27,F27,,,Trigger)</f>
        <v>0.49589041095890413</v>
      </c>
      <c r="M27" s="293">
        <f t="shared" si="7"/>
        <v>2.0613699210689489E-3</v>
      </c>
      <c r="N27" s="293">
        <f t="shared" si="5"/>
        <v>2.0613699210689494E-3</v>
      </c>
      <c r="O27" s="293">
        <f t="shared" si="6"/>
        <v>2.0613699210689524E-3</v>
      </c>
      <c r="P27" s="272"/>
      <c r="AF27" s="290">
        <f>_xll.qlCalendarAdvance(Calendar,AF26,"1d","mf",,Trigger)</f>
        <v>41977</v>
      </c>
      <c r="AG27" s="301">
        <f>_xll.qlDayCounterYearFraction(DayCounterON,SettlementDate,AF27,,,Trigger)</f>
        <v>9.3150684931506855E-2</v>
      </c>
      <c r="AH27" s="291">
        <f t="shared" si="0"/>
        <v>2.1508333921951258E-3</v>
      </c>
      <c r="AI27" s="291">
        <f t="shared" si="1"/>
        <v>2.0314433430115228E-3</v>
      </c>
      <c r="AJ27" s="261">
        <f t="shared" si="2"/>
        <v>2.0640221739562114E-3</v>
      </c>
    </row>
    <row r="28" spans="4:36" x14ac:dyDescent="0.2">
      <c r="AF28" s="290">
        <f>_xll.qlCalendarAdvance(Calendar,AF27,"1d","mf",,Trigger)</f>
        <v>41978</v>
      </c>
      <c r="AG28" s="301">
        <f>_xll.qlDayCounterYearFraction(DayCounterON,SettlementDate,AF28,,,Trigger)</f>
        <v>9.5890410958904104E-2</v>
      </c>
      <c r="AH28" s="291">
        <f t="shared" si="0"/>
        <v>2.1508333921951258E-3</v>
      </c>
      <c r="AI28" s="291">
        <f t="shared" si="1"/>
        <v>2.0335564412271617E-3</v>
      </c>
      <c r="AJ28" s="261">
        <f t="shared" si="2"/>
        <v>2.0639724812376147E-3</v>
      </c>
    </row>
    <row r="29" spans="4:36" ht="12" thickBot="1" x14ac:dyDescent="0.25">
      <c r="AF29" s="290">
        <f>_xll.qlCalendarAdvance(Calendar,AF28,"1d","mf",,Trigger)</f>
        <v>41981</v>
      </c>
      <c r="AG29" s="301">
        <f>_xll.qlDayCounterYearFraction(DayCounterON,SettlementDate,AF29,,,Trigger)</f>
        <v>0.10410958904109589</v>
      </c>
      <c r="AH29" s="291">
        <f t="shared" si="0"/>
        <v>2.1508333921951258E-3</v>
      </c>
      <c r="AI29" s="291">
        <f t="shared" si="1"/>
        <v>2.0398957358740786E-3</v>
      </c>
      <c r="AJ29" s="261">
        <f t="shared" si="2"/>
        <v>2.0640067404221404E-3</v>
      </c>
    </row>
    <row r="30" spans="4:36" ht="12.75" customHeight="1" x14ac:dyDescent="0.2">
      <c r="D30" s="331" t="s">
        <v>167</v>
      </c>
      <c r="AF30" s="290">
        <f>_xll.qlCalendarAdvance(Calendar,AF29,"1d","mf",,Trigger)</f>
        <v>41982</v>
      </c>
      <c r="AG30" s="301">
        <f>_xll.qlDayCounterYearFraction(DayCounterON,SettlementDate,AF30,,,Trigger)</f>
        <v>0.10684931506849316</v>
      </c>
      <c r="AH30" s="291">
        <f t="shared" si="0"/>
        <v>2.1508333921951258E-3</v>
      </c>
      <c r="AI30" s="291">
        <f t="shared" si="1"/>
        <v>2.042008834089718E-3</v>
      </c>
      <c r="AJ30" s="261">
        <f t="shared" si="2"/>
        <v>2.0640792725970876E-3</v>
      </c>
    </row>
    <row r="31" spans="4:36" x14ac:dyDescent="0.2">
      <c r="D31" s="335" t="s">
        <v>124</v>
      </c>
      <c r="AF31" s="290">
        <f>_xll.qlCalendarAdvance(Calendar,AF30,"1d","mf",,Trigger)</f>
        <v>41983</v>
      </c>
      <c r="AG31" s="301">
        <f>_xll.qlDayCounterYearFraction(DayCounterON,SettlementDate,AF31,,,Trigger)</f>
        <v>0.1095890410958904</v>
      </c>
      <c r="AH31" s="291">
        <f t="shared" si="0"/>
        <v>2.1508333921951258E-3</v>
      </c>
      <c r="AI31" s="291">
        <f t="shared" si="1"/>
        <v>2.0441219323053569E-3</v>
      </c>
      <c r="AJ31" s="261">
        <f t="shared" si="2"/>
        <v>2.064182360995421E-3</v>
      </c>
    </row>
    <row r="32" spans="4:36" x14ac:dyDescent="0.2">
      <c r="D32" s="291">
        <f t="shared" ref="D32:D41" si="8">IF($D$31="FLAT",M18,IF($D$31="linear",N18,O18))</f>
        <v>2.5616828399391378E-3</v>
      </c>
      <c r="AF32" s="290">
        <f>_xll.qlCalendarAdvance(Calendar,AF31,"1d","mf",,Trigger)</f>
        <v>41984</v>
      </c>
      <c r="AG32" s="301">
        <f>_xll.qlDayCounterYearFraction(DayCounterON,SettlementDate,AF32,,,Trigger)</f>
        <v>0.11232876712328767</v>
      </c>
      <c r="AH32" s="291">
        <f t="shared" si="0"/>
        <v>2.1508333921951258E-3</v>
      </c>
      <c r="AI32" s="291">
        <f t="shared" si="1"/>
        <v>2.0462350305209959E-3</v>
      </c>
      <c r="AJ32" s="261">
        <f t="shared" si="2"/>
        <v>2.0643160056171414E-3</v>
      </c>
    </row>
    <row r="33" spans="4:36" x14ac:dyDescent="0.2">
      <c r="D33" s="291">
        <f t="shared" si="8"/>
        <v>2.4517816611606185E-3</v>
      </c>
      <c r="AF33" s="290">
        <f>_xll.qlCalendarAdvance(Calendar,AF32,"1d","mf",,Trigger)</f>
        <v>41985</v>
      </c>
      <c r="AG33" s="301">
        <f>_xll.qlDayCounterYearFraction(DayCounterON,SettlementDate,AF33,,,Trigger)</f>
        <v>0.11506849315068493</v>
      </c>
      <c r="AH33" s="291">
        <f t="shared" si="0"/>
        <v>2.1508333921951258E-3</v>
      </c>
      <c r="AI33" s="291">
        <f t="shared" si="1"/>
        <v>2.0483481287366348E-3</v>
      </c>
      <c r="AJ33" s="261">
        <f t="shared" si="2"/>
        <v>2.0644802064622471E-3</v>
      </c>
    </row>
    <row r="34" spans="4:36" x14ac:dyDescent="0.2">
      <c r="D34" s="291">
        <f t="shared" si="8"/>
        <v>2.2287093693072464E-3</v>
      </c>
      <c r="AF34" s="290">
        <f>_xll.qlCalendarAdvance(Calendar,AF33,"1d","mf",,Trigger)</f>
        <v>41988</v>
      </c>
      <c r="AG34" s="301">
        <f>_xll.qlDayCounterYearFraction(DayCounterON,SettlementDate,AF34,,,Trigger)</f>
        <v>0.12328767123287671</v>
      </c>
      <c r="AH34" s="291">
        <f t="shared" si="0"/>
        <v>2.1508333921951258E-3</v>
      </c>
      <c r="AI34" s="291">
        <f t="shared" si="1"/>
        <v>2.0546874233835517E-3</v>
      </c>
      <c r="AJ34" s="261">
        <f t="shared" si="2"/>
        <v>2.0651561463378822E-3</v>
      </c>
    </row>
    <row r="35" spans="4:36" x14ac:dyDescent="0.2">
      <c r="D35" s="291">
        <f t="shared" si="8"/>
        <v>2.166129324143627E-3</v>
      </c>
      <c r="AF35" s="290">
        <f>_xll.qlCalendarAdvance(Calendar,AF34,"1d","mf",,Trigger)</f>
        <v>41989</v>
      </c>
      <c r="AG35" s="301">
        <f>_xll.qlDayCounterYearFraction(DayCounterON,SettlementDate,AF35,,,Trigger)</f>
        <v>0.12602739726027398</v>
      </c>
      <c r="AH35" s="291">
        <f t="shared" ref="AH35:AH66" si="9">$W$13</f>
        <v>2.1508333921951258E-3</v>
      </c>
      <c r="AI35" s="291">
        <f t="shared" ref="AI35:AI66" si="10">$W$10+$W$9*AG35</f>
        <v>2.0568005215991906E-3</v>
      </c>
      <c r="AJ35" s="261">
        <f t="shared" ref="AJ35:AJ66" si="11">($W$5+$W$4*AG35+$W$3*AG35^2)</f>
        <v>2.0654425720765326E-3</v>
      </c>
    </row>
    <row r="36" spans="4:36" x14ac:dyDescent="0.2">
      <c r="D36" s="291">
        <f t="shared" si="8"/>
        <v>2.1340415271808417E-3</v>
      </c>
      <c r="AF36" s="290">
        <f>_xll.qlCalendarAdvance(Calendar,AF35,"1d","mf",,Trigger)</f>
        <v>41990</v>
      </c>
      <c r="AG36" s="301">
        <f>_xll.qlDayCounterYearFraction(DayCounterON,SettlementDate,AF36,,,Trigger)</f>
        <v>0.12876712328767123</v>
      </c>
      <c r="AH36" s="291">
        <f t="shared" si="9"/>
        <v>2.1508333921951258E-3</v>
      </c>
      <c r="AI36" s="291">
        <f t="shared" si="10"/>
        <v>2.05891361981483E-3</v>
      </c>
      <c r="AJ36" s="261">
        <f t="shared" si="11"/>
        <v>2.0657595540385693E-3</v>
      </c>
    </row>
    <row r="37" spans="4:36" x14ac:dyDescent="0.2">
      <c r="D37" s="291">
        <f t="shared" si="8"/>
        <v>2.0908293642500457E-3</v>
      </c>
      <c r="AF37" s="290">
        <f>_xll.qlCalendarAdvance(Calendar,AF36,"1d","mf",,Trigger)</f>
        <v>41991</v>
      </c>
      <c r="AG37" s="301">
        <f>_xll.qlDayCounterYearFraction(DayCounterON,SettlementDate,AF37,,,Trigger)</f>
        <v>0.13150684931506848</v>
      </c>
      <c r="AH37" s="291">
        <f t="shared" si="9"/>
        <v>2.1508333921951258E-3</v>
      </c>
      <c r="AI37" s="291">
        <f t="shared" si="10"/>
        <v>2.0610267180304689E-3</v>
      </c>
      <c r="AJ37" s="261">
        <f t="shared" si="11"/>
        <v>2.0661070922239925E-3</v>
      </c>
    </row>
    <row r="38" spans="4:36" x14ac:dyDescent="0.2">
      <c r="D38" s="291">
        <f t="shared" si="8"/>
        <v>2.0294812496151216E-3</v>
      </c>
      <c r="AF38" s="290">
        <f>_xll.qlCalendarAdvance(Calendar,AF37,"1d","mf",,Trigger)</f>
        <v>41992</v>
      </c>
      <c r="AG38" s="301">
        <f>_xll.qlDayCounterYearFraction(DayCounterON,SettlementDate,AF38,,,Trigger)</f>
        <v>0.13424657534246576</v>
      </c>
      <c r="AH38" s="291">
        <f t="shared" si="9"/>
        <v>2.1508333921951258E-3</v>
      </c>
      <c r="AI38" s="291">
        <f t="shared" si="10"/>
        <v>2.0631398162461079E-3</v>
      </c>
      <c r="AJ38" s="261">
        <f t="shared" si="11"/>
        <v>2.0664851866328015E-3</v>
      </c>
    </row>
    <row r="39" spans="4:36" x14ac:dyDescent="0.2">
      <c r="D39" s="291">
        <f t="shared" si="8"/>
        <v>2.0416948048187799E-3</v>
      </c>
      <c r="AF39" s="290">
        <f>_xll.qlCalendarAdvance(Calendar,AF38,"1d","mf",,Trigger)</f>
        <v>41995</v>
      </c>
      <c r="AG39" s="301">
        <f>_xll.qlDayCounterYearFraction(DayCounterON,SettlementDate,AF39,,,Trigger)</f>
        <v>0.14246575342465753</v>
      </c>
      <c r="AH39" s="291">
        <f t="shared" si="9"/>
        <v>2.1508333921951258E-3</v>
      </c>
      <c r="AI39" s="291">
        <f t="shared" si="10"/>
        <v>2.0694791108930247E-3</v>
      </c>
      <c r="AJ39" s="261">
        <f t="shared" si="11"/>
        <v>2.0678028071995456E-3</v>
      </c>
    </row>
    <row r="40" spans="4:36" x14ac:dyDescent="0.2">
      <c r="D40" s="291">
        <f t="shared" si="8"/>
        <v>2.0676728416220559E-3</v>
      </c>
      <c r="AF40" s="290">
        <f>_xll.qlCalendarAdvance(Calendar,AF39,"1d","mf",,Trigger)</f>
        <v>41996</v>
      </c>
      <c r="AG40" s="301">
        <f>_xll.qlDayCounterYearFraction(DayCounterON,SettlementDate,AF40,,,Trigger)</f>
        <v>0.14520547945205478</v>
      </c>
      <c r="AH40" s="291">
        <f t="shared" si="9"/>
        <v>2.1508333921951258E-3</v>
      </c>
      <c r="AI40" s="291">
        <f t="shared" si="10"/>
        <v>2.0715922091086637E-3</v>
      </c>
      <c r="AJ40" s="261">
        <f t="shared" si="11"/>
        <v>2.0683031265018993E-3</v>
      </c>
    </row>
    <row r="41" spans="4:36" ht="12" thickBot="1" x14ac:dyDescent="0.25">
      <c r="D41" s="293">
        <f t="shared" si="8"/>
        <v>2.0613699210689524E-3</v>
      </c>
      <c r="AF41" s="290">
        <f>_xll.qlCalendarAdvance(Calendar,AF40,"1d","mf",,Trigger)</f>
        <v>41997</v>
      </c>
      <c r="AG41" s="301">
        <f>_xll.qlDayCounterYearFraction(DayCounterON,SettlementDate,AF41,,,Trigger)</f>
        <v>0.14794520547945206</v>
      </c>
      <c r="AH41" s="291">
        <f t="shared" si="9"/>
        <v>2.1508333921951258E-3</v>
      </c>
      <c r="AI41" s="291">
        <f t="shared" si="10"/>
        <v>2.0737053073243026E-3</v>
      </c>
      <c r="AJ41" s="261">
        <f t="shared" si="11"/>
        <v>2.0688340020276392E-3</v>
      </c>
    </row>
    <row r="42" spans="4:36" x14ac:dyDescent="0.2">
      <c r="AF42" s="290">
        <f>_xll.qlCalendarAdvance(Calendar,AF41,"1d","mf",,Trigger)</f>
        <v>42002</v>
      </c>
      <c r="AG42" s="301">
        <f>_xll.qlDayCounterYearFraction(DayCounterON,SettlementDate,AF42,,,Trigger)</f>
        <v>0.16164383561643836</v>
      </c>
      <c r="AH42" s="291">
        <f t="shared" si="9"/>
        <v>2.1508333921951258E-3</v>
      </c>
      <c r="AI42" s="291">
        <f t="shared" si="10"/>
        <v>2.0842707984024978E-3</v>
      </c>
      <c r="AJ42" s="261">
        <f t="shared" si="11"/>
        <v>2.071946723007131E-3</v>
      </c>
    </row>
    <row r="43" spans="4:36" ht="11.25" customHeight="1" x14ac:dyDescent="0.2">
      <c r="N43" s="333"/>
      <c r="AF43" s="290">
        <f>_xll.qlCalendarAdvance(Calendar,AF42,"1d","mf",,Trigger)</f>
        <v>42003</v>
      </c>
      <c r="AG43" s="301">
        <f>_xll.qlDayCounterYearFraction(DayCounterON,SettlementDate,AF43,,,Trigger)</f>
        <v>0.16438356164383561</v>
      </c>
      <c r="AH43" s="291">
        <f t="shared" si="9"/>
        <v>2.1508333921951258E-3</v>
      </c>
      <c r="AI43" s="291">
        <f t="shared" si="10"/>
        <v>2.0863838966181368E-3</v>
      </c>
      <c r="AJ43" s="261">
        <f t="shared" si="11"/>
        <v>2.0726609358731876E-3</v>
      </c>
    </row>
    <row r="44" spans="4:36" x14ac:dyDescent="0.2">
      <c r="J44" s="272"/>
      <c r="K44" s="272"/>
      <c r="N44" s="333"/>
      <c r="AF44" s="290">
        <f>_xll.qlCalendarAdvance(Calendar,AF43,"1d","mf",,Trigger)</f>
        <v>42004</v>
      </c>
      <c r="AG44" s="301">
        <f>_xll.qlDayCounterYearFraction(DayCounterON,SettlementDate,AF44,,,Trigger)</f>
        <v>0.16712328767123288</v>
      </c>
      <c r="AH44" s="291">
        <f t="shared" si="9"/>
        <v>2.1508333921951258E-3</v>
      </c>
      <c r="AI44" s="291">
        <f t="shared" si="10"/>
        <v>2.0884969948337757E-3</v>
      </c>
      <c r="AJ44" s="261">
        <f t="shared" si="11"/>
        <v>2.0734057049626308E-3</v>
      </c>
    </row>
    <row r="45" spans="4:36" x14ac:dyDescent="0.2">
      <c r="N45" s="333"/>
      <c r="AF45" s="290">
        <f>_xll.qlCalendarAdvance(Calendar,AF44,"1d","mf",,Trigger)</f>
        <v>42006</v>
      </c>
      <c r="AG45" s="301">
        <f>_xll.qlDayCounterYearFraction(DayCounterON,SettlementDate,AF45,,,Trigger)</f>
        <v>0.17260273972602741</v>
      </c>
      <c r="AH45" s="291">
        <f t="shared" si="9"/>
        <v>2.1508333921951258E-3</v>
      </c>
      <c r="AI45" s="291">
        <f t="shared" si="10"/>
        <v>2.0927231912650536E-3</v>
      </c>
      <c r="AJ45" s="261">
        <f t="shared" si="11"/>
        <v>2.0749869118116752E-3</v>
      </c>
    </row>
    <row r="46" spans="4:36" x14ac:dyDescent="0.2">
      <c r="N46" s="333"/>
      <c r="AF46" s="290">
        <f>_xll.qlCalendarAdvance(Calendar,AF45,"1d","mf",,Trigger)</f>
        <v>42009</v>
      </c>
      <c r="AG46" s="301">
        <f>_xll.qlDayCounterYearFraction(DayCounterON,SettlementDate,AF46,,,Trigger)</f>
        <v>0.18082191780821918</v>
      </c>
      <c r="AH46" s="291">
        <f t="shared" si="9"/>
        <v>2.1508333921951258E-3</v>
      </c>
      <c r="AI46" s="291">
        <f t="shared" si="10"/>
        <v>2.0990624859119709E-3</v>
      </c>
      <c r="AJ46" s="261">
        <f t="shared" si="11"/>
        <v>2.0775878937606381E-3</v>
      </c>
    </row>
    <row r="47" spans="4:36" x14ac:dyDescent="0.2">
      <c r="N47" s="333"/>
      <c r="AF47" s="290">
        <f>_xll.qlCalendarAdvance(Calendar,AF46,"1d","mf",,Trigger)</f>
        <v>42010</v>
      </c>
      <c r="AG47" s="301">
        <f>_xll.qlDayCounterYearFraction(DayCounterON,SettlementDate,AF47,,,Trigger)</f>
        <v>0.18356164383561643</v>
      </c>
      <c r="AH47" s="291">
        <f t="shared" si="9"/>
        <v>2.1508333921951258E-3</v>
      </c>
      <c r="AI47" s="291">
        <f t="shared" si="10"/>
        <v>2.1011755841276098E-3</v>
      </c>
      <c r="AJ47" s="261">
        <f t="shared" si="11"/>
        <v>2.0785160001903983E-3</v>
      </c>
    </row>
    <row r="48" spans="4:36" x14ac:dyDescent="0.2">
      <c r="AF48" s="290">
        <f>_xll.qlCalendarAdvance(Calendar,AF47,"1d","mf",,Trigger)</f>
        <v>42011</v>
      </c>
      <c r="AG48" s="301">
        <f>_xll.qlDayCounterYearFraction(DayCounterON,SettlementDate,AF48,,,Trigger)</f>
        <v>0.18630136986301371</v>
      </c>
      <c r="AH48" s="291">
        <f t="shared" si="9"/>
        <v>2.1508333921951258E-3</v>
      </c>
      <c r="AI48" s="291">
        <f t="shared" si="10"/>
        <v>2.1032886823432488E-3</v>
      </c>
      <c r="AJ48" s="261">
        <f t="shared" si="11"/>
        <v>2.0794746628435444E-3</v>
      </c>
    </row>
    <row r="49" spans="10:36" x14ac:dyDescent="0.2">
      <c r="AF49" s="290">
        <f>_xll.qlCalendarAdvance(Calendar,AF48,"1d","mf",,Trigger)</f>
        <v>42012</v>
      </c>
      <c r="AG49" s="301">
        <f>_xll.qlDayCounterYearFraction(DayCounterON,SettlementDate,AF49,,,Trigger)</f>
        <v>0.18904109589041096</v>
      </c>
      <c r="AH49" s="291">
        <f t="shared" si="9"/>
        <v>2.1508333921951258E-3</v>
      </c>
      <c r="AI49" s="291">
        <f t="shared" si="10"/>
        <v>2.1054017805588877E-3</v>
      </c>
      <c r="AJ49" s="261">
        <f t="shared" si="11"/>
        <v>2.0804638817200766E-3</v>
      </c>
    </row>
    <row r="50" spans="10:36" x14ac:dyDescent="0.2">
      <c r="AF50" s="290">
        <f>_xll.qlCalendarAdvance(Calendar,AF49,"1d","mf",,Trigger)</f>
        <v>42013</v>
      </c>
      <c r="AG50" s="301">
        <f>_xll.qlDayCounterYearFraction(DayCounterON,SettlementDate,AF50,,,Trigger)</f>
        <v>0.19178082191780821</v>
      </c>
      <c r="AH50" s="291">
        <f t="shared" si="9"/>
        <v>2.1508333921951258E-3</v>
      </c>
      <c r="AI50" s="291">
        <f t="shared" si="10"/>
        <v>2.1075148787745267E-3</v>
      </c>
      <c r="AJ50" s="261">
        <f t="shared" si="11"/>
        <v>2.081483656819995E-3</v>
      </c>
    </row>
    <row r="51" spans="10:36" x14ac:dyDescent="0.2">
      <c r="AF51" s="290">
        <f>_xll.qlCalendarAdvance(Calendar,AF50,"1d","mf",,Trigger)</f>
        <v>42016</v>
      </c>
      <c r="AG51" s="301">
        <f>_xll.qlDayCounterYearFraction(DayCounterON,SettlementDate,AF51,,,Trigger)</f>
        <v>0.2</v>
      </c>
      <c r="AH51" s="291">
        <f t="shared" si="9"/>
        <v>2.1508333921951258E-3</v>
      </c>
      <c r="AI51" s="291">
        <f t="shared" si="10"/>
        <v>2.113854173421444E-3</v>
      </c>
      <c r="AJ51" s="261">
        <f t="shared" si="11"/>
        <v>2.0847263194600672E-3</v>
      </c>
    </row>
    <row r="52" spans="10:36" x14ac:dyDescent="0.2">
      <c r="AF52" s="290">
        <f>_xll.qlCalendarAdvance(Calendar,AF51,"1d","mf",,Trigger)</f>
        <v>42017</v>
      </c>
      <c r="AG52" s="301">
        <f>_xll.qlDayCounterYearFraction(DayCounterON,SettlementDate,AF52,,,Trigger)</f>
        <v>0.20273972602739726</v>
      </c>
      <c r="AH52" s="291">
        <f t="shared" si="9"/>
        <v>2.1508333921951258E-3</v>
      </c>
      <c r="AI52" s="291">
        <f t="shared" si="10"/>
        <v>2.1159672716370829E-3</v>
      </c>
      <c r="AJ52" s="261">
        <f t="shared" si="11"/>
        <v>2.0858683194535303E-3</v>
      </c>
    </row>
    <row r="53" spans="10:36" x14ac:dyDescent="0.2">
      <c r="AF53" s="290">
        <f>_xll.qlCalendarAdvance(Calendar,AF52,"1d","mf",,Trigger)</f>
        <v>42018</v>
      </c>
      <c r="AG53" s="301">
        <f>_xll.qlDayCounterYearFraction(DayCounterON,SettlementDate,AF53,,,Trigger)</f>
        <v>0.20547945205479451</v>
      </c>
      <c r="AH53" s="291">
        <f t="shared" si="9"/>
        <v>2.1508333921951258E-3</v>
      </c>
      <c r="AI53" s="291">
        <f t="shared" si="10"/>
        <v>2.1180803698527218E-3</v>
      </c>
      <c r="AJ53" s="261">
        <f t="shared" si="11"/>
        <v>2.0870408756703796E-3</v>
      </c>
    </row>
    <row r="54" spans="10:36" x14ac:dyDescent="0.2">
      <c r="AF54" s="290">
        <f>_xll.qlCalendarAdvance(Calendar,AF53,"1d","mf",,Trigger)</f>
        <v>42019</v>
      </c>
      <c r="AG54" s="301">
        <f>_xll.qlDayCounterYearFraction(DayCounterON,SettlementDate,AF54,,,Trigger)</f>
        <v>0.20821917808219179</v>
      </c>
      <c r="AH54" s="291">
        <f t="shared" si="9"/>
        <v>2.1508333921951258E-3</v>
      </c>
      <c r="AI54" s="291">
        <f t="shared" si="10"/>
        <v>2.1201934680683608E-3</v>
      </c>
      <c r="AJ54" s="261">
        <f t="shared" si="11"/>
        <v>2.0882439881106146E-3</v>
      </c>
    </row>
    <row r="55" spans="10:36" x14ac:dyDescent="0.2">
      <c r="AF55" s="290">
        <f>_xll.qlCalendarAdvance(Calendar,AF54,"1d","mf",,Trigger)</f>
        <v>42020</v>
      </c>
      <c r="AG55" s="301">
        <f>_xll.qlDayCounterYearFraction(DayCounterON,SettlementDate,AF55,,,Trigger)</f>
        <v>0.21095890410958903</v>
      </c>
      <c r="AH55" s="291">
        <f t="shared" si="9"/>
        <v>2.1508333921951258E-3</v>
      </c>
      <c r="AI55" s="291">
        <f t="shared" si="10"/>
        <v>2.1223065662839997E-3</v>
      </c>
      <c r="AJ55" s="261">
        <f t="shared" si="11"/>
        <v>2.0894776567742367E-3</v>
      </c>
    </row>
    <row r="56" spans="10:36" x14ac:dyDescent="0.2">
      <c r="AF56" s="290">
        <f>_xll.qlCalendarAdvance(Calendar,AF55,"1d","mf",,Trigger)</f>
        <v>42023</v>
      </c>
      <c r="AG56" s="301">
        <f>_xll.qlDayCounterYearFraction(DayCounterON,SettlementDate,AF56,,,Trigger)</f>
        <v>0.21917808219178081</v>
      </c>
      <c r="AH56" s="291">
        <f t="shared" si="9"/>
        <v>2.1508333921951258E-3</v>
      </c>
      <c r="AI56" s="291">
        <f t="shared" si="10"/>
        <v>2.1286458609309166E-3</v>
      </c>
      <c r="AJ56" s="261">
        <f t="shared" si="11"/>
        <v>2.0933620001054179E-3</v>
      </c>
    </row>
    <row r="57" spans="10:36" x14ac:dyDescent="0.2">
      <c r="AF57" s="290">
        <f>_xll.qlCalendarAdvance(Calendar,AF56,"1d","mf",,Trigger)</f>
        <v>42024</v>
      </c>
      <c r="AG57" s="301">
        <f>_xll.qlDayCounterYearFraction(DayCounterON,SettlementDate,AF57,,,Trigger)</f>
        <v>0.22191780821917809</v>
      </c>
      <c r="AH57" s="291">
        <f t="shared" si="9"/>
        <v>2.1508333921951258E-3</v>
      </c>
      <c r="AI57" s="291">
        <f t="shared" si="10"/>
        <v>2.130758959146556E-3</v>
      </c>
      <c r="AJ57" s="261">
        <f t="shared" si="11"/>
        <v>2.0947178936625843E-3</v>
      </c>
    </row>
    <row r="58" spans="10:36" x14ac:dyDescent="0.2">
      <c r="AF58" s="290">
        <f>_xll.qlCalendarAdvance(Calendar,AF57,"1d","mf",,Trigger)</f>
        <v>42025</v>
      </c>
      <c r="AG58" s="301">
        <f>_xll.qlDayCounterYearFraction(DayCounterON,SettlementDate,AF58,,,Trigger)</f>
        <v>0.22465753424657534</v>
      </c>
      <c r="AH58" s="291">
        <f t="shared" si="9"/>
        <v>2.1508333921951258E-3</v>
      </c>
      <c r="AI58" s="291">
        <f t="shared" si="10"/>
        <v>2.1328720573621949E-3</v>
      </c>
      <c r="AJ58" s="261">
        <f t="shared" si="11"/>
        <v>2.0961043434431365E-3</v>
      </c>
    </row>
    <row r="59" spans="10:36" x14ac:dyDescent="0.2">
      <c r="AF59" s="290">
        <f>_xll.qlCalendarAdvance(Calendar,AF58,"1d","mf",,Trigger)</f>
        <v>42026</v>
      </c>
      <c r="AG59" s="301">
        <f>_xll.qlDayCounterYearFraction(DayCounterON,SettlementDate,AF59,,,Trigger)</f>
        <v>0.22739726027397261</v>
      </c>
      <c r="AH59" s="291">
        <f t="shared" si="9"/>
        <v>2.1508333921951258E-3</v>
      </c>
      <c r="AI59" s="291">
        <f t="shared" si="10"/>
        <v>2.1349851555778339E-3</v>
      </c>
      <c r="AJ59" s="261">
        <f t="shared" si="11"/>
        <v>2.0975213494470748E-3</v>
      </c>
    </row>
    <row r="60" spans="10:36" x14ac:dyDescent="0.2">
      <c r="AF60" s="290">
        <f>_xll.qlCalendarAdvance(Calendar,AF59,"1d","mf",,Trigger)</f>
        <v>42027</v>
      </c>
      <c r="AG60" s="301">
        <f>_xll.qlDayCounterYearFraction(DayCounterON,SettlementDate,AF60,,,Trigger)</f>
        <v>0.23013698630136986</v>
      </c>
      <c r="AH60" s="291">
        <f t="shared" si="9"/>
        <v>2.1508333921951258E-3</v>
      </c>
      <c r="AI60" s="291">
        <f t="shared" si="10"/>
        <v>2.1370982537934728E-3</v>
      </c>
      <c r="AJ60" s="261">
        <f t="shared" si="11"/>
        <v>2.0989689116743997E-3</v>
      </c>
    </row>
    <row r="61" spans="10:36" x14ac:dyDescent="0.2">
      <c r="AF61" s="290">
        <f>_xll.qlCalendarAdvance(Calendar,AF60,"1d","mf",,Trigger)</f>
        <v>42030</v>
      </c>
      <c r="AG61" s="301">
        <f>_xll.qlDayCounterYearFraction(DayCounterON,SettlementDate,AF61,,,Trigger)</f>
        <v>0.23835616438356164</v>
      </c>
      <c r="AH61" s="291">
        <f t="shared" si="9"/>
        <v>2.1508333921951258E-3</v>
      </c>
      <c r="AI61" s="291">
        <f t="shared" si="10"/>
        <v>2.1434375484403897E-3</v>
      </c>
      <c r="AJ61" s="261">
        <f t="shared" si="11"/>
        <v>2.1034949356966907E-3</v>
      </c>
    </row>
    <row r="62" spans="10:36" x14ac:dyDescent="0.2">
      <c r="AF62" s="290">
        <f>_xll.qlCalendarAdvance(Calendar,AF61,"1d","mf",,Trigger)</f>
        <v>42031</v>
      </c>
      <c r="AG62" s="301">
        <f>_xll.qlDayCounterYearFraction(DayCounterON,SettlementDate,AF62,,,Trigger)</f>
        <v>0.24109589041095891</v>
      </c>
      <c r="AH62" s="291">
        <f t="shared" si="9"/>
        <v>2.1508333921951258E-3</v>
      </c>
      <c r="AI62" s="291">
        <f t="shared" si="10"/>
        <v>2.1455506466560286E-3</v>
      </c>
      <c r="AJ62" s="261">
        <f t="shared" si="11"/>
        <v>2.10506472281756E-3</v>
      </c>
    </row>
    <row r="63" spans="10:36" x14ac:dyDescent="0.2">
      <c r="J63" s="272"/>
      <c r="AF63" s="290">
        <f>_xll.qlCalendarAdvance(Calendar,AF62,"1d","mf",,Trigger)</f>
        <v>42032</v>
      </c>
      <c r="AG63" s="301">
        <f>_xll.qlDayCounterYearFraction(DayCounterON,SettlementDate,AF63,,,Trigger)</f>
        <v>0.24383561643835616</v>
      </c>
      <c r="AH63" s="291">
        <f t="shared" si="9"/>
        <v>2.1508333921951258E-3</v>
      </c>
      <c r="AI63" s="291">
        <f t="shared" si="10"/>
        <v>2.147663744871668E-3</v>
      </c>
      <c r="AJ63" s="261">
        <f t="shared" si="11"/>
        <v>2.1066650661618149E-3</v>
      </c>
    </row>
    <row r="64" spans="10:36" x14ac:dyDescent="0.2">
      <c r="J64" s="272"/>
      <c r="AF64" s="290">
        <f>_xll.qlCalendarAdvance(Calendar,AF63,"1d","mf",,Trigger)</f>
        <v>42033</v>
      </c>
      <c r="AG64" s="301">
        <f>_xll.qlDayCounterYearFraction(DayCounterON,SettlementDate,AF64,,,Trigger)</f>
        <v>0.24657534246575341</v>
      </c>
      <c r="AH64" s="291">
        <f t="shared" si="9"/>
        <v>2.1508333921951258E-3</v>
      </c>
      <c r="AI64" s="291">
        <f t="shared" si="10"/>
        <v>2.1497768430873069E-3</v>
      </c>
      <c r="AJ64" s="261">
        <f t="shared" si="11"/>
        <v>2.108295965729457E-3</v>
      </c>
    </row>
    <row r="65" spans="10:36" x14ac:dyDescent="0.2">
      <c r="J65" s="272"/>
      <c r="AF65" s="290">
        <f>_xll.qlCalendarAdvance(Calendar,AF64,"1d","mf",,Trigger)</f>
        <v>42034</v>
      </c>
      <c r="AG65" s="301">
        <f>_xll.qlDayCounterYearFraction(DayCounterON,SettlementDate,AF65,,,Trigger)</f>
        <v>0.24931506849315069</v>
      </c>
      <c r="AH65" s="291">
        <f t="shared" si="9"/>
        <v>2.1508333921951258E-3</v>
      </c>
      <c r="AI65" s="291">
        <f t="shared" si="10"/>
        <v>2.1518899413029459E-3</v>
      </c>
      <c r="AJ65" s="261">
        <f t="shared" si="11"/>
        <v>2.1099574215204847E-3</v>
      </c>
    </row>
    <row r="66" spans="10:36" x14ac:dyDescent="0.2">
      <c r="J66" s="272"/>
      <c r="AF66" s="290">
        <f>_xll.qlCalendarAdvance(Calendar,AF65,"1d","mf",,Trigger)</f>
        <v>42037</v>
      </c>
      <c r="AG66" s="301">
        <f>_xll.qlDayCounterYearFraction(DayCounterON,SettlementDate,AF66,,,Trigger)</f>
        <v>0.25753424657534246</v>
      </c>
      <c r="AH66" s="291">
        <f t="shared" si="9"/>
        <v>2.1508333921951258E-3</v>
      </c>
      <c r="AI66" s="291">
        <f t="shared" si="10"/>
        <v>2.1582292359498627E-3</v>
      </c>
      <c r="AJ66" s="261">
        <f t="shared" si="11"/>
        <v>2.1151251262338851E-3</v>
      </c>
    </row>
    <row r="67" spans="10:36" x14ac:dyDescent="0.2">
      <c r="J67" s="272"/>
      <c r="AF67" s="290">
        <f>_xll.qlCalendarAdvance(Calendar,AF66,"1d","mf",,Trigger)</f>
        <v>42038</v>
      </c>
      <c r="AG67" s="301">
        <f>_xll.qlDayCounterYearFraction(DayCounterON,SettlementDate,AF67,,,Trigger)</f>
        <v>0.26027397260273971</v>
      </c>
      <c r="AH67" s="291">
        <f t="shared" ref="AH67:AH98" si="12">$W$13</f>
        <v>2.1508333921951258E-3</v>
      </c>
      <c r="AI67" s="291">
        <f t="shared" ref="AI67:AI98" si="13">$W$10+$W$9*AG67</f>
        <v>2.1603423341655017E-3</v>
      </c>
      <c r="AJ67" s="261">
        <f t="shared" ref="AJ67:AJ98" si="14">($W$5+$W$4*AG67+$W$3*AG67^2)</f>
        <v>2.1169088069184572E-3</v>
      </c>
    </row>
    <row r="68" spans="10:36" x14ac:dyDescent="0.2">
      <c r="J68" s="272"/>
      <c r="AF68" s="290">
        <f>_xll.qlCalendarAdvance(Calendar,AF67,"1d","mf",,Trigger)</f>
        <v>42039</v>
      </c>
      <c r="AG68" s="301">
        <f>_xll.qlDayCounterYearFraction(DayCounterON,SettlementDate,AF68,,,Trigger)</f>
        <v>0.26301369863013696</v>
      </c>
      <c r="AH68" s="291">
        <f t="shared" si="12"/>
        <v>2.1508333921951258E-3</v>
      </c>
      <c r="AI68" s="291">
        <f t="shared" si="13"/>
        <v>2.1624554323811406E-3</v>
      </c>
      <c r="AJ68" s="261">
        <f t="shared" si="14"/>
        <v>2.1187230438264155E-3</v>
      </c>
    </row>
    <row r="69" spans="10:36" x14ac:dyDescent="0.2">
      <c r="J69" s="272"/>
      <c r="K69" s="272"/>
      <c r="AF69" s="290">
        <f>_xll.qlCalendarAdvance(Calendar,AF68,"1d","mf",,Trigger)</f>
        <v>42040</v>
      </c>
      <c r="AG69" s="301">
        <f>_xll.qlDayCounterYearFraction(DayCounterON,SettlementDate,AF69,,,Trigger)</f>
        <v>0.26575342465753427</v>
      </c>
      <c r="AH69" s="291">
        <f t="shared" si="12"/>
        <v>2.1508333921951258E-3</v>
      </c>
      <c r="AI69" s="291">
        <f t="shared" si="13"/>
        <v>2.1645685305967796E-3</v>
      </c>
      <c r="AJ69" s="261">
        <f t="shared" si="14"/>
        <v>2.1205678369577608E-3</v>
      </c>
    </row>
    <row r="70" spans="10:36" x14ac:dyDescent="0.2">
      <c r="J70" s="272"/>
      <c r="K70" s="272"/>
      <c r="AF70" s="290">
        <f>_xll.qlCalendarAdvance(Calendar,AF69,"1d","mf",,Trigger)</f>
        <v>42041</v>
      </c>
      <c r="AG70" s="301">
        <f>_xll.qlDayCounterYearFraction(DayCounterON,SettlementDate,AF70,,,Trigger)</f>
        <v>0.26849315068493151</v>
      </c>
      <c r="AH70" s="291">
        <f t="shared" si="12"/>
        <v>2.1508333921951258E-3</v>
      </c>
      <c r="AI70" s="291">
        <f t="shared" si="13"/>
        <v>2.166681628812419E-3</v>
      </c>
      <c r="AJ70" s="261">
        <f t="shared" si="14"/>
        <v>2.1224431863124914E-3</v>
      </c>
    </row>
    <row r="71" spans="10:36" x14ac:dyDescent="0.2">
      <c r="J71" s="272"/>
      <c r="K71" s="272"/>
      <c r="AF71" s="290">
        <f>_xll.qlCalendarAdvance(Calendar,AF70,"1d","mf",,Trigger)</f>
        <v>42044</v>
      </c>
      <c r="AG71" s="301">
        <f>_xll.qlDayCounterYearFraction(DayCounterON,SettlementDate,AF71,,,Trigger)</f>
        <v>0.27671232876712326</v>
      </c>
      <c r="AH71" s="291">
        <f t="shared" si="12"/>
        <v>2.1508333921951258E-3</v>
      </c>
      <c r="AI71" s="291">
        <f t="shared" si="13"/>
        <v>2.1730209234593358E-3</v>
      </c>
      <c r="AJ71" s="261">
        <f t="shared" si="14"/>
        <v>2.1282525717170012E-3</v>
      </c>
    </row>
    <row r="72" spans="10:36" x14ac:dyDescent="0.2">
      <c r="J72" s="272"/>
      <c r="K72" s="272"/>
      <c r="AF72" s="290">
        <f>_xll.qlCalendarAdvance(Calendar,AF71,"1d","mf",,Trigger)</f>
        <v>42045</v>
      </c>
      <c r="AG72" s="301">
        <f>_xll.qlDayCounterYearFraction(DayCounterON,SettlementDate,AF72,,,Trigger)</f>
        <v>0.27945205479452057</v>
      </c>
      <c r="AH72" s="291">
        <f t="shared" si="12"/>
        <v>2.1508333921951258E-3</v>
      </c>
      <c r="AI72" s="291">
        <f t="shared" si="13"/>
        <v>2.1751340216749748E-3</v>
      </c>
      <c r="AJ72" s="261">
        <f t="shared" si="14"/>
        <v>2.1302501459652765E-3</v>
      </c>
    </row>
    <row r="73" spans="10:36" x14ac:dyDescent="0.2">
      <c r="J73" s="272"/>
      <c r="K73" s="272"/>
      <c r="AF73" s="290">
        <f>_xll.qlCalendarAdvance(Calendar,AF72,"1d","mf",,Trigger)</f>
        <v>42046</v>
      </c>
      <c r="AG73" s="301">
        <f>_xll.qlDayCounterYearFraction(DayCounterON,SettlementDate,AF73,,,Trigger)</f>
        <v>0.28219178082191781</v>
      </c>
      <c r="AH73" s="291">
        <f t="shared" si="12"/>
        <v>2.1508333921951258E-3</v>
      </c>
      <c r="AI73" s="291">
        <f t="shared" si="13"/>
        <v>2.1772471198906137E-3</v>
      </c>
      <c r="AJ73" s="261">
        <f t="shared" si="14"/>
        <v>2.1322782764369385E-3</v>
      </c>
    </row>
    <row r="74" spans="10:36" x14ac:dyDescent="0.2">
      <c r="J74" s="272"/>
      <c r="K74" s="272"/>
      <c r="AF74" s="290">
        <f>_xll.qlCalendarAdvance(Calendar,AF73,"1d","mf",,Trigger)</f>
        <v>42047</v>
      </c>
      <c r="AG74" s="301">
        <f>_xll.qlDayCounterYearFraction(DayCounterON,SettlementDate,AF74,,,Trigger)</f>
        <v>0.28493150684931506</v>
      </c>
      <c r="AH74" s="291">
        <f t="shared" si="12"/>
        <v>2.1508333921951258E-3</v>
      </c>
      <c r="AI74" s="291">
        <f t="shared" si="13"/>
        <v>2.1793602181062527E-3</v>
      </c>
      <c r="AJ74" s="261">
        <f t="shared" si="14"/>
        <v>2.1343369631319862E-3</v>
      </c>
    </row>
    <row r="75" spans="10:36" x14ac:dyDescent="0.2">
      <c r="J75" s="272"/>
      <c r="K75" s="272"/>
      <c r="AF75" s="290">
        <f>_xll.qlCalendarAdvance(Calendar,AF74,"1d","mf",,Trigger)</f>
        <v>42048</v>
      </c>
      <c r="AG75" s="301">
        <f>_xll.qlDayCounterYearFraction(DayCounterON,SettlementDate,AF75,,,Trigger)</f>
        <v>0.28767123287671231</v>
      </c>
      <c r="AH75" s="291">
        <f t="shared" si="12"/>
        <v>2.1508333921951258E-3</v>
      </c>
      <c r="AI75" s="291">
        <f t="shared" si="13"/>
        <v>2.1814733163218916E-3</v>
      </c>
      <c r="AJ75" s="261">
        <f t="shared" si="14"/>
        <v>2.1364262060504201E-3</v>
      </c>
    </row>
    <row r="76" spans="10:36" x14ac:dyDescent="0.2">
      <c r="J76" s="272"/>
      <c r="K76" s="272"/>
      <c r="AF76" s="290">
        <f>_xll.qlCalendarAdvance(Calendar,AF75,"1d","mf",,Trigger)</f>
        <v>42051</v>
      </c>
      <c r="AG76" s="301">
        <f>_xll.qlDayCounterYearFraction(DayCounterON,SettlementDate,AF76,,,Trigger)</f>
        <v>0.29589041095890412</v>
      </c>
      <c r="AH76" s="291">
        <f t="shared" si="12"/>
        <v>2.1508333921951258E-3</v>
      </c>
      <c r="AI76" s="291">
        <f t="shared" si="13"/>
        <v>2.1878126109688089E-3</v>
      </c>
      <c r="AJ76" s="261">
        <f t="shared" si="14"/>
        <v>2.1428772721460388E-3</v>
      </c>
    </row>
    <row r="77" spans="10:36" x14ac:dyDescent="0.2">
      <c r="J77" s="272"/>
      <c r="K77" s="272"/>
      <c r="AF77" s="290">
        <f>_xll.qlCalendarAdvance(Calendar,AF76,"1d","mf",,Trigger)</f>
        <v>42052</v>
      </c>
      <c r="AG77" s="301">
        <f>_xll.qlDayCounterYearFraction(DayCounterON,SettlementDate,AF77,,,Trigger)</f>
        <v>0.29863013698630136</v>
      </c>
      <c r="AH77" s="291">
        <f t="shared" si="12"/>
        <v>2.1508333921951258E-3</v>
      </c>
      <c r="AI77" s="291">
        <f t="shared" si="13"/>
        <v>2.1899257091844478E-3</v>
      </c>
      <c r="AJ77" s="261">
        <f t="shared" si="14"/>
        <v>2.1450887399580175E-3</v>
      </c>
    </row>
    <row r="78" spans="10:36" x14ac:dyDescent="0.2">
      <c r="J78" s="272"/>
      <c r="K78" s="272"/>
      <c r="AF78" s="290">
        <f>_xll.qlCalendarAdvance(Calendar,AF77,"1d","mf",,Trigger)</f>
        <v>42053</v>
      </c>
      <c r="AG78" s="301">
        <f>_xll.qlDayCounterYearFraction(DayCounterON,SettlementDate,AF78,,,Trigger)</f>
        <v>0.30136986301369861</v>
      </c>
      <c r="AH78" s="291">
        <f t="shared" si="12"/>
        <v>2.1508333921951258E-3</v>
      </c>
      <c r="AI78" s="291">
        <f t="shared" si="13"/>
        <v>2.1920388074000868E-3</v>
      </c>
      <c r="AJ78" s="261">
        <f t="shared" si="14"/>
        <v>2.1473307639933827E-3</v>
      </c>
    </row>
    <row r="79" spans="10:36" x14ac:dyDescent="0.2">
      <c r="J79" s="272"/>
      <c r="K79" s="272"/>
      <c r="AF79" s="290">
        <f>_xll.qlCalendarAdvance(Calendar,AF78,"1d","mf",,Trigger)</f>
        <v>42054</v>
      </c>
      <c r="AG79" s="301">
        <f>_xll.qlDayCounterYearFraction(DayCounterON,SettlementDate,AF79,,,Trigger)</f>
        <v>0.30410958904109592</v>
      </c>
      <c r="AH79" s="291">
        <f t="shared" si="12"/>
        <v>2.1508333921951258E-3</v>
      </c>
      <c r="AI79" s="291">
        <f t="shared" si="13"/>
        <v>2.1941519056157257E-3</v>
      </c>
      <c r="AJ79" s="261">
        <f t="shared" si="14"/>
        <v>2.1496033442521332E-3</v>
      </c>
    </row>
    <row r="80" spans="10:36" x14ac:dyDescent="0.2">
      <c r="J80" s="272"/>
      <c r="K80" s="272"/>
      <c r="AF80" s="290">
        <f>_xll.qlCalendarAdvance(Calendar,AF79,"1d","mf",,Trigger)</f>
        <v>42055</v>
      </c>
      <c r="AG80" s="301">
        <f>_xll.qlDayCounterYearFraction(DayCounterON,SettlementDate,AF80,,,Trigger)</f>
        <v>0.30684931506849317</v>
      </c>
      <c r="AH80" s="291">
        <f t="shared" si="12"/>
        <v>2.1508333921951258E-3</v>
      </c>
      <c r="AI80" s="291">
        <f t="shared" si="13"/>
        <v>2.1962650038313647E-3</v>
      </c>
      <c r="AJ80" s="261">
        <f t="shared" si="14"/>
        <v>2.1519064807342704E-3</v>
      </c>
    </row>
    <row r="81" spans="10:36" x14ac:dyDescent="0.2">
      <c r="J81" s="272"/>
      <c r="K81" s="272"/>
      <c r="AF81" s="290">
        <f>_xll.qlCalendarAdvance(Calendar,AF80,"1d","mf",,Trigger)</f>
        <v>42058</v>
      </c>
      <c r="AG81" s="301">
        <f>_xll.qlDayCounterYearFraction(DayCounterON,SettlementDate,AF81,,,Trigger)</f>
        <v>0.31506849315068491</v>
      </c>
      <c r="AH81" s="291">
        <f t="shared" si="12"/>
        <v>2.1508333921951258E-3</v>
      </c>
      <c r="AI81" s="291">
        <f t="shared" si="13"/>
        <v>2.2026042984782815E-3</v>
      </c>
      <c r="AJ81" s="261">
        <f t="shared" si="14"/>
        <v>2.1589992275209986E-3</v>
      </c>
    </row>
    <row r="82" spans="10:36" x14ac:dyDescent="0.2">
      <c r="J82" s="272"/>
      <c r="K82" s="272"/>
      <c r="AF82" s="290">
        <f>_xll.qlCalendarAdvance(Calendar,AF81,"1d","mf",,Trigger)</f>
        <v>42059</v>
      </c>
      <c r="AG82" s="301">
        <f>_xll.qlDayCounterYearFraction(DayCounterON,SettlementDate,AF82,,,Trigger)</f>
        <v>0.31780821917808222</v>
      </c>
      <c r="AH82" s="291">
        <f t="shared" si="12"/>
        <v>2.1508333921951258E-3</v>
      </c>
      <c r="AI82" s="291">
        <f t="shared" si="13"/>
        <v>2.2047173966939209E-3</v>
      </c>
      <c r="AJ82" s="261">
        <f t="shared" si="14"/>
        <v>2.1614245888966809E-3</v>
      </c>
    </row>
    <row r="83" spans="10:36" x14ac:dyDescent="0.2">
      <c r="J83" s="272"/>
      <c r="K83" s="272"/>
      <c r="AF83" s="290">
        <f>_xll.qlCalendarAdvance(Calendar,AF82,"1d","mf",,Trigger)</f>
        <v>42060</v>
      </c>
      <c r="AG83" s="301">
        <f>_xll.qlDayCounterYearFraction(DayCounterON,SettlementDate,AF83,,,Trigger)</f>
        <v>0.32054794520547947</v>
      </c>
      <c r="AH83" s="291">
        <f t="shared" si="12"/>
        <v>2.1508333921951258E-3</v>
      </c>
      <c r="AI83" s="291">
        <f t="shared" si="13"/>
        <v>2.2068304949095599E-3</v>
      </c>
      <c r="AJ83" s="261">
        <f t="shared" si="14"/>
        <v>2.1638805064957485E-3</v>
      </c>
    </row>
    <row r="84" spans="10:36" x14ac:dyDescent="0.2">
      <c r="J84" s="272"/>
      <c r="K84" s="272"/>
      <c r="AF84" s="290">
        <f>_xll.qlCalendarAdvance(Calendar,AF83,"1d","mf",,Trigger)</f>
        <v>42061</v>
      </c>
      <c r="AG84" s="301">
        <f>_xll.qlDayCounterYearFraction(DayCounterON,SettlementDate,AF84,,,Trigger)</f>
        <v>0.32328767123287672</v>
      </c>
      <c r="AH84" s="291">
        <f t="shared" si="12"/>
        <v>2.1508333921951258E-3</v>
      </c>
      <c r="AI84" s="291">
        <f t="shared" si="13"/>
        <v>2.2089435931251988E-3</v>
      </c>
      <c r="AJ84" s="261">
        <f t="shared" si="14"/>
        <v>2.1663669803182023E-3</v>
      </c>
    </row>
    <row r="85" spans="10:36" x14ac:dyDescent="0.2">
      <c r="J85" s="272"/>
      <c r="K85" s="272"/>
      <c r="AF85" s="290">
        <f>_xll.qlCalendarAdvance(Calendar,AF84,"1d","mf",,Trigger)</f>
        <v>42062</v>
      </c>
      <c r="AG85" s="301">
        <f>_xll.qlDayCounterYearFraction(DayCounterON,SettlementDate,AF85,,,Trigger)</f>
        <v>0.32602739726027397</v>
      </c>
      <c r="AH85" s="291">
        <f t="shared" si="12"/>
        <v>2.1508333921951258E-3</v>
      </c>
      <c r="AI85" s="291">
        <f t="shared" si="13"/>
        <v>2.2110566913408377E-3</v>
      </c>
      <c r="AJ85" s="261">
        <f t="shared" si="14"/>
        <v>2.1688840103640428E-3</v>
      </c>
    </row>
    <row r="86" spans="10:36" x14ac:dyDescent="0.2">
      <c r="J86" s="272"/>
      <c r="K86" s="272"/>
      <c r="AF86" s="290">
        <f>_xll.qlCalendarAdvance(Calendar,AF85,"1d","mf",,Trigger)</f>
        <v>42065</v>
      </c>
      <c r="AG86" s="301">
        <f>_xll.qlDayCounterYearFraction(DayCounterON,SettlementDate,AF86,,,Trigger)</f>
        <v>0.33424657534246577</v>
      </c>
      <c r="AH86" s="291">
        <f t="shared" si="12"/>
        <v>2.1508333921951258E-3</v>
      </c>
      <c r="AI86" s="291">
        <f t="shared" si="13"/>
        <v>2.2173959859877546E-3</v>
      </c>
      <c r="AJ86" s="261">
        <f t="shared" si="14"/>
        <v>2.1766184378418803E-3</v>
      </c>
    </row>
    <row r="87" spans="10:36" x14ac:dyDescent="0.2">
      <c r="J87" s="272"/>
      <c r="K87" s="272"/>
      <c r="AF87" s="290">
        <f>_xll.qlCalendarAdvance(Calendar,AF86,"1d","mf",,Trigger)</f>
        <v>42066</v>
      </c>
      <c r="AG87" s="301">
        <f>_xll.qlDayCounterYearFraction(DayCounterON,SettlementDate,AF87,,,Trigger)</f>
        <v>0.33698630136986302</v>
      </c>
      <c r="AH87" s="291">
        <f t="shared" si="12"/>
        <v>2.1508333921951258E-3</v>
      </c>
      <c r="AI87" s="291">
        <f t="shared" si="13"/>
        <v>2.219509084203394E-3</v>
      </c>
      <c r="AJ87" s="261">
        <f t="shared" si="14"/>
        <v>2.1792576927812651E-3</v>
      </c>
    </row>
    <row r="88" spans="10:36" x14ac:dyDescent="0.2">
      <c r="J88" s="272"/>
      <c r="K88" s="272"/>
      <c r="AF88" s="290">
        <f>_xll.qlCalendarAdvance(Calendar,AF87,"1d","mf",,Trigger)</f>
        <v>42067</v>
      </c>
      <c r="AG88" s="301">
        <f>_xll.qlDayCounterYearFraction(DayCounterON,SettlementDate,AF88,,,Trigger)</f>
        <v>0.33972602739726027</v>
      </c>
      <c r="AH88" s="291">
        <f t="shared" si="12"/>
        <v>2.1508333921951258E-3</v>
      </c>
      <c r="AI88" s="291">
        <f t="shared" si="13"/>
        <v>2.2216221824190329E-3</v>
      </c>
      <c r="AJ88" s="261">
        <f t="shared" si="14"/>
        <v>2.181927503944036E-3</v>
      </c>
    </row>
    <row r="89" spans="10:36" x14ac:dyDescent="0.2">
      <c r="J89" s="272"/>
      <c r="K89" s="272"/>
      <c r="AF89" s="290">
        <f>_xll.qlCalendarAdvance(Calendar,AF88,"1d","mf",,Trigger)</f>
        <v>42068</v>
      </c>
      <c r="AG89" s="301">
        <f>_xll.qlDayCounterYearFraction(DayCounterON,SettlementDate,AF89,,,Trigger)</f>
        <v>0.34246575342465752</v>
      </c>
      <c r="AH89" s="291">
        <f t="shared" si="12"/>
        <v>2.1508333921951258E-3</v>
      </c>
      <c r="AI89" s="291">
        <f t="shared" si="13"/>
        <v>2.2237352806346719E-3</v>
      </c>
      <c r="AJ89" s="261">
        <f t="shared" si="14"/>
        <v>2.1846278713301935E-3</v>
      </c>
    </row>
    <row r="90" spans="10:36" x14ac:dyDescent="0.2">
      <c r="J90" s="272"/>
      <c r="K90" s="272"/>
      <c r="AF90" s="290">
        <f>_xll.qlCalendarAdvance(Calendar,AF89,"1d","mf",,Trigger)</f>
        <v>42069</v>
      </c>
      <c r="AG90" s="301">
        <f>_xll.qlDayCounterYearFraction(DayCounterON,SettlementDate,AF90,,,Trigger)</f>
        <v>0.34520547945205482</v>
      </c>
      <c r="AH90" s="291">
        <f t="shared" si="12"/>
        <v>2.1508333921951258E-3</v>
      </c>
      <c r="AI90" s="291">
        <f t="shared" si="13"/>
        <v>2.2258483788503108E-3</v>
      </c>
      <c r="AJ90" s="261">
        <f t="shared" si="14"/>
        <v>2.1873587949397368E-3</v>
      </c>
    </row>
    <row r="91" spans="10:36" x14ac:dyDescent="0.2">
      <c r="J91" s="272"/>
      <c r="K91" s="272"/>
      <c r="AF91" s="290">
        <f>_xll.qlCalendarAdvance(Calendar,AF90,"1d","mf",,Trigger)</f>
        <v>42072</v>
      </c>
      <c r="AG91" s="301">
        <f>_xll.qlDayCounterYearFraction(DayCounterON,SettlementDate,AF91,,,Trigger)</f>
        <v>0.35342465753424657</v>
      </c>
      <c r="AH91" s="291">
        <f t="shared" si="12"/>
        <v>2.1508333921951258E-3</v>
      </c>
      <c r="AI91" s="291">
        <f t="shared" si="13"/>
        <v>2.2321876734972277E-3</v>
      </c>
      <c r="AJ91" s="261">
        <f t="shared" si="14"/>
        <v>2.1957349031086837E-3</v>
      </c>
    </row>
    <row r="92" spans="10:36" x14ac:dyDescent="0.2">
      <c r="J92" s="272"/>
      <c r="K92" s="272"/>
      <c r="AF92" s="290">
        <f>_xll.qlCalendarAdvance(Calendar,AF91,"1d","mf",,Trigger)</f>
        <v>42073</v>
      </c>
      <c r="AG92" s="301">
        <f>_xll.qlDayCounterYearFraction(DayCounterON,SettlementDate,AF92,,,Trigger)</f>
        <v>0.35616438356164382</v>
      </c>
      <c r="AH92" s="291">
        <f t="shared" si="12"/>
        <v>2.1508333921951258E-3</v>
      </c>
      <c r="AI92" s="291">
        <f t="shared" si="13"/>
        <v>2.2343007717128666E-3</v>
      </c>
      <c r="AJ92" s="261">
        <f t="shared" si="14"/>
        <v>2.1985880516117717E-3</v>
      </c>
    </row>
    <row r="93" spans="10:36" x14ac:dyDescent="0.2">
      <c r="J93" s="272"/>
      <c r="K93" s="272"/>
      <c r="AF93" s="290">
        <f>_xll.qlCalendarAdvance(Calendar,AF92,"1d","mf",,Trigger)</f>
        <v>42074</v>
      </c>
      <c r="AG93" s="301">
        <f>_xll.qlDayCounterYearFraction(DayCounterON,SettlementDate,AF93,,,Trigger)</f>
        <v>0.35890410958904112</v>
      </c>
      <c r="AH93" s="291">
        <f t="shared" si="12"/>
        <v>2.1508333921951258E-3</v>
      </c>
      <c r="AI93" s="291">
        <f t="shared" si="13"/>
        <v>2.2364138699285056E-3</v>
      </c>
      <c r="AJ93" s="261">
        <f t="shared" si="14"/>
        <v>2.2014717563382455E-3</v>
      </c>
    </row>
    <row r="94" spans="10:36" x14ac:dyDescent="0.2">
      <c r="J94" s="272"/>
      <c r="K94" s="272"/>
      <c r="AF94" s="290">
        <f>_xll.qlCalendarAdvance(Calendar,AF93,"1d","mf",,Trigger)</f>
        <v>42075</v>
      </c>
      <c r="AG94" s="301">
        <f>_xll.qlDayCounterYearFraction(DayCounterON,SettlementDate,AF94,,,Trigger)</f>
        <v>0.36164383561643837</v>
      </c>
      <c r="AH94" s="291">
        <f t="shared" si="12"/>
        <v>2.1508333921951258E-3</v>
      </c>
      <c r="AI94" s="291">
        <f t="shared" si="13"/>
        <v>2.2385269681441449E-3</v>
      </c>
      <c r="AJ94" s="261">
        <f t="shared" si="14"/>
        <v>2.2043860172881059E-3</v>
      </c>
    </row>
    <row r="95" spans="10:36" x14ac:dyDescent="0.2">
      <c r="J95" s="272"/>
      <c r="K95" s="272"/>
      <c r="AF95" s="290">
        <f>_xll.qlCalendarAdvance(Calendar,AF94,"1d","mf",,Trigger)</f>
        <v>42076</v>
      </c>
      <c r="AG95" s="301">
        <f>_xll.qlDayCounterYearFraction(DayCounterON,SettlementDate,AF95,,,Trigger)</f>
        <v>0.36438356164383562</v>
      </c>
      <c r="AH95" s="291">
        <f t="shared" si="12"/>
        <v>2.1508333921951258E-3</v>
      </c>
      <c r="AI95" s="291">
        <f t="shared" si="13"/>
        <v>2.2406400663597839E-3</v>
      </c>
      <c r="AJ95" s="261">
        <f t="shared" si="14"/>
        <v>2.2073308344613524E-3</v>
      </c>
    </row>
    <row r="96" spans="10:36" x14ac:dyDescent="0.2">
      <c r="J96" s="272"/>
      <c r="K96" s="272"/>
      <c r="AF96" s="290">
        <f>_xll.qlCalendarAdvance(Calendar,AF95,"1d","mf",,Trigger)</f>
        <v>42079</v>
      </c>
      <c r="AG96" s="301">
        <f>_xll.qlDayCounterYearFraction(DayCounterON,SettlementDate,AF96,,,Trigger)</f>
        <v>0.37260273972602742</v>
      </c>
      <c r="AH96" s="291">
        <f t="shared" si="12"/>
        <v>2.1508333921951258E-3</v>
      </c>
      <c r="AI96" s="291">
        <f t="shared" si="13"/>
        <v>2.2469793610067007E-3</v>
      </c>
      <c r="AJ96" s="261">
        <f t="shared" si="14"/>
        <v>2.2163486233214087E-3</v>
      </c>
    </row>
    <row r="97" spans="10:36" x14ac:dyDescent="0.2">
      <c r="J97" s="272"/>
      <c r="K97" s="272"/>
      <c r="AF97" s="290">
        <f>_xll.qlCalendarAdvance(Calendar,AF96,"1d","mf",,Trigger)</f>
        <v>42080</v>
      </c>
      <c r="AG97" s="301">
        <f>_xll.qlDayCounterYearFraction(DayCounterON,SettlementDate,AF97,,,Trigger)</f>
        <v>0.37534246575342467</v>
      </c>
      <c r="AH97" s="291">
        <f t="shared" si="12"/>
        <v>2.1508333921951258E-3</v>
      </c>
      <c r="AI97" s="291">
        <f t="shared" si="13"/>
        <v>2.2490924592223397E-3</v>
      </c>
      <c r="AJ97" s="261">
        <f t="shared" si="14"/>
        <v>2.2194156653881996E-3</v>
      </c>
    </row>
    <row r="98" spans="10:36" x14ac:dyDescent="0.2">
      <c r="J98" s="272"/>
      <c r="K98" s="272"/>
      <c r="AF98" s="290">
        <f>_xll.qlCalendarAdvance(Calendar,AF97,"1d","mf",,Trigger)</f>
        <v>42081</v>
      </c>
      <c r="AG98" s="301">
        <f>_xll.qlDayCounterYearFraction(DayCounterON,SettlementDate,AF98,,,Trigger)</f>
        <v>0.37808219178082192</v>
      </c>
      <c r="AH98" s="291">
        <f t="shared" si="12"/>
        <v>2.1508333921951258E-3</v>
      </c>
      <c r="AI98" s="291">
        <f t="shared" si="13"/>
        <v>2.2512055574379786E-3</v>
      </c>
      <c r="AJ98" s="261">
        <f t="shared" si="14"/>
        <v>2.2225132636783771E-3</v>
      </c>
    </row>
    <row r="99" spans="10:36" x14ac:dyDescent="0.2">
      <c r="J99" s="272"/>
      <c r="K99" s="272"/>
      <c r="AF99" s="290">
        <f>_xll.qlCalendarAdvance(Calendar,AF98,"1d","mf",,Trigger)</f>
        <v>42082</v>
      </c>
      <c r="AG99" s="301">
        <f>_xll.qlDayCounterYearFraction(DayCounterON,SettlementDate,AF99,,,Trigger)</f>
        <v>0.38082191780821917</v>
      </c>
      <c r="AH99" s="291">
        <f t="shared" ref="AH99:AH132" si="15">$W$13</f>
        <v>2.1508333921951258E-3</v>
      </c>
      <c r="AI99" s="291">
        <f t="shared" ref="AI99:AI132" si="16">$W$10+$W$9*AG99</f>
        <v>2.2533186556536176E-3</v>
      </c>
      <c r="AJ99" s="261">
        <f t="shared" ref="AJ99:AJ132" si="17">($W$5+$W$4*AG99+$W$3*AG99^2)</f>
        <v>2.2256414181919403E-3</v>
      </c>
    </row>
    <row r="100" spans="10:36" x14ac:dyDescent="0.2">
      <c r="J100" s="272"/>
      <c r="K100" s="272"/>
      <c r="AF100" s="290">
        <f>_xll.qlCalendarAdvance(Calendar,AF99,"1d","mf",,Trigger)</f>
        <v>42083</v>
      </c>
      <c r="AG100" s="301">
        <f>_xll.qlDayCounterYearFraction(DayCounterON,SettlementDate,AF100,,,Trigger)</f>
        <v>0.38356164383561642</v>
      </c>
      <c r="AH100" s="291">
        <f t="shared" si="15"/>
        <v>2.1508333921951258E-3</v>
      </c>
      <c r="AI100" s="291">
        <f t="shared" si="16"/>
        <v>2.2554317538692565E-3</v>
      </c>
      <c r="AJ100" s="261">
        <f t="shared" si="17"/>
        <v>2.2288001289288901E-3</v>
      </c>
    </row>
    <row r="101" spans="10:36" x14ac:dyDescent="0.2">
      <c r="J101" s="272"/>
      <c r="K101" s="272"/>
      <c r="AF101" s="290">
        <f>_xll.qlCalendarAdvance(Calendar,AF100,"1d","mf",,Trigger)</f>
        <v>42086</v>
      </c>
      <c r="AG101" s="301">
        <f>_xll.qlDayCounterYearFraction(DayCounterON,SettlementDate,AF101,,,Trigger)</f>
        <v>0.39178082191780822</v>
      </c>
      <c r="AH101" s="291">
        <f t="shared" si="15"/>
        <v>2.1508333921951258E-3</v>
      </c>
      <c r="AI101" s="291">
        <f t="shared" si="16"/>
        <v>2.2617710485161738E-3</v>
      </c>
      <c r="AJ101" s="261">
        <f t="shared" si="17"/>
        <v>2.2384595984800558E-3</v>
      </c>
    </row>
    <row r="102" spans="10:36" x14ac:dyDescent="0.2">
      <c r="J102" s="272"/>
      <c r="K102" s="272"/>
      <c r="AF102" s="290">
        <f>_xll.qlCalendarAdvance(Calendar,AF101,"1d","mf",,Trigger)</f>
        <v>42087</v>
      </c>
      <c r="AG102" s="301">
        <f>_xll.qlDayCounterYearFraction(DayCounterON,SettlementDate,AF102,,,Trigger)</f>
        <v>0.39452054794520547</v>
      </c>
      <c r="AH102" s="291">
        <f t="shared" si="15"/>
        <v>2.1508333921951258E-3</v>
      </c>
      <c r="AI102" s="291">
        <f t="shared" si="16"/>
        <v>2.2638841467318128E-3</v>
      </c>
      <c r="AJ102" s="261">
        <f t="shared" si="17"/>
        <v>2.2417405341105499E-3</v>
      </c>
    </row>
    <row r="103" spans="10:36" x14ac:dyDescent="0.2">
      <c r="J103" s="272"/>
      <c r="K103" s="272"/>
      <c r="AF103" s="290">
        <f>_xll.qlCalendarAdvance(Calendar,AF102,"1d","mf",,Trigger)</f>
        <v>42088</v>
      </c>
      <c r="AG103" s="301">
        <f>_xll.qlDayCounterYearFraction(DayCounterON,SettlementDate,AF103,,,Trigger)</f>
        <v>0.39726027397260272</v>
      </c>
      <c r="AH103" s="291">
        <f t="shared" si="15"/>
        <v>2.1508333921951258E-3</v>
      </c>
      <c r="AI103" s="291">
        <f t="shared" si="16"/>
        <v>2.2659972449474517E-3</v>
      </c>
      <c r="AJ103" s="261">
        <f t="shared" si="17"/>
        <v>2.2450520259644302E-3</v>
      </c>
    </row>
    <row r="104" spans="10:36" x14ac:dyDescent="0.2">
      <c r="J104" s="272"/>
      <c r="K104" s="272"/>
      <c r="AF104" s="290">
        <f>_xll.qlCalendarAdvance(Calendar,AF103,"1d","mf",,Trigger)</f>
        <v>42089</v>
      </c>
      <c r="AG104" s="301">
        <f>_xll.qlDayCounterYearFraction(DayCounterON,SettlementDate,AF104,,,Trigger)</f>
        <v>0.4</v>
      </c>
      <c r="AH104" s="291">
        <f t="shared" si="15"/>
        <v>2.1508333921951258E-3</v>
      </c>
      <c r="AI104" s="291">
        <f t="shared" si="16"/>
        <v>2.2681103431630907E-3</v>
      </c>
      <c r="AJ104" s="261">
        <f t="shared" si="17"/>
        <v>2.2483940740416967E-3</v>
      </c>
    </row>
    <row r="105" spans="10:36" x14ac:dyDescent="0.2">
      <c r="J105" s="272"/>
      <c r="K105" s="272"/>
      <c r="AF105" s="290">
        <f>_xll.qlCalendarAdvance(Calendar,AF104,"1d","mf",,Trigger)</f>
        <v>42090</v>
      </c>
      <c r="AG105" s="301">
        <f>_xll.qlDayCounterYearFraction(DayCounterON,SettlementDate,AF105,,,Trigger)</f>
        <v>0.40273972602739727</v>
      </c>
      <c r="AH105" s="291">
        <f t="shared" si="15"/>
        <v>2.1508333921951258E-3</v>
      </c>
      <c r="AI105" s="291">
        <f t="shared" si="16"/>
        <v>2.2702234413787296E-3</v>
      </c>
      <c r="AJ105" s="261">
        <f t="shared" si="17"/>
        <v>2.2517666783423494E-3</v>
      </c>
    </row>
    <row r="106" spans="10:36" x14ac:dyDescent="0.2">
      <c r="J106" s="272"/>
      <c r="K106" s="272"/>
      <c r="AF106" s="290">
        <f>_xll.qlCalendarAdvance(Calendar,AF105,"1d","mf",,Trigger)</f>
        <v>42093</v>
      </c>
      <c r="AG106" s="301">
        <f>_xll.qlDayCounterYearFraction(DayCounterON,SettlementDate,AF106,,,Trigger)</f>
        <v>0.41095890410958902</v>
      </c>
      <c r="AH106" s="291">
        <f t="shared" si="15"/>
        <v>2.1508333921951258E-3</v>
      </c>
      <c r="AI106" s="291">
        <f t="shared" si="16"/>
        <v>2.2765627360256469E-3</v>
      </c>
      <c r="AJ106" s="261">
        <f t="shared" si="17"/>
        <v>2.2620678285846241E-3</v>
      </c>
    </row>
    <row r="107" spans="10:36" x14ac:dyDescent="0.2">
      <c r="J107" s="272"/>
      <c r="K107" s="272"/>
      <c r="AF107" s="290">
        <f>_xll.qlCalendarAdvance(Calendar,AF106,"1d","mf",,Trigger)</f>
        <v>42094</v>
      </c>
      <c r="AG107" s="301">
        <f>_xll.qlDayCounterYearFraction(DayCounterON,SettlementDate,AF107,,,Trigger)</f>
        <v>0.41369863013698632</v>
      </c>
      <c r="AH107" s="291">
        <f t="shared" si="15"/>
        <v>2.1508333921951258E-3</v>
      </c>
      <c r="AI107" s="291">
        <f t="shared" si="16"/>
        <v>2.2786758342412858E-3</v>
      </c>
      <c r="AJ107" s="261">
        <f t="shared" si="17"/>
        <v>2.2655626577788215E-3</v>
      </c>
    </row>
    <row r="108" spans="10:36" x14ac:dyDescent="0.2">
      <c r="J108" s="272"/>
      <c r="K108" s="272"/>
      <c r="AF108" s="290">
        <f>_xll.qlCalendarAdvance(Calendar,AF107,"1d","mf",,Trigger)</f>
        <v>42095</v>
      </c>
      <c r="AG108" s="301">
        <f>_xll.qlDayCounterYearFraction(DayCounterON,SettlementDate,AF108,,,Trigger)</f>
        <v>0.41643835616438357</v>
      </c>
      <c r="AH108" s="291">
        <f t="shared" si="15"/>
        <v>2.1508333921951258E-3</v>
      </c>
      <c r="AI108" s="291">
        <f t="shared" si="16"/>
        <v>2.2807889324569248E-3</v>
      </c>
      <c r="AJ108" s="261">
        <f t="shared" si="17"/>
        <v>2.2690880431964051E-3</v>
      </c>
    </row>
    <row r="109" spans="10:36" x14ac:dyDescent="0.2">
      <c r="J109" s="272"/>
      <c r="K109" s="272"/>
      <c r="AF109" s="290">
        <f>_xll.qlCalendarAdvance(Calendar,AF108,"1d","mf",,Trigger)</f>
        <v>42096</v>
      </c>
      <c r="AG109" s="301">
        <f>_xll.qlDayCounterYearFraction(DayCounterON,SettlementDate,AF109,,,Trigger)</f>
        <v>0.41917808219178082</v>
      </c>
      <c r="AH109" s="291">
        <f t="shared" si="15"/>
        <v>2.1508333921951258E-3</v>
      </c>
      <c r="AI109" s="291">
        <f t="shared" si="16"/>
        <v>2.2829020306725637E-3</v>
      </c>
      <c r="AJ109" s="261">
        <f t="shared" si="17"/>
        <v>2.2726439848373748E-3</v>
      </c>
    </row>
    <row r="110" spans="10:36" x14ac:dyDescent="0.2">
      <c r="J110" s="272"/>
      <c r="K110" s="272"/>
      <c r="AF110" s="290">
        <f>_xll.qlCalendarAdvance(Calendar,AF109,"1d","mf",,Trigger)</f>
        <v>42101</v>
      </c>
      <c r="AG110" s="301">
        <f>_xll.qlDayCounterYearFraction(DayCounterON,SettlementDate,AF110,,,Trigger)</f>
        <v>0.43287671232876712</v>
      </c>
      <c r="AH110" s="291">
        <f t="shared" si="15"/>
        <v>2.1508333921951258E-3</v>
      </c>
      <c r="AI110" s="291">
        <f t="shared" si="16"/>
        <v>2.2934675217507589E-3</v>
      </c>
      <c r="AJ110" s="261">
        <f t="shared" si="17"/>
        <v>2.2908820363930151E-3</v>
      </c>
    </row>
    <row r="111" spans="10:36" x14ac:dyDescent="0.2">
      <c r="J111" s="272"/>
      <c r="K111" s="272"/>
      <c r="AF111" s="290">
        <f>_xll.qlCalendarAdvance(Calendar,AF110,"1d","mf",,Trigger)</f>
        <v>42102</v>
      </c>
      <c r="AG111" s="301">
        <f>_xll.qlDayCounterYearFraction(DayCounterON,SettlementDate,AF111,,,Trigger)</f>
        <v>0.43561643835616437</v>
      </c>
      <c r="AH111" s="291">
        <f t="shared" si="15"/>
        <v>2.1508333921951258E-3</v>
      </c>
      <c r="AI111" s="291">
        <f t="shared" si="16"/>
        <v>2.2955806199663979E-3</v>
      </c>
      <c r="AJ111" s="261">
        <f t="shared" si="17"/>
        <v>2.2946213153743019E-3</v>
      </c>
    </row>
    <row r="112" spans="10:36" x14ac:dyDescent="0.2">
      <c r="J112" s="272"/>
      <c r="K112" s="272"/>
      <c r="AF112" s="290">
        <f>_xll.qlCalendarAdvance(Calendar,AF111,"1d","mf",,Trigger)</f>
        <v>42103</v>
      </c>
      <c r="AG112" s="301">
        <f>_xll.qlDayCounterYearFraction(DayCounterON,SettlementDate,AF112,,,Trigger)</f>
        <v>0.43835616438356162</v>
      </c>
      <c r="AH112" s="291">
        <f t="shared" si="15"/>
        <v>2.1508333921951258E-3</v>
      </c>
      <c r="AI112" s="291">
        <f t="shared" si="16"/>
        <v>2.2976937181820368E-3</v>
      </c>
      <c r="AJ112" s="261">
        <f t="shared" si="17"/>
        <v>2.2983911505789745E-3</v>
      </c>
    </row>
    <row r="113" spans="10:36" x14ac:dyDescent="0.2">
      <c r="J113" s="272"/>
      <c r="K113" s="272"/>
      <c r="AF113" s="290">
        <f>_xll.qlCalendarAdvance(Calendar,AF112,"1d","mf",,Trigger)</f>
        <v>42104</v>
      </c>
      <c r="AG113" s="301">
        <f>_xll.qlDayCounterYearFraction(DayCounterON,SettlementDate,AF113,,,Trigger)</f>
        <v>0.44109589041095892</v>
      </c>
      <c r="AH113" s="291">
        <f t="shared" si="15"/>
        <v>2.1508333921951258E-3</v>
      </c>
      <c r="AI113" s="291">
        <f t="shared" si="16"/>
        <v>2.2998068163976758E-3</v>
      </c>
      <c r="AJ113" s="261">
        <f t="shared" si="17"/>
        <v>2.3021915420070333E-3</v>
      </c>
    </row>
    <row r="114" spans="10:36" x14ac:dyDescent="0.2">
      <c r="J114" s="272"/>
      <c r="K114" s="272"/>
      <c r="AF114" s="290">
        <f>_xll.qlCalendarAdvance(Calendar,AF113,"1d","mf",,Trigger)</f>
        <v>42107</v>
      </c>
      <c r="AG114" s="301">
        <f>_xll.qlDayCounterYearFraction(DayCounterON,SettlementDate,AF114,,,Trigger)</f>
        <v>0.44931506849315067</v>
      </c>
      <c r="AH114" s="291">
        <f t="shared" si="15"/>
        <v>2.1508333921951258E-3</v>
      </c>
      <c r="AI114" s="291">
        <f t="shared" si="16"/>
        <v>2.3061461110445926E-3</v>
      </c>
      <c r="AJ114" s="261">
        <f t="shared" si="17"/>
        <v>2.3137760536315272E-3</v>
      </c>
    </row>
    <row r="115" spans="10:36" x14ac:dyDescent="0.2">
      <c r="J115" s="272"/>
      <c r="K115" s="272"/>
      <c r="AF115" s="290">
        <f>_xll.qlCalendarAdvance(Calendar,AF114,"1d","mf",,Trigger)</f>
        <v>42108</v>
      </c>
      <c r="AG115" s="301">
        <f>_xll.qlDayCounterYearFraction(DayCounterON,SettlementDate,AF115,,,Trigger)</f>
        <v>0.45205479452054792</v>
      </c>
      <c r="AH115" s="291">
        <f t="shared" si="15"/>
        <v>2.1508333921951258E-3</v>
      </c>
      <c r="AI115" s="291">
        <f t="shared" si="16"/>
        <v>2.3082592092602315E-3</v>
      </c>
      <c r="AJ115" s="261">
        <f t="shared" si="17"/>
        <v>2.3176986699531307E-3</v>
      </c>
    </row>
    <row r="116" spans="10:36" x14ac:dyDescent="0.2">
      <c r="J116" s="256"/>
      <c r="K116" s="272"/>
      <c r="AF116" s="290">
        <f>_xll.qlCalendarAdvance(Calendar,AF115,"1d","mf",,Trigger)</f>
        <v>42109</v>
      </c>
      <c r="AG116" s="301">
        <f>_xll.qlDayCounterYearFraction(DayCounterON,SettlementDate,AF116,,,Trigger)</f>
        <v>0.45479452054794522</v>
      </c>
      <c r="AH116" s="291">
        <f t="shared" si="15"/>
        <v>2.1508333921951258E-3</v>
      </c>
      <c r="AI116" s="291">
        <f t="shared" si="16"/>
        <v>2.3103723074758709E-3</v>
      </c>
      <c r="AJ116" s="261">
        <f t="shared" si="17"/>
        <v>2.3216518424981204E-3</v>
      </c>
    </row>
    <row r="117" spans="10:36" x14ac:dyDescent="0.2">
      <c r="J117" s="256"/>
      <c r="K117" s="272"/>
      <c r="AF117" s="290">
        <f>_xll.qlCalendarAdvance(Calendar,AF116,"1d","mf",,Trigger)</f>
        <v>42110</v>
      </c>
      <c r="AG117" s="301">
        <f>_xll.qlDayCounterYearFraction(DayCounterON,SettlementDate,AF117,,,Trigger)</f>
        <v>0.45753424657534247</v>
      </c>
      <c r="AH117" s="291">
        <f t="shared" si="15"/>
        <v>2.1508333921951258E-3</v>
      </c>
      <c r="AI117" s="291">
        <f t="shared" si="16"/>
        <v>2.3124854056915099E-3</v>
      </c>
      <c r="AJ117" s="261">
        <f t="shared" si="17"/>
        <v>2.3256355712664963E-3</v>
      </c>
    </row>
    <row r="118" spans="10:36" x14ac:dyDescent="0.2">
      <c r="J118" s="256"/>
      <c r="K118" s="272"/>
      <c r="AF118" s="290">
        <f>_xll.qlCalendarAdvance(Calendar,AF117,"1d","mf",,Trigger)</f>
        <v>42111</v>
      </c>
      <c r="AG118" s="301">
        <f>_xll.qlDayCounterYearFraction(DayCounterON,SettlementDate,AF118,,,Trigger)</f>
        <v>0.46027397260273972</v>
      </c>
      <c r="AH118" s="291">
        <f t="shared" si="15"/>
        <v>2.1508333921951258E-3</v>
      </c>
      <c r="AI118" s="291">
        <f t="shared" si="16"/>
        <v>2.3145985039071488E-3</v>
      </c>
      <c r="AJ118" s="261">
        <f t="shared" si="17"/>
        <v>2.3296498562582584E-3</v>
      </c>
    </row>
    <row r="119" spans="10:36" x14ac:dyDescent="0.2">
      <c r="J119" s="256"/>
      <c r="K119" s="272"/>
      <c r="AF119" s="290">
        <f>_xll.qlCalendarAdvance(Calendar,AF118,"1d","mf",,Trigger)</f>
        <v>42114</v>
      </c>
      <c r="AG119" s="301">
        <f>_xll.qlDayCounterYearFraction(DayCounterON,SettlementDate,AF119,,,Trigger)</f>
        <v>0.46849315068493153</v>
      </c>
      <c r="AH119" s="291">
        <f t="shared" si="15"/>
        <v>2.1508333921951258E-3</v>
      </c>
      <c r="AI119" s="291">
        <f t="shared" si="16"/>
        <v>2.3209377985540657E-3</v>
      </c>
      <c r="AJ119" s="261">
        <f t="shared" si="17"/>
        <v>2.3418760485738612E-3</v>
      </c>
    </row>
    <row r="120" spans="10:36" x14ac:dyDescent="0.2">
      <c r="J120" s="256"/>
      <c r="K120" s="272"/>
      <c r="AF120" s="290">
        <f>_xll.qlCalendarAdvance(Calendar,AF119,"1d","mf",,Trigger)</f>
        <v>42115</v>
      </c>
      <c r="AG120" s="301">
        <f>_xll.qlDayCounterYearFraction(DayCounterON,SettlementDate,AF120,,,Trigger)</f>
        <v>0.47123287671232877</v>
      </c>
      <c r="AH120" s="291">
        <f t="shared" si="15"/>
        <v>2.1508333921951258E-3</v>
      </c>
      <c r="AI120" s="291">
        <f t="shared" si="16"/>
        <v>2.3230508967697046E-3</v>
      </c>
      <c r="AJ120" s="261">
        <f t="shared" si="17"/>
        <v>2.346012558459168E-3</v>
      </c>
    </row>
    <row r="121" spans="10:36" x14ac:dyDescent="0.2">
      <c r="J121" s="256"/>
      <c r="K121" s="272"/>
      <c r="AF121" s="290">
        <f>_xll.qlCalendarAdvance(Calendar,AF120,"1d","mf",,Trigger)</f>
        <v>42116</v>
      </c>
      <c r="AG121" s="301">
        <f>_xll.qlDayCounterYearFraction(DayCounterON,SettlementDate,AF121,,,Trigger)</f>
        <v>0.47397260273972602</v>
      </c>
      <c r="AH121" s="291">
        <f t="shared" si="15"/>
        <v>2.1508333921951258E-3</v>
      </c>
      <c r="AI121" s="291">
        <f t="shared" si="16"/>
        <v>2.3251639949853436E-3</v>
      </c>
      <c r="AJ121" s="261">
        <f t="shared" si="17"/>
        <v>2.3501796245678605E-3</v>
      </c>
    </row>
    <row r="122" spans="10:36" x14ac:dyDescent="0.2">
      <c r="J122" s="256"/>
      <c r="K122" s="256"/>
      <c r="AF122" s="290">
        <f>_xll.qlCalendarAdvance(Calendar,AF121,"1d","mf",,Trigger)</f>
        <v>42117</v>
      </c>
      <c r="AG122" s="301">
        <f>_xll.qlDayCounterYearFraction(DayCounterON,SettlementDate,AF122,,,Trigger)</f>
        <v>0.47671232876712327</v>
      </c>
      <c r="AH122" s="291">
        <f t="shared" si="15"/>
        <v>2.1508333921951258E-3</v>
      </c>
      <c r="AI122" s="291">
        <f t="shared" si="16"/>
        <v>2.3272770932009825E-3</v>
      </c>
      <c r="AJ122" s="261">
        <f t="shared" si="17"/>
        <v>2.3543772468999397E-3</v>
      </c>
    </row>
    <row r="123" spans="10:36" x14ac:dyDescent="0.2">
      <c r="J123" s="256"/>
      <c r="K123" s="256"/>
      <c r="AF123" s="290">
        <f>_xll.qlCalendarAdvance(Calendar,AF122,"1d","mf",,Trigger)</f>
        <v>42118</v>
      </c>
      <c r="AG123" s="301">
        <f>_xll.qlDayCounterYearFraction(DayCounterON,SettlementDate,AF123,,,Trigger)</f>
        <v>0.47945205479452052</v>
      </c>
      <c r="AH123" s="291">
        <f t="shared" si="15"/>
        <v>2.1508333921951258E-3</v>
      </c>
      <c r="AI123" s="291">
        <f t="shared" si="16"/>
        <v>2.3293901914166219E-3</v>
      </c>
      <c r="AJ123" s="261">
        <f t="shared" si="17"/>
        <v>2.3586054254554046E-3</v>
      </c>
    </row>
    <row r="124" spans="10:36" x14ac:dyDescent="0.2">
      <c r="J124" s="256"/>
      <c r="K124" s="256"/>
      <c r="AF124" s="290">
        <f>_xll.qlCalendarAdvance(Calendar,AF123,"1d","mf",,Trigger)</f>
        <v>42121</v>
      </c>
      <c r="AG124" s="301">
        <f>_xll.qlDayCounterYearFraction(DayCounterON,SettlementDate,AF124,,,Trigger)</f>
        <v>0.48767123287671232</v>
      </c>
      <c r="AH124" s="291">
        <f t="shared" si="15"/>
        <v>2.1508333921951258E-3</v>
      </c>
      <c r="AI124" s="291">
        <f t="shared" si="16"/>
        <v>2.3357294860635387E-3</v>
      </c>
      <c r="AJ124" s="261">
        <f t="shared" si="17"/>
        <v>2.3714732984621168E-3</v>
      </c>
    </row>
    <row r="125" spans="10:36" x14ac:dyDescent="0.2">
      <c r="J125" s="256"/>
      <c r="K125" s="256"/>
      <c r="AF125" s="290">
        <f>_xll.qlCalendarAdvance(Calendar,AF124,"1d","mf",,Trigger)</f>
        <v>42122</v>
      </c>
      <c r="AG125" s="301">
        <f>_xll.qlDayCounterYearFraction(DayCounterON,SettlementDate,AF125,,,Trigger)</f>
        <v>0.49041095890410957</v>
      </c>
      <c r="AH125" s="291">
        <f t="shared" si="15"/>
        <v>2.1508333921951258E-3</v>
      </c>
      <c r="AI125" s="291">
        <f t="shared" si="16"/>
        <v>2.3378425842791777E-3</v>
      </c>
      <c r="AJ125" s="261">
        <f t="shared" si="17"/>
        <v>2.3758237019111269E-3</v>
      </c>
    </row>
    <row r="126" spans="10:36" x14ac:dyDescent="0.2">
      <c r="J126" s="256"/>
      <c r="K126" s="256"/>
      <c r="AF126" s="290">
        <f>_xll.qlCalendarAdvance(Calendar,AF125,"1d","mf",,Trigger)</f>
        <v>42123</v>
      </c>
      <c r="AG126" s="301">
        <f>_xll.qlDayCounterYearFraction(DayCounterON,SettlementDate,AF126,,,Trigger)</f>
        <v>0.49315068493150682</v>
      </c>
      <c r="AH126" s="291">
        <f t="shared" si="15"/>
        <v>2.1508333921951258E-3</v>
      </c>
      <c r="AI126" s="291">
        <f t="shared" si="16"/>
        <v>2.3399556824948166E-3</v>
      </c>
      <c r="AJ126" s="261">
        <f t="shared" si="17"/>
        <v>2.3802046615835227E-3</v>
      </c>
    </row>
    <row r="127" spans="10:36" x14ac:dyDescent="0.2">
      <c r="J127" s="256"/>
      <c r="K127" s="256"/>
      <c r="AF127" s="290">
        <f>_xll.qlCalendarAdvance(Calendar,AF126,"1d","mf",,Trigger)</f>
        <v>42124</v>
      </c>
      <c r="AG127" s="301">
        <f>_xll.qlDayCounterYearFraction(DayCounterON,SettlementDate,AF127,,,Trigger)</f>
        <v>0.49589041095890413</v>
      </c>
      <c r="AH127" s="291">
        <f t="shared" si="15"/>
        <v>2.1508333921951258E-3</v>
      </c>
      <c r="AI127" s="291">
        <f t="shared" si="16"/>
        <v>2.3420687807104556E-3</v>
      </c>
      <c r="AJ127" s="261">
        <f t="shared" si="17"/>
        <v>2.3846161774793047E-3</v>
      </c>
    </row>
    <row r="128" spans="10:36" x14ac:dyDescent="0.2">
      <c r="J128" s="256"/>
      <c r="K128" s="256"/>
      <c r="AF128" s="290">
        <f>_xll.qlCalendarAdvance(Calendar,AF127,"1d","mf",,Trigger)</f>
        <v>42128</v>
      </c>
      <c r="AG128" s="301">
        <f>_xll.qlDayCounterYearFraction(DayCounterON,SettlementDate,AF128,,,Trigger)</f>
        <v>0.50684931506849318</v>
      </c>
      <c r="AH128" s="291">
        <f t="shared" si="15"/>
        <v>2.1508333921951258E-3</v>
      </c>
      <c r="AI128" s="291">
        <f t="shared" si="16"/>
        <v>2.3505211735730118E-3</v>
      </c>
      <c r="AJ128" s="261">
        <f t="shared" si="17"/>
        <v>2.4025678032962949E-3</v>
      </c>
    </row>
    <row r="129" spans="10:36" x14ac:dyDescent="0.2">
      <c r="J129" s="256"/>
      <c r="K129" s="256"/>
      <c r="AF129" s="290">
        <f>_xll.qlCalendarAdvance(Calendar,AF128,"1d","mf",,Trigger)</f>
        <v>42129</v>
      </c>
      <c r="AG129" s="301">
        <f>_xll.qlDayCounterYearFraction(DayCounterON,SettlementDate,AF129,,,Trigger)</f>
        <v>0.50958904109589043</v>
      </c>
      <c r="AH129" s="291">
        <f t="shared" si="15"/>
        <v>2.1508333921951258E-3</v>
      </c>
      <c r="AI129" s="291">
        <f t="shared" si="16"/>
        <v>2.3526342717886508E-3</v>
      </c>
      <c r="AJ129" s="261">
        <f t="shared" si="17"/>
        <v>2.4071321003090074E-3</v>
      </c>
    </row>
    <row r="130" spans="10:36" x14ac:dyDescent="0.2">
      <c r="J130" s="256"/>
      <c r="K130" s="256"/>
      <c r="AF130" s="290">
        <f>_xll.qlCalendarAdvance(Calendar,AF129,"1d","mf",,Trigger)</f>
        <v>42130</v>
      </c>
      <c r="AG130" s="301">
        <f>_xll.qlDayCounterYearFraction(DayCounterON,SettlementDate,AF130,,,Trigger)</f>
        <v>0.51232876712328768</v>
      </c>
      <c r="AH130" s="291">
        <f t="shared" si="15"/>
        <v>2.1508333921951258E-3</v>
      </c>
      <c r="AI130" s="291">
        <f t="shared" si="16"/>
        <v>2.3547473700042897E-3</v>
      </c>
      <c r="AJ130" s="261">
        <f t="shared" si="17"/>
        <v>2.4117269535451069E-3</v>
      </c>
    </row>
    <row r="131" spans="10:36" x14ac:dyDescent="0.2">
      <c r="J131" s="256"/>
      <c r="K131" s="256"/>
      <c r="AF131" s="290">
        <f>_xll.qlCalendarAdvance(Calendar,AF130,"1d","mf",,Trigger)</f>
        <v>42131</v>
      </c>
      <c r="AG131" s="301">
        <f>_xll.qlDayCounterYearFraction(DayCounterON,SettlementDate,AF131,,,Trigger)</f>
        <v>0.51506849315068493</v>
      </c>
      <c r="AH131" s="291">
        <f t="shared" si="15"/>
        <v>2.1508333921951258E-3</v>
      </c>
      <c r="AI131" s="291">
        <f t="shared" si="16"/>
        <v>2.3568604682199287E-3</v>
      </c>
      <c r="AJ131" s="261">
        <f t="shared" si="17"/>
        <v>2.4163523630045917E-3</v>
      </c>
    </row>
    <row r="132" spans="10:36" ht="12" thickBot="1" x14ac:dyDescent="0.25">
      <c r="K132" s="256"/>
      <c r="AF132" s="292">
        <f>_xll.qlCalendarAdvance(Calendar,AF131,"1d","mf",,Trigger)</f>
        <v>42132</v>
      </c>
      <c r="AG132" s="303">
        <f>_xll.qlDayCounterYearFraction(DayCounterON,SettlementDate,AF132,,,Trigger)</f>
        <v>0.51780821917808217</v>
      </c>
      <c r="AH132" s="293">
        <f t="shared" si="15"/>
        <v>2.1508333921951258E-3</v>
      </c>
      <c r="AI132" s="293">
        <f t="shared" si="16"/>
        <v>2.3589735664355676E-3</v>
      </c>
      <c r="AJ132" s="266">
        <f t="shared" si="17"/>
        <v>2.4210083286874632E-3</v>
      </c>
    </row>
    <row r="133" spans="10:36" x14ac:dyDescent="0.2">
      <c r="K133" s="256"/>
    </row>
    <row r="134" spans="10:36" x14ac:dyDescent="0.2">
      <c r="K134" s="256"/>
    </row>
    <row r="135" spans="10:36" x14ac:dyDescent="0.2">
      <c r="K135" s="256"/>
    </row>
    <row r="136" spans="10:36" x14ac:dyDescent="0.2">
      <c r="K136" s="256"/>
    </row>
    <row r="137" spans="10:36" x14ac:dyDescent="0.2">
      <c r="K137" s="256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workbookViewId="0"/>
  </sheetViews>
  <sheetFormatPr defaultColWidth="9.5" defaultRowHeight="11.25" outlineLevelCol="1" x14ac:dyDescent="0.2"/>
  <cols>
    <col min="1" max="1" width="3.5" style="255" customWidth="1"/>
    <col min="2" max="2" width="2.33203125" style="255" bestFit="1" customWidth="1"/>
    <col min="3" max="3" width="3.5" style="255" customWidth="1"/>
    <col min="4" max="4" width="31.1640625" style="255" bestFit="1" customWidth="1"/>
    <col min="5" max="6" width="22.83203125" style="255" customWidth="1"/>
    <col min="7" max="7" width="19" style="255" hidden="1" customWidth="1" outlineLevel="1"/>
    <col min="8" max="8" width="11.6640625" style="255" hidden="1" customWidth="1" outlineLevel="1"/>
    <col min="9" max="9" width="10.83203125" style="255" customWidth="1" collapsed="1"/>
    <col min="10" max="15" width="10.83203125" style="255" customWidth="1"/>
    <col min="16" max="16" width="12.83203125" style="255" hidden="1" customWidth="1" outlineLevel="1"/>
    <col min="17" max="17" width="7" style="255" customWidth="1" collapsed="1"/>
    <col min="18" max="18" width="13.1640625" style="255" customWidth="1"/>
    <col min="19" max="21" width="6.83203125" style="255" customWidth="1"/>
    <col min="22" max="22" width="3.6640625" style="255" customWidth="1"/>
    <col min="23" max="23" width="10.83203125" style="255" customWidth="1"/>
    <col min="24" max="24" width="3.1640625" style="255" customWidth="1"/>
    <col min="25" max="25" width="10.83203125" style="255" customWidth="1"/>
    <col min="26" max="26" width="12.5" style="255" bestFit="1" customWidth="1"/>
    <col min="27" max="29" width="10.5" style="255" customWidth="1"/>
    <col min="30" max="31" width="9.5" style="255"/>
    <col min="32" max="32" width="20.33203125" style="255" bestFit="1" customWidth="1"/>
    <col min="33" max="33" width="12.33203125" style="255" bestFit="1" customWidth="1"/>
    <col min="34" max="35" width="10.5" style="255" bestFit="1" customWidth="1"/>
    <col min="36" max="36" width="12.1640625" style="255" customWidth="1"/>
    <col min="37" max="16384" width="9.5" style="255"/>
  </cols>
  <sheetData>
    <row r="1" spans="1:36" ht="12" thickBot="1" x14ac:dyDescent="0.25"/>
    <row r="2" spans="1:36" ht="19.5" customHeight="1" x14ac:dyDescent="0.2">
      <c r="D2" s="267" t="s">
        <v>123</v>
      </c>
      <c r="E2" s="268" t="s">
        <v>106</v>
      </c>
      <c r="F2" s="268" t="s">
        <v>107</v>
      </c>
      <c r="G2" s="267" t="s">
        <v>158</v>
      </c>
      <c r="H2" s="268"/>
      <c r="I2" s="268" t="s">
        <v>85</v>
      </c>
      <c r="J2" s="268" t="s">
        <v>39</v>
      </c>
      <c r="K2" s="282"/>
      <c r="L2" s="282"/>
      <c r="M2" s="269"/>
      <c r="N2" s="268" t="s">
        <v>154</v>
      </c>
      <c r="P2" s="268" t="s">
        <v>160</v>
      </c>
      <c r="W2" s="318" t="s">
        <v>131</v>
      </c>
      <c r="AA2" s="440" t="s">
        <v>130</v>
      </c>
      <c r="AB2" s="440"/>
      <c r="AC2" s="440"/>
      <c r="AF2" s="267" t="s">
        <v>106</v>
      </c>
      <c r="AG2" s="267"/>
      <c r="AH2" s="268" t="s">
        <v>44</v>
      </c>
      <c r="AI2" s="268" t="s">
        <v>121</v>
      </c>
      <c r="AJ2" s="269" t="s">
        <v>122</v>
      </c>
    </row>
    <row r="3" spans="1:36" x14ac:dyDescent="0.2">
      <c r="D3" s="257" t="str">
        <f>$E$9&amp;"LastFixing"&amp;QuoteSuffix</f>
        <v>Euribor1YLastFixing_Quote</v>
      </c>
      <c r="E3" s="258">
        <f>_xll.qlCalendarAdvance(Calendar,_xll.qlLastFixingQuoteReferenceDate($D$3),_xll.qlInterestRateIndexFixingDays($E$9)&amp;"D","f",,LastFixingsTrigger)</f>
        <v>41943</v>
      </c>
      <c r="F3" s="258">
        <f>_xll.qlInterestRateIndexMaturity($E$9,E3)</f>
        <v>42307</v>
      </c>
      <c r="G3" s="257" t="str">
        <f>_xll.qlMakeDatedOIS(,E3,F3,OvernightIndex,0,,,,EvaluationDate)</f>
        <v>obj_004ff#0002</v>
      </c>
      <c r="H3" s="258" t="b">
        <f>_xll.qlInstrumentSetPricingEngine(G3,OisEngine)</f>
        <v>1</v>
      </c>
      <c r="I3" s="259">
        <f>_xll.qlQuoteValue($D3,AllTriggers)</f>
        <v>3.4000000000000002E-3</v>
      </c>
      <c r="J3" s="260">
        <f>_xll.qlOvernightIndexedSwapFairRate(G3,_xll.ohTrigger(H3,InterestRatesTrigger))</f>
        <v>-2.7712525051792284E-4</v>
      </c>
      <c r="K3" s="283">
        <f>I3*_xll.qlDayCounterYearFraction(DayCounter1M,E3,F3,,,Trigger)</f>
        <v>3.4377777777777779E-3</v>
      </c>
      <c r="L3" s="283">
        <f>J3*_xll.qlDayCounterYearFraction(DayCounterOIS,E3,F3,,,Trigger)</f>
        <v>-2.8020441996812195E-4</v>
      </c>
      <c r="M3" s="294">
        <f>K3-L3</f>
        <v>3.7179821977458998E-3</v>
      </c>
      <c r="N3" s="294">
        <f>M3</f>
        <v>3.7179821977458998E-3</v>
      </c>
      <c r="P3" s="294" t="b">
        <f>IF(E14="FRA",FALSE,IF(E14="FIX+FRA",TRUE,FALSE))</f>
        <v>1</v>
      </c>
      <c r="R3" s="441" t="s">
        <v>124</v>
      </c>
      <c r="S3" s="274">
        <f t="array" ref="S3:S5">_xll.ohFilter(N10:N14,P10:P14)</f>
        <v>0.33060110654975661</v>
      </c>
      <c r="T3" s="275">
        <f t="array" ref="T3:T5">_xll.ohFilter(M10:M14,P10:P14)</f>
        <v>0.49726402702195532</v>
      </c>
      <c r="U3" s="276">
        <f t="array" ref="U3:U5">_xll.ohFilter(L10:L14,P10:P14)</f>
        <v>0.99726027397260275</v>
      </c>
      <c r="V3" s="270"/>
      <c r="W3" s="278" t="e">
        <f t="array" ref="W3:W5">MMULT(AA3:AC5,Y3:Y5)</f>
        <v>#NUM!</v>
      </c>
      <c r="X3" s="279"/>
      <c r="Y3" s="259">
        <f t="array" ref="Y3:Y5">_xll.ohFilter(N3:N7,P3:P7)</f>
        <v>3.7179821977458998E-3</v>
      </c>
      <c r="AA3" s="274" t="e">
        <f t="array" ref="AA3:AC5">MINVERSE(S3:U5)</f>
        <v>#NUM!</v>
      </c>
      <c r="AB3" s="275" t="e">
        <v>#NUM!</v>
      </c>
      <c r="AC3" s="276" t="e">
        <v>#NUM!</v>
      </c>
      <c r="AF3" s="287">
        <f>SettlementDate</f>
        <v>41943</v>
      </c>
      <c r="AG3" s="299">
        <f>_xll.qlDayCounterYearFraction(DayCounterON,SettlementDate,AF3,,,Trigger)</f>
        <v>0</v>
      </c>
      <c r="AH3" s="288">
        <f t="shared" ref="AH3:AH66" si="0">$W$13</f>
        <v>3.7281964345528941E-3</v>
      </c>
      <c r="AI3" s="288">
        <f t="shared" ref="AI3:AI24" si="1">$W$10+$W$9*AG3</f>
        <v>3.4474196486735508E-3</v>
      </c>
      <c r="AJ3" s="289" t="e">
        <f t="shared" ref="AJ3:AJ24" si="2">($W$5+$W$4*AG3+$W$3*AG3^2)</f>
        <v>#NUM!</v>
      </c>
    </row>
    <row r="4" spans="1:36" x14ac:dyDescent="0.2">
      <c r="D4" s="315" t="s">
        <v>174</v>
      </c>
      <c r="E4" s="258">
        <f>SettlementDate</f>
        <v>41943</v>
      </c>
      <c r="F4" s="258">
        <f>_xll.qlInterestRateIndexMaturity($E$9,E4)</f>
        <v>42307</v>
      </c>
      <c r="G4" s="257" t="str">
        <f>_xll.qlMakeDatedOIS(,E4,F4,OvernightIndex,0,,,,EvaluationDate)</f>
        <v>obj_00587#0000</v>
      </c>
      <c r="H4" s="258" t="b">
        <f>_xll.qlInstrumentSetPricingEngine(G4,OisEngine)</f>
        <v>1</v>
      </c>
      <c r="I4" s="259"/>
      <c r="J4" s="260"/>
      <c r="K4" s="283"/>
      <c r="L4" s="283"/>
      <c r="M4" s="294"/>
      <c r="N4" s="316" t="e">
        <f>_xll.qlInterpolationInterpolate($H$13,E4,TRUE,Trigger)</f>
        <v>#VALUE!</v>
      </c>
      <c r="P4" s="294" t="b">
        <f>IF(E14="FRA",FALSE,IF(E14="FIX+FRA",FALSE,TRUE))</f>
        <v>0</v>
      </c>
      <c r="R4" s="441"/>
      <c r="S4" s="274">
        <v>2.3470394832787949</v>
      </c>
      <c r="T4" s="275">
        <v>1.5082191780821921</v>
      </c>
      <c r="U4" s="276">
        <v>1.0054794520547947</v>
      </c>
      <c r="V4" s="271" t="s">
        <v>42</v>
      </c>
      <c r="W4" s="278" t="e">
        <v>#NUM!</v>
      </c>
      <c r="X4" s="271" t="s">
        <v>43</v>
      </c>
      <c r="Y4" s="259">
        <v>4.3155822601565891E-3</v>
      </c>
      <c r="AA4" s="274" t="e">
        <v>#NUM!</v>
      </c>
      <c r="AB4" s="275" t="e">
        <v>#NUM!</v>
      </c>
      <c r="AC4" s="276" t="e">
        <v>#NUM!</v>
      </c>
      <c r="AF4" s="290">
        <f>_xll.qlCalendarAdvance(Calendar,AF3,"1d","mf",,Trigger)</f>
        <v>41946</v>
      </c>
      <c r="AG4" s="301">
        <f>_xll.qlDayCounterYearFraction(DayCounterON,SettlementDate,AF4,,,Trigger)</f>
        <v>8.21917808219178E-3</v>
      </c>
      <c r="AH4" s="291">
        <f t="shared" si="0"/>
        <v>3.7281964345528941E-3</v>
      </c>
      <c r="AI4" s="291">
        <f t="shared" si="1"/>
        <v>3.4520478374517817E-3</v>
      </c>
      <c r="AJ4" s="261" t="e">
        <f t="shared" si="2"/>
        <v>#NUM!</v>
      </c>
    </row>
    <row r="5" spans="1:36" x14ac:dyDescent="0.2">
      <c r="A5" s="273">
        <v>12</v>
      </c>
      <c r="B5" s="273" t="s">
        <v>42</v>
      </c>
      <c r="C5" s="314">
        <v>24</v>
      </c>
      <c r="D5" s="257" t="str">
        <f>Currency&amp;A5&amp;B5&amp;C5&amp;"F"&amp;QuoteSuffix</f>
        <v>EUR12x24F_Quote</v>
      </c>
      <c r="E5" s="258">
        <f>_xll.qlCalendarAdvance(Calendar,SettlementDate,A5&amp;"M","mf")</f>
        <v>42307</v>
      </c>
      <c r="F5" s="258">
        <f>_xll.qlInterestRateIndexMaturity($E$9,E5)</f>
        <v>42674</v>
      </c>
      <c r="G5" s="257" t="str">
        <f>_xll.qlMakeDatedOIS(,E5,F5,OvernightIndex,0,,,,EvaluationDate)</f>
        <v>obj_00564#0000</v>
      </c>
      <c r="H5" s="258" t="b">
        <f>_xll.qlInstrumentSetPricingEngine(G5,OisEngine)</f>
        <v>1</v>
      </c>
      <c r="I5" s="259">
        <f>_xll.qlQuoteValue($D5,AllTriggers)</f>
        <v>4.0500000000000006E-3</v>
      </c>
      <c r="J5" s="260">
        <f>_xll.qlOvernightIndexedSwapFairRate(G5,_xll.ohTrigger(H5,InterestRatesTrigger))</f>
        <v>-1.8326870206095884E-4</v>
      </c>
      <c r="K5" s="283">
        <f>I5*_xll.qlDayCounterYearFraction(DayCounter1M,E5,F5,,,Trigger)</f>
        <v>4.1287500000000005E-3</v>
      </c>
      <c r="L5" s="283">
        <f>J5*_xll.qlDayCounterYearFraction(DayCounterOIS,E5,F5,,,Trigger)</f>
        <v>-1.8683226015658858E-4</v>
      </c>
      <c r="M5" s="294">
        <f>K5-L5</f>
        <v>4.3155822601565891E-3</v>
      </c>
      <c r="N5" s="294">
        <f>M5</f>
        <v>4.3155822601565891E-3</v>
      </c>
      <c r="P5" s="294" t="b">
        <v>1</v>
      </c>
      <c r="R5" s="441"/>
      <c r="S5" s="274" t="e">
        <v>#NUM!</v>
      </c>
      <c r="T5" s="275" t="e">
        <v>#NUM!</v>
      </c>
      <c r="U5" s="276" t="e">
        <v>#NUM!</v>
      </c>
      <c r="V5" s="273"/>
      <c r="W5" s="278" t="e">
        <v>#NUM!</v>
      </c>
      <c r="X5" s="271"/>
      <c r="Y5" s="259" t="e">
        <v>#NUM!</v>
      </c>
      <c r="AA5" s="274" t="e">
        <v>#NUM!</v>
      </c>
      <c r="AB5" s="275" t="e">
        <v>#NUM!</v>
      </c>
      <c r="AC5" s="276" t="e">
        <v>#NUM!</v>
      </c>
      <c r="AF5" s="290">
        <f>_xll.qlCalendarAdvance(Calendar,AF4,"1d","mf",,Trigger)</f>
        <v>41947</v>
      </c>
      <c r="AG5" s="301">
        <f>_xll.qlDayCounterYearFraction(DayCounterON,SettlementDate,AF5,,,Trigger)</f>
        <v>1.0958904109589041E-2</v>
      </c>
      <c r="AH5" s="291">
        <f t="shared" si="0"/>
        <v>3.7281964345528941E-3</v>
      </c>
      <c r="AI5" s="291">
        <f t="shared" si="1"/>
        <v>3.4535905670445254E-3</v>
      </c>
      <c r="AJ5" s="261" t="e">
        <f t="shared" si="2"/>
        <v>#NUM!</v>
      </c>
    </row>
    <row r="6" spans="1:36" x14ac:dyDescent="0.2">
      <c r="A6" s="273"/>
      <c r="B6" s="273"/>
      <c r="C6" s="314"/>
      <c r="D6" s="257" t="str">
        <f>Currency&amp;A6&amp;B6&amp;C6&amp;"F"&amp;QuoteSuffix</f>
        <v>EURF_Quote</v>
      </c>
      <c r="E6" s="258" t="e">
        <f>_xll.qlCalendarAdvance(Calendar,SettlementDate,A6&amp;"M","mf")</f>
        <v>#NUM!</v>
      </c>
      <c r="F6" s="258" t="e">
        <f>_xll.qlInterestRateIndexMaturity($E$9,E6)</f>
        <v>#NUM!</v>
      </c>
      <c r="G6" s="257" t="e">
        <f>_xll.qlMakeDatedOIS(,E6,F6,OvernightIndex,0,,,,EvaluationDate)</f>
        <v>#NUM!</v>
      </c>
      <c r="H6" s="258" t="e">
        <f>_xll.qlInstrumentSetPricingEngine(G6,OisEngine)</f>
        <v>#VALUE!</v>
      </c>
      <c r="I6" s="259" t="e">
        <f>_xll.qlQuoteValue($D6,AllTriggers)</f>
        <v>#NUM!</v>
      </c>
      <c r="J6" s="260" t="e">
        <f>_xll.qlOvernightIndexedSwapFairRate(G6,_xll.ohTrigger(H6,InterestRatesTrigger))</f>
        <v>#VALUE!</v>
      </c>
      <c r="K6" s="283" t="e">
        <f>I6*_xll.qlDayCounterYearFraction(DayCounter1M,E6,F6,,,Trigger)</f>
        <v>#NUM!</v>
      </c>
      <c r="L6" s="283" t="e">
        <f>J6*_xll.qlDayCounterYearFraction(DayCounterOIS,E6,F6,,,Trigger)</f>
        <v>#VALUE!</v>
      </c>
      <c r="M6" s="294" t="e">
        <f>K6-L6</f>
        <v>#NUM!</v>
      </c>
      <c r="N6" s="294" t="e">
        <f>M6</f>
        <v>#NUM!</v>
      </c>
      <c r="P6" s="294" t="b">
        <v>1</v>
      </c>
      <c r="W6" s="280"/>
      <c r="X6" s="319"/>
      <c r="Y6" s="281"/>
      <c r="AF6" s="290">
        <f>_xll.qlCalendarAdvance(Calendar,AF5,"1d","mf",,Trigger)</f>
        <v>41948</v>
      </c>
      <c r="AG6" s="301">
        <f>_xll.qlDayCounterYearFraction(DayCounterON,SettlementDate,AF6,,,Trigger)</f>
        <v>1.3698630136986301E-2</v>
      </c>
      <c r="AH6" s="291">
        <f t="shared" si="0"/>
        <v>3.7281964345528941E-3</v>
      </c>
      <c r="AI6" s="291">
        <f t="shared" si="1"/>
        <v>3.455133296637269E-3</v>
      </c>
      <c r="AJ6" s="261" t="e">
        <f t="shared" si="2"/>
        <v>#NUM!</v>
      </c>
    </row>
    <row r="7" spans="1:36" ht="12" thickBot="1" x14ac:dyDescent="0.25">
      <c r="A7" s="273"/>
      <c r="B7" s="273"/>
      <c r="C7" s="314"/>
      <c r="D7" s="262" t="str">
        <f>Currency&amp;A7&amp;B7&amp;C7&amp;"F"&amp;QuoteSuffix</f>
        <v>EURF_Quote</v>
      </c>
      <c r="E7" s="263" t="e">
        <f>_xll.qlCalendarAdvance(Calendar,SettlementDate,A7&amp;"M","mf")</f>
        <v>#NUM!</v>
      </c>
      <c r="F7" s="263" t="e">
        <f>_xll.qlInterestRateIndexMaturity($E$9,E7)</f>
        <v>#NUM!</v>
      </c>
      <c r="G7" s="262" t="e">
        <f>_xll.qlMakeDatedOIS(,E7,F7,OvernightIndex,0,,,,EvaluationDate)</f>
        <v>#NUM!</v>
      </c>
      <c r="H7" s="263" t="e">
        <f>_xll.qlInstrumentSetPricingEngine(G7,OisEngine)</f>
        <v>#VALUE!</v>
      </c>
      <c r="I7" s="264" t="e">
        <f>_xll.qlQuoteValue($D7,AllTriggers)</f>
        <v>#NUM!</v>
      </c>
      <c r="J7" s="265" t="e">
        <f>_xll.qlOvernightIndexedSwapFairRate(G7,_xll.ohTrigger(H7,InterestRatesTrigger))</f>
        <v>#VALUE!</v>
      </c>
      <c r="K7" s="284" t="e">
        <f>I7*_xll.qlDayCounterYearFraction(DayCounter1M,E7,F7,,,Trigger)</f>
        <v>#NUM!</v>
      </c>
      <c r="L7" s="284" t="e">
        <f>J7*_xll.qlDayCounterYearFraction(DayCounterOIS,E7,F7,,,Trigger)</f>
        <v>#VALUE!</v>
      </c>
      <c r="M7" s="295" t="e">
        <f>K7-L7</f>
        <v>#NUM!</v>
      </c>
      <c r="N7" s="295" t="e">
        <f>M7</f>
        <v>#NUM!</v>
      </c>
      <c r="P7" s="295" t="b">
        <f>IF(E14="FRA",TRUE,FALSE)</f>
        <v>0</v>
      </c>
      <c r="W7" s="280"/>
      <c r="X7" s="319"/>
      <c r="Y7" s="281"/>
      <c r="AF7" s="290">
        <f>_xll.qlCalendarAdvance(Calendar,AF6,"1d","mf",,Trigger)</f>
        <v>41949</v>
      </c>
      <c r="AG7" s="301">
        <f>_xll.qlDayCounterYearFraction(DayCounterON,SettlementDate,AF7,,,Trigger)</f>
        <v>1.643835616438356E-2</v>
      </c>
      <c r="AH7" s="291">
        <f t="shared" si="0"/>
        <v>3.7281964345528941E-3</v>
      </c>
      <c r="AI7" s="291">
        <f t="shared" si="1"/>
        <v>3.4566760262300126E-3</v>
      </c>
      <c r="AJ7" s="261" t="e">
        <f t="shared" si="2"/>
        <v>#NUM!</v>
      </c>
    </row>
    <row r="8" spans="1:36" ht="18.75" customHeight="1" thickBot="1" x14ac:dyDescent="0.25">
      <c r="W8" s="320" t="s">
        <v>132</v>
      </c>
      <c r="X8" s="319"/>
      <c r="Y8" s="281"/>
      <c r="AF8" s="290">
        <f>_xll.qlCalendarAdvance(Calendar,AF7,"1d","mf",,Trigger)</f>
        <v>41950</v>
      </c>
      <c r="AG8" s="301">
        <f>_xll.qlDayCounterYearFraction(DayCounterON,SettlementDate,AF8,,,Trigger)</f>
        <v>1.9178082191780823E-2</v>
      </c>
      <c r="AH8" s="291">
        <f t="shared" si="0"/>
        <v>3.7281964345528941E-3</v>
      </c>
      <c r="AI8" s="291">
        <f t="shared" si="1"/>
        <v>3.4582187558227563E-3</v>
      </c>
      <c r="AJ8" s="261" t="e">
        <f t="shared" si="2"/>
        <v>#NUM!</v>
      </c>
    </row>
    <row r="9" spans="1:36" x14ac:dyDescent="0.2">
      <c r="D9" s="267" t="s">
        <v>155</v>
      </c>
      <c r="E9" s="312" t="s">
        <v>202</v>
      </c>
      <c r="J9" s="267"/>
      <c r="K9" s="268"/>
      <c r="L9" s="268" t="s">
        <v>133</v>
      </c>
      <c r="M9" s="282" t="s">
        <v>134</v>
      </c>
      <c r="N9" s="269" t="s">
        <v>135</v>
      </c>
      <c r="P9" s="269" t="s">
        <v>160</v>
      </c>
      <c r="R9" s="440" t="s">
        <v>125</v>
      </c>
      <c r="S9" s="321"/>
      <c r="T9" s="274">
        <f t="array" ref="T9:T10">_xll.ohFilter(M10:M14,P10:P14)</f>
        <v>0.49726402702195532</v>
      </c>
      <c r="U9" s="276">
        <f t="array" ref="U9:U10">_xll.ohFilter(L10:L14,P10:P14)</f>
        <v>0.99726027397260275</v>
      </c>
      <c r="V9" s="442" t="s">
        <v>42</v>
      </c>
      <c r="W9" s="278">
        <f t="array" ref="W9:W10">MMULT(AA9:AB10,Y9:Y10)</f>
        <v>5.630963013514281E-4</v>
      </c>
      <c r="X9" s="442" t="s">
        <v>43</v>
      </c>
      <c r="Y9" s="259">
        <f t="array" ref="Y9:Y10">_xll.ohFilter(N3:N7,P3:P7)</f>
        <v>3.7179821977458998E-3</v>
      </c>
      <c r="AA9" s="274">
        <f t="array" ref="AA9:AB10">MINVERSE(T9:U10)</f>
        <v>-1.0013755054794726</v>
      </c>
      <c r="AB9" s="276">
        <v>0.99318987464449038</v>
      </c>
      <c r="AF9" s="290">
        <f>_xll.qlCalendarAdvance(Calendar,AF8,"1d","mf",,Trigger)</f>
        <v>41953</v>
      </c>
      <c r="AG9" s="301">
        <f>_xll.qlDayCounterYearFraction(DayCounterON,SettlementDate,AF9,,,Trigger)</f>
        <v>2.7397260273972601E-2</v>
      </c>
      <c r="AH9" s="291">
        <f t="shared" si="0"/>
        <v>3.7281964345528941E-3</v>
      </c>
      <c r="AI9" s="291">
        <f t="shared" si="1"/>
        <v>3.4628469446009872E-3</v>
      </c>
      <c r="AJ9" s="261" t="e">
        <f t="shared" si="2"/>
        <v>#NUM!</v>
      </c>
    </row>
    <row r="10" spans="1:36" ht="11.25" customHeight="1" x14ac:dyDescent="0.2">
      <c r="D10" s="285" t="s">
        <v>175</v>
      </c>
      <c r="E10" s="313" t="s">
        <v>17</v>
      </c>
      <c r="J10" s="322">
        <f>_xll.qlDayCounterYearFraction(DayCounterON,SettlementDate,E3,,,Trigger)</f>
        <v>0</v>
      </c>
      <c r="K10" s="323">
        <f>_xll.qlDayCounterYearFraction(DayCounterON,SettlementDate,F3,,,Trigger)</f>
        <v>0.99726027397260275</v>
      </c>
      <c r="L10" s="323">
        <f>K10-J10</f>
        <v>0.99726027397260275</v>
      </c>
      <c r="M10" s="323">
        <f>(K10^2-J10^2)/2</f>
        <v>0.49726402702195532</v>
      </c>
      <c r="N10" s="324">
        <f>(K10^3-J10^3)/3</f>
        <v>0.33060110654975661</v>
      </c>
      <c r="P10" s="324" t="b">
        <f>P3</f>
        <v>1</v>
      </c>
      <c r="R10" s="440"/>
      <c r="S10" s="321"/>
      <c r="T10" s="274">
        <v>1.5082191780821921</v>
      </c>
      <c r="U10" s="276">
        <v>1.0054794520547947</v>
      </c>
      <c r="V10" s="442"/>
      <c r="W10" s="278">
        <v>3.4474196486735508E-3</v>
      </c>
      <c r="X10" s="442"/>
      <c r="Y10" s="259">
        <v>4.3155822601565891E-3</v>
      </c>
      <c r="AA10" s="274">
        <v>1.5020632582192088</v>
      </c>
      <c r="AB10" s="276">
        <v>-0.49523440324738971</v>
      </c>
      <c r="AF10" s="290">
        <f>_xll.qlCalendarAdvance(Calendar,AF9,"1d","mf",,Trigger)</f>
        <v>41954</v>
      </c>
      <c r="AG10" s="301">
        <f>_xll.qlDayCounterYearFraction(DayCounterON,SettlementDate,AF10,,,Trigger)</f>
        <v>3.0136986301369864E-2</v>
      </c>
      <c r="AH10" s="291">
        <f t="shared" si="0"/>
        <v>3.7281964345528941E-3</v>
      </c>
      <c r="AI10" s="291">
        <f t="shared" si="1"/>
        <v>3.4643896741937308E-3</v>
      </c>
      <c r="AJ10" s="261" t="e">
        <f t="shared" si="2"/>
        <v>#NUM!</v>
      </c>
    </row>
    <row r="11" spans="1:36" ht="11.25" customHeight="1" x14ac:dyDescent="0.2">
      <c r="D11" s="285" t="s">
        <v>127</v>
      </c>
      <c r="E11" s="313" t="s">
        <v>17</v>
      </c>
      <c r="J11" s="322">
        <f>_xll.qlDayCounterYearFraction(DayCounterON,SettlementDate,E4,,,Trigger)</f>
        <v>0</v>
      </c>
      <c r="K11" s="323">
        <f>_xll.qlDayCounterYearFraction(DayCounterON,SettlementDate,F4,,,Trigger)</f>
        <v>0.99726027397260275</v>
      </c>
      <c r="L11" s="323">
        <f>K11-J11</f>
        <v>0.99726027397260275</v>
      </c>
      <c r="M11" s="323">
        <f>(K11^2-J11^2)/2</f>
        <v>0.49726402702195532</v>
      </c>
      <c r="N11" s="324">
        <f>(K11^3-J11^3)/3</f>
        <v>0.33060110654975661</v>
      </c>
      <c r="P11" s="324" t="b">
        <f>P4</f>
        <v>0</v>
      </c>
      <c r="W11" s="280"/>
      <c r="X11" s="319"/>
      <c r="Y11" s="281"/>
      <c r="AF11" s="290">
        <f>_xll.qlCalendarAdvance(Calendar,AF10,"1d","mf",,Trigger)</f>
        <v>41955</v>
      </c>
      <c r="AG11" s="301">
        <f>_xll.qlDayCounterYearFraction(DayCounterON,SettlementDate,AF11,,,Trigger)</f>
        <v>3.287671232876712E-2</v>
      </c>
      <c r="AH11" s="291">
        <f t="shared" si="0"/>
        <v>3.7281964345528941E-3</v>
      </c>
      <c r="AI11" s="291">
        <f t="shared" si="1"/>
        <v>3.4659324037864744E-3</v>
      </c>
      <c r="AJ11" s="261" t="e">
        <f t="shared" si="2"/>
        <v>#NUM!</v>
      </c>
    </row>
    <row r="12" spans="1:36" ht="11.25" customHeight="1" thickBot="1" x14ac:dyDescent="0.25">
      <c r="D12" s="285" t="s">
        <v>128</v>
      </c>
      <c r="E12" s="313" t="s">
        <v>129</v>
      </c>
      <c r="J12" s="322">
        <f>_xll.qlDayCounterYearFraction(DayCounterON,SettlementDate,E5,,,Trigger)</f>
        <v>0.99726027397260275</v>
      </c>
      <c r="K12" s="323">
        <f>_xll.qlDayCounterYearFraction(DayCounterON,SettlementDate,F5,,,Trigger)</f>
        <v>2.0027397260273974</v>
      </c>
      <c r="L12" s="323">
        <f>K12-J12</f>
        <v>1.0054794520547947</v>
      </c>
      <c r="M12" s="323">
        <f>(K12^2-J12^2)/2</f>
        <v>1.5082191780821921</v>
      </c>
      <c r="N12" s="324">
        <f>(K12^3-J12^3)/3</f>
        <v>2.3470394832787949</v>
      </c>
      <c r="P12" s="324" t="b">
        <f>P5</f>
        <v>1</v>
      </c>
      <c r="W12" s="318" t="s">
        <v>40</v>
      </c>
      <c r="X12" s="319"/>
      <c r="Y12" s="281"/>
      <c r="AF12" s="290">
        <f>_xll.qlCalendarAdvance(Calendar,AF11,"1d","mf",,Trigger)</f>
        <v>41956</v>
      </c>
      <c r="AG12" s="301">
        <f>_xll.qlDayCounterYearFraction(DayCounterON,SettlementDate,AF12,,,Trigger)</f>
        <v>3.5616438356164383E-2</v>
      </c>
      <c r="AH12" s="291">
        <f t="shared" si="0"/>
        <v>3.7281964345528941E-3</v>
      </c>
      <c r="AI12" s="291">
        <f t="shared" si="1"/>
        <v>3.4674751333792181E-3</v>
      </c>
      <c r="AJ12" s="261" t="e">
        <f t="shared" si="2"/>
        <v>#NUM!</v>
      </c>
    </row>
    <row r="13" spans="1:36" ht="11.25" customHeight="1" thickBot="1" x14ac:dyDescent="0.25">
      <c r="D13" s="285" t="s">
        <v>162</v>
      </c>
      <c r="E13" s="313" t="s">
        <v>161</v>
      </c>
      <c r="G13" s="332" t="s">
        <v>159</v>
      </c>
      <c r="H13" s="317" t="e">
        <f>_xll.qlInterpolation(,E13,E5:E7,M5:M7)</f>
        <v>#NUM!</v>
      </c>
      <c r="J13" s="322" t="e">
        <f>_xll.qlDayCounterYearFraction(DayCounterON,SettlementDate,E6,,,Trigger)</f>
        <v>#NUM!</v>
      </c>
      <c r="K13" s="323" t="e">
        <f>_xll.qlDayCounterYearFraction(DayCounterON,SettlementDate,F6,,,Trigger)</f>
        <v>#NUM!</v>
      </c>
      <c r="L13" s="323" t="e">
        <f>K13-J13</f>
        <v>#NUM!</v>
      </c>
      <c r="M13" s="323" t="e">
        <f>(K13^2-J13^2)/2</f>
        <v>#NUM!</v>
      </c>
      <c r="N13" s="324" t="e">
        <f>(K13^3-J13^3)/3</f>
        <v>#NUM!</v>
      </c>
      <c r="P13" s="324" t="b">
        <f>P6</f>
        <v>1</v>
      </c>
      <c r="R13" s="418" t="s">
        <v>126</v>
      </c>
      <c r="U13" s="277">
        <f t="array" ref="U13">_xll.ohFilter(L10:L14,P10:P14)</f>
        <v>0.99726027397260275</v>
      </c>
      <c r="V13" s="418" t="s">
        <v>42</v>
      </c>
      <c r="W13" s="278">
        <f>MMULT(AA13,Y13)</f>
        <v>3.7281964345528941E-3</v>
      </c>
      <c r="X13" s="418" t="s">
        <v>43</v>
      </c>
      <c r="Y13" s="259">
        <f>_xll.ohFilter(N3:N7,P3:P7)</f>
        <v>3.7179821977458998E-3</v>
      </c>
      <c r="AA13" s="277">
        <f>MINVERSE(U13)</f>
        <v>1.0027472527472527</v>
      </c>
      <c r="AF13" s="290">
        <f>_xll.qlCalendarAdvance(Calendar,AF12,"1d","mf",,Trigger)</f>
        <v>41957</v>
      </c>
      <c r="AG13" s="301">
        <f>_xll.qlDayCounterYearFraction(DayCounterON,SettlementDate,AF13,,,Trigger)</f>
        <v>3.8356164383561646E-2</v>
      </c>
      <c r="AH13" s="291">
        <f t="shared" si="0"/>
        <v>3.7281964345528941E-3</v>
      </c>
      <c r="AI13" s="291">
        <f t="shared" si="1"/>
        <v>3.4690178629719617E-3</v>
      </c>
      <c r="AJ13" s="261" t="e">
        <f t="shared" si="2"/>
        <v>#NUM!</v>
      </c>
    </row>
    <row r="14" spans="1:36" ht="11.25" customHeight="1" thickBot="1" x14ac:dyDescent="0.25">
      <c r="D14" s="286" t="s">
        <v>166</v>
      </c>
      <c r="E14" s="334" t="s">
        <v>201</v>
      </c>
      <c r="J14" s="325" t="e">
        <f>_xll.qlDayCounterYearFraction(DayCounterON,SettlementDate,E7,,,Trigger)</f>
        <v>#NUM!</v>
      </c>
      <c r="K14" s="326" t="e">
        <f>_xll.qlDayCounterYearFraction(DayCounterON,SettlementDate,F7,,,Trigger)</f>
        <v>#NUM!</v>
      </c>
      <c r="L14" s="326" t="e">
        <f>K14-J14</f>
        <v>#NUM!</v>
      </c>
      <c r="M14" s="326" t="e">
        <f>(K14^2-J14^2)/2</f>
        <v>#NUM!</v>
      </c>
      <c r="N14" s="327" t="e">
        <f>(K14^3-J14^3)/3</f>
        <v>#NUM!</v>
      </c>
      <c r="P14" s="327" t="b">
        <f>P7</f>
        <v>0</v>
      </c>
      <c r="AF14" s="290">
        <f>_xll.qlCalendarAdvance(Calendar,AF13,"1d","mf",,Trigger)</f>
        <v>41960</v>
      </c>
      <c r="AG14" s="301">
        <f>_xll.qlDayCounterYearFraction(DayCounterON,SettlementDate,AF14,,,Trigger)</f>
        <v>4.6575342465753428E-2</v>
      </c>
      <c r="AH14" s="291">
        <f t="shared" si="0"/>
        <v>3.7281964345528941E-3</v>
      </c>
      <c r="AI14" s="291">
        <f t="shared" si="1"/>
        <v>3.4736460517501926E-3</v>
      </c>
      <c r="AJ14" s="261" t="e">
        <f t="shared" si="2"/>
        <v>#NUM!</v>
      </c>
    </row>
    <row r="15" spans="1:36" ht="11.25" customHeight="1" thickBot="1" x14ac:dyDescent="0.25">
      <c r="P15" s="272"/>
      <c r="AF15" s="290">
        <f>_xll.qlCalendarAdvance(Calendar,AF14,"1d","mf",,Trigger)</f>
        <v>41961</v>
      </c>
      <c r="AG15" s="301">
        <f>_xll.qlDayCounterYearFraction(DayCounterON,SettlementDate,AF15,,,Trigger)</f>
        <v>4.9315068493150684E-2</v>
      </c>
      <c r="AH15" s="291">
        <f t="shared" si="0"/>
        <v>3.7281964345528941E-3</v>
      </c>
      <c r="AI15" s="291">
        <f t="shared" si="1"/>
        <v>3.4751887813429362E-3</v>
      </c>
      <c r="AJ15" s="261" t="e">
        <f t="shared" si="2"/>
        <v>#NUM!</v>
      </c>
    </row>
    <row r="16" spans="1:36" ht="11.25" customHeight="1" thickBot="1" x14ac:dyDescent="0.25">
      <c r="M16" s="328" t="s">
        <v>176</v>
      </c>
      <c r="N16" s="329"/>
      <c r="O16" s="330"/>
      <c r="P16" s="272"/>
      <c r="AF16" s="290">
        <f>_xll.qlCalendarAdvance(Calendar,AF15,"1d","mf",,Trigger)</f>
        <v>41962</v>
      </c>
      <c r="AG16" s="301">
        <f>_xll.qlDayCounterYearFraction(DayCounterON,SettlementDate,AF16,,,Trigger)</f>
        <v>5.2054794520547946E-2</v>
      </c>
      <c r="AH16" s="291">
        <f t="shared" si="0"/>
        <v>3.7281964345528941E-3</v>
      </c>
      <c r="AI16" s="291">
        <f t="shared" si="1"/>
        <v>3.4767315109356799E-3</v>
      </c>
      <c r="AJ16" s="261" t="e">
        <f t="shared" si="2"/>
        <v>#NUM!</v>
      </c>
    </row>
    <row r="17" spans="4:36" ht="15.75" customHeight="1" x14ac:dyDescent="0.2">
      <c r="D17" s="267" t="s">
        <v>136</v>
      </c>
      <c r="E17" s="268" t="s">
        <v>106</v>
      </c>
      <c r="F17" s="268" t="s">
        <v>107</v>
      </c>
      <c r="G17" s="282" t="s">
        <v>163</v>
      </c>
      <c r="H17" s="282"/>
      <c r="I17" s="268" t="s">
        <v>39</v>
      </c>
      <c r="J17" s="268"/>
      <c r="K17" s="268"/>
      <c r="L17" s="268"/>
      <c r="M17" s="331" t="s">
        <v>126</v>
      </c>
      <c r="N17" s="269" t="s">
        <v>125</v>
      </c>
      <c r="O17" s="269" t="s">
        <v>203</v>
      </c>
      <c r="P17" s="272"/>
      <c r="AF17" s="290">
        <f>_xll.qlCalendarAdvance(Calendar,AF16,"1d","mf",,Trigger)</f>
        <v>41963</v>
      </c>
      <c r="AG17" s="301">
        <f>_xll.qlDayCounterYearFraction(DayCounterON,SettlementDate,AF17,,,Trigger)</f>
        <v>5.4794520547945202E-2</v>
      </c>
      <c r="AH17" s="291">
        <f t="shared" si="0"/>
        <v>3.7281964345528941E-3</v>
      </c>
      <c r="AI17" s="291">
        <f t="shared" si="1"/>
        <v>3.4782742405284235E-3</v>
      </c>
      <c r="AJ17" s="261" t="e">
        <f t="shared" si="2"/>
        <v>#NUM!</v>
      </c>
    </row>
    <row r="18" spans="4:36" ht="11.25" customHeight="1" x14ac:dyDescent="0.2">
      <c r="D18" s="306" t="s">
        <v>48</v>
      </c>
      <c r="E18" s="297">
        <f t="shared" ref="E18:E33" si="3">SettlementDate</f>
        <v>41943</v>
      </c>
      <c r="F18" s="298">
        <f>_xll.qlCalendarAdvance(Calendar,SettlementDate,D18,"Following",,Trigger)</f>
        <v>41946</v>
      </c>
      <c r="G18" s="299" t="str">
        <f>_xll.qlMakeDatedOIS(,E18,F18,OvernightIndex,0,,,,EvaluationDate)</f>
        <v>obj_0056e#0000</v>
      </c>
      <c r="H18" s="308" t="b">
        <f>_xll.qlInstrumentSetPricingEngine(G18,OisEngine)</f>
        <v>1</v>
      </c>
      <c r="I18" s="296">
        <f>_xll.qlOvernightIndexedSwapFairRate(G18,_xll.ohTrigger(InterestRatesTrigger))</f>
        <v>5.0792457034987137E-4</v>
      </c>
      <c r="J18" s="323">
        <f>_xll.qlDayCounterYearFraction(DayCounterOIS,E18,F18,,,Trigger)</f>
        <v>8.3333333333333332E-3</v>
      </c>
      <c r="K18" s="323">
        <f>_xll.qlDayCounterYearFraction(DayCounter1M,E18,F18,,,Trigger)</f>
        <v>8.3333333333333332E-3</v>
      </c>
      <c r="L18" s="323">
        <f>_xll.qlDayCounterYearFraction(DayCounterON,E18,F18,,,Trigger)</f>
        <v>8.21917808219178E-3</v>
      </c>
      <c r="M18" s="291">
        <f>($I18*$J18+$W$13*L18)/$K18</f>
        <v>4.1850498208677945E-3</v>
      </c>
      <c r="N18" s="291">
        <f>($I18*$J18+($W$10*L18+$W$9*L18^2/2))/$K18</f>
        <v>3.9104016867952405E-3</v>
      </c>
      <c r="O18" s="291" t="e">
        <f>($I18*$J18+($W$5*L18+$W$4*L18^2/2+$W$3*L18^3/3))/$K18</f>
        <v>#NUM!</v>
      </c>
      <c r="P18" s="272"/>
      <c r="AF18" s="290">
        <f>_xll.qlCalendarAdvance(Calendar,AF17,"1d","mf",,Trigger)</f>
        <v>41964</v>
      </c>
      <c r="AG18" s="301">
        <f>_xll.qlDayCounterYearFraction(DayCounterON,SettlementDate,AF18,,,Trigger)</f>
        <v>5.7534246575342465E-2</v>
      </c>
      <c r="AH18" s="291">
        <f t="shared" si="0"/>
        <v>3.7281964345528941E-3</v>
      </c>
      <c r="AI18" s="291">
        <f t="shared" si="1"/>
        <v>3.4798169701211672E-3</v>
      </c>
      <c r="AJ18" s="261" t="e">
        <f t="shared" si="2"/>
        <v>#NUM!</v>
      </c>
    </row>
    <row r="19" spans="4:36" ht="11.25" customHeight="1" x14ac:dyDescent="0.2">
      <c r="D19" s="304" t="s">
        <v>49</v>
      </c>
      <c r="E19" s="258">
        <f>SettlementDate</f>
        <v>41943</v>
      </c>
      <c r="F19" s="300">
        <f>_xll.qlCalendarAdvance(Calendar,SettlementDate,D19,"Following",,Trigger)</f>
        <v>41950</v>
      </c>
      <c r="G19" s="301" t="str">
        <f>_xll.qlMakeDatedOIS(,E19,F19,OvernightIndex,0,,,,EvaluationDate)</f>
        <v>obj_00569#0000</v>
      </c>
      <c r="H19" s="309" t="b">
        <f>_xll.qlInstrumentSetPricingEngine(G19,OisEngine)</f>
        <v>1</v>
      </c>
      <c r="I19" s="260">
        <f>_xll.qlOvernightIndexedSwapFairRate(G19,_xll.ohTrigger(InterestRatesTrigger))</f>
        <v>3.9999999543484572E-4</v>
      </c>
      <c r="J19" s="323">
        <f>_xll.qlDayCounterYearFraction(DayCounterOIS,E19,F19,,,Trigger)</f>
        <v>1.9444444444444445E-2</v>
      </c>
      <c r="K19" s="323">
        <f>_xll.qlDayCounterYearFraction(DayCounter1M,E19,F19,,,Trigger)</f>
        <v>1.9444444444444445E-2</v>
      </c>
      <c r="L19" s="323">
        <f>_xll.qlDayCounterYearFraction(DayCounterON,E19,F19,,,Trigger)</f>
        <v>1.9178082191780823E-2</v>
      </c>
      <c r="M19" s="291">
        <f>($I19*$J19+$W$13*L19)/$K19</f>
        <v>4.0771252459527695E-3</v>
      </c>
      <c r="N19" s="291">
        <f t="shared" ref="N19:N22" si="4">($I19*$J19+($W$10*L19+$W$9*L19^2/2))/$K19</f>
        <v>3.8055203045015179E-3</v>
      </c>
      <c r="O19" s="291" t="e">
        <f t="shared" ref="O19:O22" si="5">($I19*$J19+($W$5*L19+$W$4*L19^2/2+$W$3*L19^3/3))/$K19</f>
        <v>#NUM!</v>
      </c>
      <c r="P19" s="272"/>
      <c r="AF19" s="290">
        <f>_xll.qlCalendarAdvance(Calendar,AF18,"1d","mf",,Trigger)</f>
        <v>41967</v>
      </c>
      <c r="AG19" s="301">
        <f>_xll.qlDayCounterYearFraction(DayCounterON,SettlementDate,AF19,,,Trigger)</f>
        <v>6.575342465753424E-2</v>
      </c>
      <c r="AH19" s="291">
        <f t="shared" si="0"/>
        <v>3.7281964345528941E-3</v>
      </c>
      <c r="AI19" s="291">
        <f t="shared" si="1"/>
        <v>3.4844451588993981E-3</v>
      </c>
      <c r="AJ19" s="261" t="e">
        <f t="shared" si="2"/>
        <v>#NUM!</v>
      </c>
    </row>
    <row r="20" spans="4:36" ht="11.25" customHeight="1" x14ac:dyDescent="0.2">
      <c r="D20" s="304" t="s">
        <v>50</v>
      </c>
      <c r="E20" s="258">
        <f t="shared" si="3"/>
        <v>41943</v>
      </c>
      <c r="F20" s="300">
        <f>_xll.qlCalendarAdvance(Calendar,SettlementDate,D20,"Following",,Trigger)</f>
        <v>41957</v>
      </c>
      <c r="G20" s="301" t="str">
        <f>_xll.qlMakeDatedOIS(,E20,F20,OvernightIndex,0,,,,EvaluationDate)</f>
        <v>obj_0057c#0000</v>
      </c>
      <c r="H20" s="309" t="b">
        <f>_xll.qlInstrumentSetPricingEngine(G20,OisEngine)</f>
        <v>1</v>
      </c>
      <c r="I20" s="260">
        <f>_xll.qlOvernightIndexedSwapFairRate(G20,_xll.ohTrigger(InterestRatesTrigger))</f>
        <v>1.7999999389863217E-4</v>
      </c>
      <c r="J20" s="323">
        <f>_xll.qlDayCounterYearFraction(DayCounterOIS,E20,F20,,,Trigger)</f>
        <v>3.888888888888889E-2</v>
      </c>
      <c r="K20" s="323">
        <f>_xll.qlDayCounterYearFraction(DayCounter1M,E20,F20,,,Trigger)</f>
        <v>3.888888888888889E-2</v>
      </c>
      <c r="L20" s="323">
        <f>_xll.qlDayCounterYearFraction(DayCounterON,E20,F20,,,Trigger)</f>
        <v>3.8356164383561646E-2</v>
      </c>
      <c r="M20" s="291">
        <f t="shared" ref="M20:M22" si="6">($I20*$J20+$W$13*L20)/$K20</f>
        <v>3.8571252444165554E-3</v>
      </c>
      <c r="N20" s="291">
        <f t="shared" si="4"/>
        <v>3.5908458900525838E-3</v>
      </c>
      <c r="O20" s="291" t="e">
        <f t="shared" si="5"/>
        <v>#NUM!</v>
      </c>
      <c r="P20" s="272"/>
      <c r="AF20" s="290">
        <f>_xll.qlCalendarAdvance(Calendar,AF19,"1d","mf",,Trigger)</f>
        <v>41968</v>
      </c>
      <c r="AG20" s="301">
        <f>_xll.qlDayCounterYearFraction(DayCounterON,SettlementDate,AF20,,,Trigger)</f>
        <v>6.8493150684931503E-2</v>
      </c>
      <c r="AH20" s="291">
        <f t="shared" si="0"/>
        <v>3.7281964345528941E-3</v>
      </c>
      <c r="AI20" s="291">
        <f t="shared" si="1"/>
        <v>3.4859878884921417E-3</v>
      </c>
      <c r="AJ20" s="261" t="e">
        <f t="shared" si="2"/>
        <v>#NUM!</v>
      </c>
    </row>
    <row r="21" spans="4:36" ht="11.25" customHeight="1" x14ac:dyDescent="0.2">
      <c r="D21" s="304" t="s">
        <v>51</v>
      </c>
      <c r="E21" s="258">
        <f t="shared" si="3"/>
        <v>41943</v>
      </c>
      <c r="F21" s="300">
        <f>_xll.qlCalendarAdvance(Calendar,SettlementDate,D21,"Following",,Trigger)</f>
        <v>41964</v>
      </c>
      <c r="G21" s="301" t="str">
        <f>_xll.qlMakeDatedOIS(,E21,F21,OvernightIndex,0,,,,EvaluationDate)</f>
        <v>obj_00580#0000</v>
      </c>
      <c r="H21" s="309" t="b">
        <f>_xll.qlInstrumentSetPricingEngine(G21,OisEngine)</f>
        <v>1</v>
      </c>
      <c r="I21" s="260">
        <f>_xll.qlOvernightIndexedSwapFairRate(G21,_xll.ohTrigger(InterestRatesTrigger))</f>
        <v>1.1999999085077208E-4</v>
      </c>
      <c r="J21" s="323">
        <f>_xll.qlDayCounterYearFraction(DayCounterOIS,E21,F21,,,Trigger)</f>
        <v>5.8333333333333334E-2</v>
      </c>
      <c r="K21" s="323">
        <f>_xll.qlDayCounterYearFraction(DayCounter1M,E21,F21,,,Trigger)</f>
        <v>5.8333333333333334E-2</v>
      </c>
      <c r="L21" s="323">
        <f>_xll.qlDayCounterYearFraction(DayCounterON,E21,F21,,,Trigger)</f>
        <v>5.7534246575342465E-2</v>
      </c>
      <c r="M21" s="291">
        <f t="shared" si="6"/>
        <v>3.7971252413686947E-3</v>
      </c>
      <c r="N21" s="291">
        <f t="shared" si="4"/>
        <v>3.5361714740920025E-3</v>
      </c>
      <c r="O21" s="291" t="e">
        <f t="shared" si="5"/>
        <v>#NUM!</v>
      </c>
      <c r="P21" s="272"/>
      <c r="AF21" s="290">
        <f>_xll.qlCalendarAdvance(Calendar,AF20,"1d","mf",,Trigger)</f>
        <v>41969</v>
      </c>
      <c r="AG21" s="301">
        <f>_xll.qlDayCounterYearFraction(DayCounterON,SettlementDate,AF21,,,Trigger)</f>
        <v>7.1232876712328766E-2</v>
      </c>
      <c r="AH21" s="291">
        <f t="shared" si="0"/>
        <v>3.7281964345528941E-3</v>
      </c>
      <c r="AI21" s="291">
        <f t="shared" si="1"/>
        <v>3.4875306180848853E-3</v>
      </c>
      <c r="AJ21" s="261" t="e">
        <f t="shared" si="2"/>
        <v>#NUM!</v>
      </c>
    </row>
    <row r="22" spans="4:36" ht="11.25" customHeight="1" x14ac:dyDescent="0.2">
      <c r="D22" s="304" t="s">
        <v>45</v>
      </c>
      <c r="E22" s="258">
        <f t="shared" si="3"/>
        <v>41943</v>
      </c>
      <c r="F22" s="300">
        <f>_xll.qlCalendarAdvance(Calendar,SettlementDate,D22,"mf",TRUE,Trigger)</f>
        <v>41971</v>
      </c>
      <c r="G22" s="301" t="str">
        <f>_xll.qlMakeDatedOIS(,E22,F22,OvernightIndex,0,,,,EvaluationDate)</f>
        <v>obj_00577#0000</v>
      </c>
      <c r="H22" s="301" t="b">
        <f>_xll.qlInstrumentSetPricingEngine(G22,OisEngine)</f>
        <v>1</v>
      </c>
      <c r="I22" s="260">
        <f>_xll.qlOvernightIndexedSwapFairRate(G22,_xll.ohTrigger(InterestRatesTrigger))</f>
        <v>8.9999987802347192E-5</v>
      </c>
      <c r="J22" s="323">
        <f>_xll.qlDayCounterYearFraction(DayCounterOIS,E22,F22,,,Trigger)</f>
        <v>7.7777777777777779E-2</v>
      </c>
      <c r="K22" s="323">
        <f>_xll.qlDayCounterYearFraction(DayCounter1M,E22,F22,,,Trigger)</f>
        <v>7.7777777777777779E-2</v>
      </c>
      <c r="L22" s="323">
        <f>_xll.qlDayCounterYearFraction(DayCounterON,E22,F22,,,Trigger)</f>
        <v>7.6712328767123292E-2</v>
      </c>
      <c r="M22" s="291">
        <f t="shared" si="6"/>
        <v>3.7671252383202707E-3</v>
      </c>
      <c r="N22" s="291">
        <f t="shared" si="4"/>
        <v>3.5114970581308575E-3</v>
      </c>
      <c r="O22" s="261" t="e">
        <f t="shared" si="5"/>
        <v>#NUM!</v>
      </c>
      <c r="P22" s="272"/>
      <c r="AF22" s="290">
        <f>_xll.qlCalendarAdvance(Calendar,AF21,"1d","mf",,Trigger)</f>
        <v>41970</v>
      </c>
      <c r="AG22" s="301">
        <f>_xll.qlDayCounterYearFraction(DayCounterON,SettlementDate,AF22,,,Trigger)</f>
        <v>7.3972602739726029E-2</v>
      </c>
      <c r="AH22" s="291">
        <f t="shared" si="0"/>
        <v>3.7281964345528941E-3</v>
      </c>
      <c r="AI22" s="291">
        <f t="shared" si="1"/>
        <v>3.489073347677629E-3</v>
      </c>
      <c r="AJ22" s="261" t="e">
        <f t="shared" si="2"/>
        <v>#NUM!</v>
      </c>
    </row>
    <row r="23" spans="4:36" ht="11.25" customHeight="1" x14ac:dyDescent="0.2">
      <c r="D23" s="304" t="s">
        <v>52</v>
      </c>
      <c r="E23" s="258">
        <f t="shared" si="3"/>
        <v>41943</v>
      </c>
      <c r="F23" s="300">
        <f>_xll.qlCalendarAdvance(Calendar,SettlementDate,D23,"mf",TRUE,Trigger)</f>
        <v>42004</v>
      </c>
      <c r="G23" s="301" t="str">
        <f>_xll.qlMakeDatedOIS(,E23,F23,OvernightIndex,0,,,,EvaluationDate)</f>
        <v>obj_00586#0000</v>
      </c>
      <c r="H23" s="301" t="b">
        <f>_xll.qlInstrumentSetPricingEngine(G23,OisEngine)</f>
        <v>1</v>
      </c>
      <c r="I23" s="260">
        <f>_xll.qlOvernightIndexedSwapFairRate(G23,_xll.ohTrigger(InterestRatesTrigger))</f>
        <v>4.9999999999999955E-5</v>
      </c>
      <c r="J23" s="323">
        <f>_xll.qlDayCounterYearFraction(DayCounterOIS,E23,F23,,,Trigger)</f>
        <v>0.16944444444444445</v>
      </c>
      <c r="K23" s="323">
        <f>_xll.qlDayCounterYearFraction(DayCounter1M,E23,F23,,,Trigger)</f>
        <v>0.16944444444444445</v>
      </c>
      <c r="L23" s="323">
        <f>_xll.qlDayCounterYearFraction(DayCounterON,E23,F23,,,Trigger)</f>
        <v>0.16712328767123288</v>
      </c>
      <c r="M23" s="291">
        <f t="shared" ref="M23:M33" si="7">($I23*$J23+$W$13*L23)/$K23</f>
        <v>3.7271252505179228E-3</v>
      </c>
      <c r="N23" s="291">
        <f t="shared" ref="N23:N33" si="8">($I23*$J23+($W$10*L23+$W$9*L23^2/2))/$K23</f>
        <v>3.4966034094542561E-3</v>
      </c>
      <c r="O23" s="261" t="e">
        <f t="shared" ref="O23:O33" si="9">($I23*$J23+($W$5*L23+$W$4*L23^2/2+$W$3*L23^3/3))/$K23</f>
        <v>#NUM!</v>
      </c>
      <c r="P23" s="272"/>
      <c r="AF23" s="290">
        <f>_xll.qlCalendarAdvance(Calendar,AF22,"1d","mf",,Trigger)</f>
        <v>41971</v>
      </c>
      <c r="AG23" s="301">
        <f>_xll.qlDayCounterYearFraction(DayCounterON,SettlementDate,AF23,,,Trigger)</f>
        <v>7.6712328767123292E-2</v>
      </c>
      <c r="AH23" s="291">
        <f t="shared" si="0"/>
        <v>3.7281964345528941E-3</v>
      </c>
      <c r="AI23" s="291">
        <f t="shared" si="1"/>
        <v>3.4906160772703726E-3</v>
      </c>
      <c r="AJ23" s="261" t="e">
        <f t="shared" si="2"/>
        <v>#NUM!</v>
      </c>
    </row>
    <row r="24" spans="4:36" ht="11.25" customHeight="1" x14ac:dyDescent="0.2">
      <c r="D24" s="304" t="s">
        <v>46</v>
      </c>
      <c r="E24" s="258">
        <f t="shared" si="3"/>
        <v>41943</v>
      </c>
      <c r="F24" s="300">
        <f>_xll.qlCalendarAdvance(Calendar,SettlementDate,D24,"mf",TRUE,Trigger)</f>
        <v>42034</v>
      </c>
      <c r="G24" s="301" t="str">
        <f>_xll.qlMakeDatedOIS(,E24,F24,OvernightIndex,0,,,,EvaluationDate)</f>
        <v>obj_0057d#0000</v>
      </c>
      <c r="H24" s="301" t="b">
        <f>_xll.qlInstrumentSetPricingEngine(G24,OisEngine)</f>
        <v>1</v>
      </c>
      <c r="I24" s="260">
        <f>_xll.qlOvernightIndexedSwapFairRate(G24,_xll.ohTrigger(InterestRatesTrigger))</f>
        <v>-1.7921313597080646E-5</v>
      </c>
      <c r="J24" s="323">
        <f>_xll.qlDayCounterYearFraction(DayCounterOIS,E24,F24,,,Trigger)</f>
        <v>0.25277777777777777</v>
      </c>
      <c r="K24" s="323">
        <f>_xll.qlDayCounterYearFraction(DayCounter1M,E24,F24,,,Trigger)</f>
        <v>0.25277777777777777</v>
      </c>
      <c r="L24" s="323">
        <f>_xll.qlDayCounterYearFraction(DayCounterON,E24,F24,,,Trigger)</f>
        <v>0.24931506849315069</v>
      </c>
      <c r="M24" s="291">
        <f t="shared" si="7"/>
        <v>3.6592039369208423E-3</v>
      </c>
      <c r="N24" s="291">
        <f t="shared" si="8"/>
        <v>3.451506040516944E-3</v>
      </c>
      <c r="O24" s="261" t="e">
        <f t="shared" si="9"/>
        <v>#NUM!</v>
      </c>
      <c r="P24" s="272"/>
      <c r="AF24" s="290">
        <f>_xll.qlCalendarAdvance(Calendar,AF23,"1d","mf",,Trigger)</f>
        <v>41974</v>
      </c>
      <c r="AG24" s="301">
        <f>_xll.qlDayCounterYearFraction(DayCounterON,SettlementDate,AF24,,,Trigger)</f>
        <v>8.4931506849315067E-2</v>
      </c>
      <c r="AH24" s="291">
        <f t="shared" si="0"/>
        <v>3.7281964345528941E-3</v>
      </c>
      <c r="AI24" s="291">
        <f t="shared" si="1"/>
        <v>3.4952442660486035E-3</v>
      </c>
      <c r="AJ24" s="261" t="e">
        <f t="shared" si="2"/>
        <v>#NUM!</v>
      </c>
    </row>
    <row r="25" spans="4:36" x14ac:dyDescent="0.2">
      <c r="D25" s="304" t="s">
        <v>53</v>
      </c>
      <c r="E25" s="258">
        <f t="shared" si="3"/>
        <v>41943</v>
      </c>
      <c r="F25" s="300">
        <f>_xll.qlCalendarAdvance(Calendar,SettlementDate,D25,"mf",TRUE,Trigger)</f>
        <v>42062</v>
      </c>
      <c r="G25" s="301" t="str">
        <f>_xll.qlMakeDatedOIS(,E25,F25,OvernightIndex,0,,,,EvaluationDate)</f>
        <v>obj_00568#0000</v>
      </c>
      <c r="H25" s="301" t="b">
        <f>_xll.qlInstrumentSetPricingEngine(G25,OisEngine)</f>
        <v>1</v>
      </c>
      <c r="I25" s="260">
        <f>_xll.qlOvernightIndexedSwapFairRate(G25,_xll.ohTrigger(InterestRatesTrigger))</f>
        <v>-2.0000000000332543E-5</v>
      </c>
      <c r="J25" s="323">
        <f>_xll.qlDayCounterYearFraction(DayCounterOIS,E25,F25,,,Trigger)</f>
        <v>0.33055555555555555</v>
      </c>
      <c r="K25" s="323">
        <f>_xll.qlDayCounterYearFraction(DayCounter1M,E25,F25,,,Trigger)</f>
        <v>0.33055555555555555</v>
      </c>
      <c r="L25" s="323">
        <f>_xll.qlDayCounterYearFraction(DayCounterON,E25,F25,,,Trigger)</f>
        <v>0.32602739726027397</v>
      </c>
      <c r="M25" s="291">
        <f t="shared" si="7"/>
        <v>3.6571252505175904E-3</v>
      </c>
      <c r="N25" s="291">
        <f t="shared" si="8"/>
        <v>3.4707297024628094E-3</v>
      </c>
      <c r="O25" s="261" t="e">
        <f t="shared" si="9"/>
        <v>#NUM!</v>
      </c>
      <c r="P25" s="272"/>
      <c r="AF25" s="290">
        <f>_xll.qlCalendarAdvance(Calendar,AF24,"1d","mf",,Trigger)</f>
        <v>41975</v>
      </c>
      <c r="AG25" s="301">
        <f>_xll.qlDayCounterYearFraction(DayCounterON,SettlementDate,AF25,,,Trigger)</f>
        <v>8.7671232876712329E-2</v>
      </c>
      <c r="AH25" s="291">
        <f t="shared" si="0"/>
        <v>3.7281964345528941E-3</v>
      </c>
      <c r="AI25" s="291">
        <f t="shared" ref="AI25:AI88" si="10">$W$10+$W$9*AG25</f>
        <v>3.4967869956413471E-3</v>
      </c>
      <c r="AJ25" s="261" t="e">
        <f t="shared" ref="AJ25:AJ88" si="11">($W$5+$W$4*AG25+$W$3*AG25^2)</f>
        <v>#NUM!</v>
      </c>
    </row>
    <row r="26" spans="4:36" x14ac:dyDescent="0.2">
      <c r="D26" s="304" t="s">
        <v>54</v>
      </c>
      <c r="E26" s="258">
        <f t="shared" si="3"/>
        <v>41943</v>
      </c>
      <c r="F26" s="300">
        <f>_xll.qlCalendarAdvance(Calendar,SettlementDate,D26,"mf",TRUE,Trigger)</f>
        <v>42094</v>
      </c>
      <c r="G26" s="301" t="str">
        <f>_xll.qlMakeDatedOIS(,E26,F26,OvernightIndex,0,,,,EvaluationDate)</f>
        <v>obj_0057b#0000</v>
      </c>
      <c r="H26" s="301" t="b">
        <f>_xll.qlInstrumentSetPricingEngine(G26,OisEngine)</f>
        <v>1</v>
      </c>
      <c r="I26" s="260">
        <f>_xll.qlOvernightIndexedSwapFairRate(G26,_xll.ohTrigger(InterestRatesTrigger))</f>
        <v>-1.9999999999707521E-5</v>
      </c>
      <c r="J26" s="323">
        <f>_xll.qlDayCounterYearFraction(DayCounterOIS,E26,F26,,,Trigger)</f>
        <v>0.41944444444444445</v>
      </c>
      <c r="K26" s="323">
        <f>_xll.qlDayCounterYearFraction(DayCounter1M,E26,F26,,,Trigger)</f>
        <v>0.41944444444444445</v>
      </c>
      <c r="L26" s="323">
        <f>_xll.qlDayCounterYearFraction(DayCounterON,E26,F26,,,Trigger)</f>
        <v>0.41369863013698632</v>
      </c>
      <c r="M26" s="291">
        <f t="shared" si="7"/>
        <v>3.6571252505182158E-3</v>
      </c>
      <c r="N26" s="291">
        <f t="shared" si="8"/>
        <v>3.4950752434338554E-3</v>
      </c>
      <c r="O26" s="261" t="e">
        <f t="shared" si="9"/>
        <v>#NUM!</v>
      </c>
      <c r="P26" s="272"/>
      <c r="AF26" s="290">
        <f>_xll.qlCalendarAdvance(Calendar,AF25,"1d","mf",,Trigger)</f>
        <v>41976</v>
      </c>
      <c r="AG26" s="301">
        <f>_xll.qlDayCounterYearFraction(DayCounterON,SettlementDate,AF26,,,Trigger)</f>
        <v>9.0410958904109592E-2</v>
      </c>
      <c r="AH26" s="291">
        <f t="shared" si="0"/>
        <v>3.7281964345528941E-3</v>
      </c>
      <c r="AI26" s="291">
        <f t="shared" si="10"/>
        <v>3.4983297252340908E-3</v>
      </c>
      <c r="AJ26" s="261" t="e">
        <f t="shared" si="11"/>
        <v>#NUM!</v>
      </c>
    </row>
    <row r="27" spans="4:36" x14ac:dyDescent="0.2">
      <c r="D27" s="304" t="s">
        <v>47</v>
      </c>
      <c r="E27" s="258">
        <f t="shared" si="3"/>
        <v>41943</v>
      </c>
      <c r="F27" s="300">
        <f>_xll.qlCalendarAdvance(Calendar,SettlementDate,D27,"mf",TRUE,Trigger)</f>
        <v>42124</v>
      </c>
      <c r="G27" s="301" t="str">
        <f>_xll.qlMakeDatedOIS(,E27,F27,OvernightIndex,0,,,,EvaluationDate)</f>
        <v>obj_0057e#0000</v>
      </c>
      <c r="H27" s="301" t="b">
        <f>_xll.qlInstrumentSetPricingEngine(G27,OisEngine)</f>
        <v>1</v>
      </c>
      <c r="I27" s="260">
        <f>_xll.qlOvernightIndexedSwapFairRate(G27,_xll.ohTrigger(InterestRatesTrigger))</f>
        <v>-6.0000000000216422E-5</v>
      </c>
      <c r="J27" s="323">
        <f>_xll.qlDayCounterYearFraction(DayCounterOIS,E27,F27,,,Trigger)</f>
        <v>0.50277777777777777</v>
      </c>
      <c r="K27" s="323">
        <f>_xll.qlDayCounterYearFraction(DayCounter1M,E27,F27,,,Trigger)</f>
        <v>0.50277777777777777</v>
      </c>
      <c r="L27" s="323">
        <f>_xll.qlDayCounterYearFraction(DayCounterON,E27,F27,,,Trigger)</f>
        <v>0.49589041095890413</v>
      </c>
      <c r="M27" s="291">
        <f t="shared" si="7"/>
        <v>3.617125250517707E-3</v>
      </c>
      <c r="N27" s="291">
        <f t="shared" si="8"/>
        <v>3.4778991880931157E-3</v>
      </c>
      <c r="O27" s="261" t="e">
        <f t="shared" si="9"/>
        <v>#NUM!</v>
      </c>
      <c r="P27" s="272"/>
      <c r="AF27" s="290">
        <f>_xll.qlCalendarAdvance(Calendar,AF26,"1d","mf",,Trigger)</f>
        <v>41977</v>
      </c>
      <c r="AG27" s="301">
        <f>_xll.qlDayCounterYearFraction(DayCounterON,SettlementDate,AF27,,,Trigger)</f>
        <v>9.3150684931506855E-2</v>
      </c>
      <c r="AH27" s="291">
        <f t="shared" si="0"/>
        <v>3.7281964345528941E-3</v>
      </c>
      <c r="AI27" s="291">
        <f t="shared" si="10"/>
        <v>3.4998724548268344E-3</v>
      </c>
      <c r="AJ27" s="261" t="e">
        <f t="shared" si="11"/>
        <v>#NUM!</v>
      </c>
    </row>
    <row r="28" spans="4:36" x14ac:dyDescent="0.2">
      <c r="D28" s="304" t="s">
        <v>55</v>
      </c>
      <c r="E28" s="258">
        <f t="shared" si="3"/>
        <v>41943</v>
      </c>
      <c r="F28" s="300">
        <f>_xll.qlCalendarAdvance(Calendar,SettlementDate,D28,"mf",TRUE,Trigger)</f>
        <v>42153</v>
      </c>
      <c r="G28" s="301" t="str">
        <f>_xll.qlMakeDatedOIS(,E28,F28,OvernightIndex,0,,,,EvaluationDate)</f>
        <v>obj_00576#0000</v>
      </c>
      <c r="H28" s="301" t="b">
        <f>_xll.qlInstrumentSetPricingEngine(G28,OisEngine)</f>
        <v>1</v>
      </c>
      <c r="I28" s="260">
        <f>_xll.qlOvernightIndexedSwapFairRate(G28,_xll.ohTrigger(InterestRatesTrigger))</f>
        <v>-1.0999999999938835E-4</v>
      </c>
      <c r="J28" s="323">
        <f>_xll.qlDayCounterYearFraction(DayCounterOIS,E28,F28,,,Trigger)</f>
        <v>0.58333333333333337</v>
      </c>
      <c r="K28" s="323">
        <f>_xll.qlDayCounterYearFraction(DayCounter1M,E28,F28,,,Trigger)</f>
        <v>0.58333333333333337</v>
      </c>
      <c r="L28" s="323">
        <f>_xll.qlDayCounterYearFraction(DayCounterON,E28,F28,,,Trigger)</f>
        <v>0.57534246575342463</v>
      </c>
      <c r="M28" s="291">
        <f t="shared" si="7"/>
        <v>3.5671252505185343E-3</v>
      </c>
      <c r="N28" s="291">
        <f t="shared" si="8"/>
        <v>3.4499623345983859E-3</v>
      </c>
      <c r="O28" s="261" t="e">
        <f t="shared" si="9"/>
        <v>#NUM!</v>
      </c>
      <c r="AF28" s="290">
        <f>_xll.qlCalendarAdvance(Calendar,AF27,"1d","mf",,Trigger)</f>
        <v>41978</v>
      </c>
      <c r="AG28" s="301">
        <f>_xll.qlDayCounterYearFraction(DayCounterON,SettlementDate,AF28,,,Trigger)</f>
        <v>9.5890410958904104E-2</v>
      </c>
      <c r="AH28" s="291">
        <f t="shared" si="0"/>
        <v>3.7281964345528941E-3</v>
      </c>
      <c r="AI28" s="291">
        <f t="shared" si="10"/>
        <v>3.501415184419578E-3</v>
      </c>
      <c r="AJ28" s="261" t="e">
        <f t="shared" si="11"/>
        <v>#NUM!</v>
      </c>
    </row>
    <row r="29" spans="4:36" x14ac:dyDescent="0.2">
      <c r="D29" s="304" t="s">
        <v>56</v>
      </c>
      <c r="E29" s="258">
        <f t="shared" si="3"/>
        <v>41943</v>
      </c>
      <c r="F29" s="300">
        <f>_xll.qlCalendarAdvance(Calendar,SettlementDate,D29,"mf",TRUE,Trigger)</f>
        <v>42185</v>
      </c>
      <c r="G29" s="301" t="str">
        <f>_xll.qlMakeDatedOIS(,E29,F29,OvernightIndex,0,,,,EvaluationDate)</f>
        <v>obj_0056d#0000</v>
      </c>
      <c r="H29" s="301" t="b">
        <f>_xll.qlInstrumentSetPricingEngine(G29,OisEngine)</f>
        <v>1</v>
      </c>
      <c r="I29" s="260">
        <f>_xll.qlOvernightIndexedSwapFairRate(G29,_xll.ohTrigger(InterestRatesTrigger))</f>
        <v>-1.4999999999966142E-4</v>
      </c>
      <c r="J29" s="323">
        <f>_xll.qlDayCounterYearFraction(DayCounterOIS,E29,F29,,,Trigger)</f>
        <v>0.67222222222222228</v>
      </c>
      <c r="K29" s="323">
        <f>_xll.qlDayCounterYearFraction(DayCounter1M,E29,F29,,,Trigger)</f>
        <v>0.67222222222222228</v>
      </c>
      <c r="L29" s="323">
        <f>_xll.qlDayCounterYearFraction(DayCounterON,E29,F29,,,Trigger)</f>
        <v>0.66301369863013704</v>
      </c>
      <c r="M29" s="291">
        <f t="shared" si="7"/>
        <v>3.5271252505182614E-3</v>
      </c>
      <c r="N29" s="291">
        <f t="shared" si="8"/>
        <v>3.4343078755685336E-3</v>
      </c>
      <c r="O29" s="261" t="e">
        <f t="shared" si="9"/>
        <v>#NUM!</v>
      </c>
      <c r="AF29" s="290">
        <f>_xll.qlCalendarAdvance(Calendar,AF28,"1d","mf",,Trigger)</f>
        <v>41981</v>
      </c>
      <c r="AG29" s="301">
        <f>_xll.qlDayCounterYearFraction(DayCounterON,SettlementDate,AF29,,,Trigger)</f>
        <v>0.10410958904109589</v>
      </c>
      <c r="AH29" s="291">
        <f t="shared" si="0"/>
        <v>3.7281964345528941E-3</v>
      </c>
      <c r="AI29" s="291">
        <f t="shared" si="10"/>
        <v>3.5060433731978089E-3</v>
      </c>
      <c r="AJ29" s="261" t="e">
        <f t="shared" si="11"/>
        <v>#NUM!</v>
      </c>
    </row>
    <row r="30" spans="4:36" ht="12.75" customHeight="1" x14ac:dyDescent="0.2">
      <c r="D30" s="304" t="s">
        <v>57</v>
      </c>
      <c r="E30" s="258">
        <f t="shared" si="3"/>
        <v>41943</v>
      </c>
      <c r="F30" s="300">
        <f>_xll.qlCalendarAdvance(Calendar,SettlementDate,D30,"mf",TRUE,Trigger)</f>
        <v>42216</v>
      </c>
      <c r="G30" s="301" t="str">
        <f>_xll.qlMakeDatedOIS(,E30,F30,OvernightIndex,0,,,,EvaluationDate)</f>
        <v>obj_00584#0000</v>
      </c>
      <c r="H30" s="301" t="b">
        <f>_xll.qlInstrumentSetPricingEngine(G30,OisEngine)</f>
        <v>1</v>
      </c>
      <c r="I30" s="260">
        <f>_xll.qlOvernightIndexedSwapFairRate(G30,_xll.ohTrigger(InterestRatesTrigger))</f>
        <v>-1.9000000000005888E-4</v>
      </c>
      <c r="J30" s="323">
        <f>_xll.qlDayCounterYearFraction(DayCounterOIS,E30,F30,,,Trigger)</f>
        <v>0.7583333333333333</v>
      </c>
      <c r="K30" s="323">
        <f>_xll.qlDayCounterYearFraction(DayCounter1M,E30,F30,,,Trigger)</f>
        <v>0.7583333333333333</v>
      </c>
      <c r="L30" s="323">
        <f>_xll.qlDayCounterYearFraction(DayCounterON,E30,F30,,,Trigger)</f>
        <v>0.74794520547945209</v>
      </c>
      <c r="M30" s="291">
        <f t="shared" si="7"/>
        <v>3.4871252505178645E-3</v>
      </c>
      <c r="N30" s="291">
        <f t="shared" si="8"/>
        <v>3.417892618383231E-3</v>
      </c>
      <c r="O30" s="261" t="e">
        <f t="shared" si="9"/>
        <v>#NUM!</v>
      </c>
      <c r="AF30" s="290">
        <f>_xll.qlCalendarAdvance(Calendar,AF29,"1d","mf",,Trigger)</f>
        <v>41982</v>
      </c>
      <c r="AG30" s="301">
        <f>_xll.qlDayCounterYearFraction(DayCounterON,SettlementDate,AF30,,,Trigger)</f>
        <v>0.10684931506849316</v>
      </c>
      <c r="AH30" s="291">
        <f t="shared" si="0"/>
        <v>3.7281964345528941E-3</v>
      </c>
      <c r="AI30" s="291">
        <f t="shared" si="10"/>
        <v>3.5075861027905526E-3</v>
      </c>
      <c r="AJ30" s="261" t="e">
        <f t="shared" si="11"/>
        <v>#NUM!</v>
      </c>
    </row>
    <row r="31" spans="4:36" x14ac:dyDescent="0.2">
      <c r="D31" s="304" t="s">
        <v>58</v>
      </c>
      <c r="E31" s="258">
        <f t="shared" si="3"/>
        <v>41943</v>
      </c>
      <c r="F31" s="300">
        <f>_xll.qlCalendarAdvance(Calendar,SettlementDate,D31,"mf",TRUE,Trigger)</f>
        <v>42247</v>
      </c>
      <c r="G31" s="301" t="str">
        <f>_xll.qlMakeDatedOIS(,E31,F31,OvernightIndex,0,,,,EvaluationDate)</f>
        <v>obj_00574#0000</v>
      </c>
      <c r="H31" s="301" t="b">
        <f>_xll.qlInstrumentSetPricingEngine(G31,OisEngine)</f>
        <v>1</v>
      </c>
      <c r="I31" s="260">
        <f>_xll.qlOvernightIndexedSwapFairRate(G31,_xll.ohTrigger(InterestRatesTrigger))</f>
        <v>-2.1999999999954803E-4</v>
      </c>
      <c r="J31" s="323">
        <f>_xll.qlDayCounterYearFraction(DayCounterOIS,E31,F31,,,Trigger)</f>
        <v>0.84444444444444444</v>
      </c>
      <c r="K31" s="323">
        <f>_xll.qlDayCounterYearFraction(DayCounter1M,E31,F31,,,Trigger)</f>
        <v>0.84444444444444444</v>
      </c>
      <c r="L31" s="323">
        <f>_xll.qlDayCounterYearFraction(DayCounterON,E31,F31,,,Trigger)</f>
        <v>0.83287671232876714</v>
      </c>
      <c r="M31" s="291">
        <f t="shared" si="7"/>
        <v>3.4571252505183748E-3</v>
      </c>
      <c r="N31" s="291">
        <f t="shared" si="8"/>
        <v>3.411477361198836E-3</v>
      </c>
      <c r="O31" s="261" t="e">
        <f t="shared" si="9"/>
        <v>#NUM!</v>
      </c>
      <c r="AF31" s="290">
        <f>_xll.qlCalendarAdvance(Calendar,AF30,"1d","mf",,Trigger)</f>
        <v>41983</v>
      </c>
      <c r="AG31" s="301">
        <f>_xll.qlDayCounterYearFraction(DayCounterON,SettlementDate,AF31,,,Trigger)</f>
        <v>0.1095890410958904</v>
      </c>
      <c r="AH31" s="291">
        <f t="shared" si="0"/>
        <v>3.7281964345528941E-3</v>
      </c>
      <c r="AI31" s="291">
        <f t="shared" si="10"/>
        <v>3.5091288323832962E-3</v>
      </c>
      <c r="AJ31" s="261" t="e">
        <f t="shared" si="11"/>
        <v>#NUM!</v>
      </c>
    </row>
    <row r="32" spans="4:36" x14ac:dyDescent="0.2">
      <c r="D32" s="304" t="s">
        <v>59</v>
      </c>
      <c r="E32" s="258">
        <f t="shared" si="3"/>
        <v>41943</v>
      </c>
      <c r="F32" s="300">
        <f>_xll.qlCalendarAdvance(Calendar,SettlementDate,D32,"mf",TRUE,Trigger)</f>
        <v>42277</v>
      </c>
      <c r="G32" s="301" t="str">
        <f>_xll.qlMakeDatedOIS(,E32,F32,OvernightIndex,0,,,,EvaluationDate)</f>
        <v>obj_00575#0000</v>
      </c>
      <c r="H32" s="301" t="b">
        <f>_xll.qlInstrumentSetPricingEngine(G32,OisEngine)</f>
        <v>1</v>
      </c>
      <c r="I32" s="260">
        <f>_xll.qlOvernightIndexedSwapFairRate(G32,_xll.ohTrigger(InterestRatesTrigger))</f>
        <v>-2.4999999999972315E-4</v>
      </c>
      <c r="J32" s="323">
        <f>_xll.qlDayCounterYearFraction(DayCounterOIS,E32,F32,,,Trigger)</f>
        <v>0.92777777777777781</v>
      </c>
      <c r="K32" s="323">
        <f>_xll.qlDayCounterYearFraction(DayCounter1M,E32,F32,,,Trigger)</f>
        <v>0.92777777777777781</v>
      </c>
      <c r="L32" s="323">
        <f>_xll.qlDayCounterYearFraction(DayCounterON,E32,F32,,,Trigger)</f>
        <v>0.91506849315068495</v>
      </c>
      <c r="M32" s="291">
        <f t="shared" si="7"/>
        <v>3.4271252505182E-3</v>
      </c>
      <c r="N32" s="291">
        <f t="shared" si="8"/>
        <v>3.4043013058584299E-3</v>
      </c>
      <c r="O32" s="261" t="e">
        <f t="shared" si="9"/>
        <v>#NUM!</v>
      </c>
      <c r="AF32" s="290">
        <f>_xll.qlCalendarAdvance(Calendar,AF31,"1d","mf",,Trigger)</f>
        <v>41984</v>
      </c>
      <c r="AG32" s="301">
        <f>_xll.qlDayCounterYearFraction(DayCounterON,SettlementDate,AF32,,,Trigger)</f>
        <v>0.11232876712328767</v>
      </c>
      <c r="AH32" s="291">
        <f t="shared" si="0"/>
        <v>3.7281964345528941E-3</v>
      </c>
      <c r="AI32" s="291">
        <f t="shared" si="10"/>
        <v>3.5106715619760399E-3</v>
      </c>
      <c r="AJ32" s="261" t="e">
        <f t="shared" si="11"/>
        <v>#NUM!</v>
      </c>
    </row>
    <row r="33" spans="4:36" ht="12" thickBot="1" x14ac:dyDescent="0.25">
      <c r="D33" s="305" t="s">
        <v>60</v>
      </c>
      <c r="E33" s="263">
        <f t="shared" si="3"/>
        <v>41943</v>
      </c>
      <c r="F33" s="302">
        <f>_xll.qlCalendarAdvance(Calendar,SettlementDate,D33,"mf",TRUE,Trigger)</f>
        <v>42307</v>
      </c>
      <c r="G33" s="303" t="str">
        <f>_xll.qlMakeDatedOIS(,E33,F33,OvernightIndex,0,,,,EvaluationDate)</f>
        <v>obj_0057a#0000</v>
      </c>
      <c r="H33" s="303" t="b">
        <f>_xll.qlInstrumentSetPricingEngine(G33,OisEngine)</f>
        <v>1</v>
      </c>
      <c r="I33" s="265">
        <f>_xll.qlOvernightIndexedSwapFairRate(G33,_xll.ohTrigger(InterestRatesTrigger))</f>
        <v>-2.7712525051792284E-4</v>
      </c>
      <c r="J33" s="326">
        <f>_xll.qlDayCounterYearFraction(DayCounterOIS,E33,F33,,,Trigger)</f>
        <v>1.0111111111111111</v>
      </c>
      <c r="K33" s="326">
        <f>_xll.qlDayCounterYearFraction(DayCounter1M,E33,F33,,,Trigger)</f>
        <v>1.0111111111111111</v>
      </c>
      <c r="L33" s="326">
        <f>_xll.qlDayCounterYearFraction(DayCounterON,E33,F33,,,Trigger)</f>
        <v>0.99726027397260275</v>
      </c>
      <c r="M33" s="293">
        <f t="shared" si="7"/>
        <v>3.4000000000000002E-3</v>
      </c>
      <c r="N33" s="293">
        <f t="shared" si="8"/>
        <v>3.3999999999999989E-3</v>
      </c>
      <c r="O33" s="266" t="e">
        <f t="shared" si="9"/>
        <v>#NUM!</v>
      </c>
      <c r="AF33" s="290">
        <f>_xll.qlCalendarAdvance(Calendar,AF32,"1d","mf",,Trigger)</f>
        <v>41985</v>
      </c>
      <c r="AG33" s="301">
        <f>_xll.qlDayCounterYearFraction(DayCounterON,SettlementDate,AF33,,,Trigger)</f>
        <v>0.11506849315068493</v>
      </c>
      <c r="AH33" s="291">
        <f t="shared" si="0"/>
        <v>3.7281964345528941E-3</v>
      </c>
      <c r="AI33" s="291">
        <f t="shared" si="10"/>
        <v>3.5122142915687835E-3</v>
      </c>
      <c r="AJ33" s="261" t="e">
        <f t="shared" si="11"/>
        <v>#NUM!</v>
      </c>
    </row>
    <row r="34" spans="4:36" x14ac:dyDescent="0.2">
      <c r="D34" s="419"/>
      <c r="E34" s="436"/>
      <c r="F34" s="437"/>
      <c r="G34" s="273"/>
      <c r="H34" s="273"/>
      <c r="I34" s="438"/>
      <c r="J34" s="439"/>
      <c r="K34" s="439"/>
      <c r="L34" s="439"/>
      <c r="M34" s="272"/>
      <c r="N34" s="272"/>
      <c r="O34" s="272"/>
      <c r="AF34" s="290">
        <f>_xll.qlCalendarAdvance(Calendar,AF33,"1d","mf",,Trigger)</f>
        <v>41988</v>
      </c>
      <c r="AG34" s="301">
        <f>_xll.qlDayCounterYearFraction(DayCounterON,SettlementDate,AF34,,,Trigger)</f>
        <v>0.12328767123287671</v>
      </c>
      <c r="AH34" s="291">
        <f t="shared" si="0"/>
        <v>3.7281964345528941E-3</v>
      </c>
      <c r="AI34" s="291">
        <f t="shared" si="10"/>
        <v>3.5168424803470144E-3</v>
      </c>
      <c r="AJ34" s="261" t="e">
        <f t="shared" si="11"/>
        <v>#NUM!</v>
      </c>
    </row>
    <row r="35" spans="4:36" ht="12" thickBot="1" x14ac:dyDescent="0.25">
      <c r="AF35" s="290">
        <f>_xll.qlCalendarAdvance(Calendar,AF34,"1d","mf",,Trigger)</f>
        <v>41989</v>
      </c>
      <c r="AG35" s="301">
        <f>_xll.qlDayCounterYearFraction(DayCounterON,SettlementDate,AF35,,,Trigger)</f>
        <v>0.12602739726027398</v>
      </c>
      <c r="AH35" s="291">
        <f t="shared" si="0"/>
        <v>3.7281964345528941E-3</v>
      </c>
      <c r="AI35" s="291">
        <f t="shared" si="10"/>
        <v>3.518385209939758E-3</v>
      </c>
      <c r="AJ35" s="261" t="e">
        <f t="shared" si="11"/>
        <v>#NUM!</v>
      </c>
    </row>
    <row r="36" spans="4:36" x14ac:dyDescent="0.2">
      <c r="D36" s="331" t="s">
        <v>167</v>
      </c>
      <c r="AF36" s="290">
        <f>_xll.qlCalendarAdvance(Calendar,AF35,"1d","mf",,Trigger)</f>
        <v>41990</v>
      </c>
      <c r="AG36" s="301">
        <f>_xll.qlDayCounterYearFraction(DayCounterON,SettlementDate,AF36,,,Trigger)</f>
        <v>0.12876712328767123</v>
      </c>
      <c r="AH36" s="291">
        <f t="shared" si="0"/>
        <v>3.7281964345528941E-3</v>
      </c>
      <c r="AI36" s="291">
        <f t="shared" si="10"/>
        <v>3.5199279395325017E-3</v>
      </c>
      <c r="AJ36" s="261" t="e">
        <f t="shared" si="11"/>
        <v>#NUM!</v>
      </c>
    </row>
    <row r="37" spans="4:36" x14ac:dyDescent="0.2">
      <c r="D37" s="335" t="s">
        <v>125</v>
      </c>
      <c r="AF37" s="290">
        <f>_xll.qlCalendarAdvance(Calendar,AF36,"1d","mf",,Trigger)</f>
        <v>41991</v>
      </c>
      <c r="AG37" s="301">
        <f>_xll.qlDayCounterYearFraction(DayCounterON,SettlementDate,AF37,,,Trigger)</f>
        <v>0.13150684931506848</v>
      </c>
      <c r="AH37" s="291">
        <f t="shared" si="0"/>
        <v>3.7281964345528941E-3</v>
      </c>
      <c r="AI37" s="291">
        <f t="shared" si="10"/>
        <v>3.5214706691252453E-3</v>
      </c>
      <c r="AJ37" s="261" t="e">
        <f t="shared" si="11"/>
        <v>#NUM!</v>
      </c>
    </row>
    <row r="38" spans="4:36" x14ac:dyDescent="0.2">
      <c r="D38" s="288">
        <f>IF($D$37="FLAT",M18,IF($D$37="linear",N18,O18))</f>
        <v>3.9104016867952405E-3</v>
      </c>
      <c r="F38" s="256"/>
      <c r="AF38" s="290">
        <f>_xll.qlCalendarAdvance(Calendar,AF37,"1d","mf",,Trigger)</f>
        <v>41992</v>
      </c>
      <c r="AG38" s="301">
        <f>_xll.qlDayCounterYearFraction(DayCounterON,SettlementDate,AF38,,,Trigger)</f>
        <v>0.13424657534246576</v>
      </c>
      <c r="AH38" s="291">
        <f t="shared" si="0"/>
        <v>3.7281964345528941E-3</v>
      </c>
      <c r="AI38" s="291">
        <f t="shared" si="10"/>
        <v>3.5230133987179889E-3</v>
      </c>
      <c r="AJ38" s="261" t="e">
        <f t="shared" si="11"/>
        <v>#NUM!</v>
      </c>
    </row>
    <row r="39" spans="4:36" x14ac:dyDescent="0.2">
      <c r="D39" s="291">
        <f>IF($D$37="FLAT",M19,IF($D$37="linear",N19,O19))</f>
        <v>3.8055203045015179E-3</v>
      </c>
      <c r="F39" s="256"/>
      <c r="AF39" s="290">
        <f>_xll.qlCalendarAdvance(Calendar,AF38,"1d","mf",,Trigger)</f>
        <v>41995</v>
      </c>
      <c r="AG39" s="301">
        <f>_xll.qlDayCounterYearFraction(DayCounterON,SettlementDate,AF39,,,Trigger)</f>
        <v>0.14246575342465753</v>
      </c>
      <c r="AH39" s="291">
        <f t="shared" si="0"/>
        <v>3.7281964345528941E-3</v>
      </c>
      <c r="AI39" s="291">
        <f t="shared" si="10"/>
        <v>3.5276415874962198E-3</v>
      </c>
      <c r="AJ39" s="261" t="e">
        <f t="shared" si="11"/>
        <v>#NUM!</v>
      </c>
    </row>
    <row r="40" spans="4:36" x14ac:dyDescent="0.2">
      <c r="D40" s="291">
        <f>IF($D$37="FLAT",M20,IF($D$37="linear",N20,O20))</f>
        <v>3.5908458900525838E-3</v>
      </c>
      <c r="F40" s="256"/>
      <c r="AF40" s="290">
        <f>_xll.qlCalendarAdvance(Calendar,AF39,"1d","mf",,Trigger)</f>
        <v>41996</v>
      </c>
      <c r="AG40" s="301">
        <f>_xll.qlDayCounterYearFraction(DayCounterON,SettlementDate,AF40,,,Trigger)</f>
        <v>0.14520547945205478</v>
      </c>
      <c r="AH40" s="291">
        <f t="shared" si="0"/>
        <v>3.7281964345528941E-3</v>
      </c>
      <c r="AI40" s="291">
        <f t="shared" si="10"/>
        <v>3.5291843170889635E-3</v>
      </c>
      <c r="AJ40" s="261" t="e">
        <f t="shared" si="11"/>
        <v>#NUM!</v>
      </c>
    </row>
    <row r="41" spans="4:36" x14ac:dyDescent="0.2">
      <c r="D41" s="291">
        <f>IF($D$37="FLAT",M21,IF($D$37="linear",N21,O21))</f>
        <v>3.5361714740920025E-3</v>
      </c>
      <c r="F41" s="256"/>
      <c r="AF41" s="290">
        <f>_xll.qlCalendarAdvance(Calendar,AF40,"1d","mf",,Trigger)</f>
        <v>41997</v>
      </c>
      <c r="AG41" s="301">
        <f>_xll.qlDayCounterYearFraction(DayCounterON,SettlementDate,AF41,,,Trigger)</f>
        <v>0.14794520547945206</v>
      </c>
      <c r="AH41" s="291">
        <f t="shared" si="0"/>
        <v>3.7281964345528941E-3</v>
      </c>
      <c r="AI41" s="291">
        <f t="shared" si="10"/>
        <v>3.5307270466817071E-3</v>
      </c>
      <c r="AJ41" s="261" t="e">
        <f t="shared" si="11"/>
        <v>#NUM!</v>
      </c>
    </row>
    <row r="42" spans="4:36" x14ac:dyDescent="0.2">
      <c r="D42" s="291">
        <f>IF($D$37="FLAT",M22,IF($D$37="linear",N22,O22))</f>
        <v>3.5114970581308575E-3</v>
      </c>
      <c r="F42" s="256"/>
      <c r="AF42" s="290">
        <f>_xll.qlCalendarAdvance(Calendar,AF41,"1d","mf",,Trigger)</f>
        <v>42002</v>
      </c>
      <c r="AG42" s="301">
        <f>_xll.qlDayCounterYearFraction(DayCounterON,SettlementDate,AF42,,,Trigger)</f>
        <v>0.16164383561643836</v>
      </c>
      <c r="AH42" s="291">
        <f t="shared" si="0"/>
        <v>3.7281964345528941E-3</v>
      </c>
      <c r="AI42" s="291">
        <f t="shared" si="10"/>
        <v>3.5384406946454257E-3</v>
      </c>
      <c r="AJ42" s="261" t="e">
        <f t="shared" si="11"/>
        <v>#NUM!</v>
      </c>
    </row>
    <row r="43" spans="4:36" ht="11.25" customHeight="1" x14ac:dyDescent="0.2">
      <c r="D43" s="291">
        <f t="shared" ref="D43:D53" si="12">IF($D$37="FLAT",M23,IF($D$37="linear",N23,O23))</f>
        <v>3.4966034094542561E-3</v>
      </c>
      <c r="F43" s="256"/>
      <c r="AF43" s="290">
        <f>_xll.qlCalendarAdvance(Calendar,AF42,"1d","mf",,Trigger)</f>
        <v>42003</v>
      </c>
      <c r="AG43" s="301">
        <f>_xll.qlDayCounterYearFraction(DayCounterON,SettlementDate,AF43,,,Trigger)</f>
        <v>0.16438356164383561</v>
      </c>
      <c r="AH43" s="291">
        <f t="shared" si="0"/>
        <v>3.7281964345528941E-3</v>
      </c>
      <c r="AI43" s="291">
        <f t="shared" si="10"/>
        <v>3.5399834242381689E-3</v>
      </c>
      <c r="AJ43" s="261" t="e">
        <f t="shared" si="11"/>
        <v>#NUM!</v>
      </c>
    </row>
    <row r="44" spans="4:36" x14ac:dyDescent="0.2">
      <c r="D44" s="291">
        <f t="shared" si="12"/>
        <v>3.451506040516944E-3</v>
      </c>
      <c r="F44" s="256"/>
      <c r="AF44" s="290">
        <f>_xll.qlCalendarAdvance(Calendar,AF43,"1d","mf",,Trigger)</f>
        <v>42004</v>
      </c>
      <c r="AG44" s="301">
        <f>_xll.qlDayCounterYearFraction(DayCounterON,SettlementDate,AF44,,,Trigger)</f>
        <v>0.16712328767123288</v>
      </c>
      <c r="AH44" s="291">
        <f t="shared" si="0"/>
        <v>3.7281964345528941E-3</v>
      </c>
      <c r="AI44" s="291">
        <f t="shared" si="10"/>
        <v>3.541526153830913E-3</v>
      </c>
      <c r="AJ44" s="261" t="e">
        <f t="shared" si="11"/>
        <v>#NUM!</v>
      </c>
    </row>
    <row r="45" spans="4:36" x14ac:dyDescent="0.2">
      <c r="D45" s="291">
        <f t="shared" si="12"/>
        <v>3.4707297024628094E-3</v>
      </c>
      <c r="F45" s="256"/>
      <c r="AF45" s="290">
        <f>_xll.qlCalendarAdvance(Calendar,AF44,"1d","mf",,Trigger)</f>
        <v>42006</v>
      </c>
      <c r="AG45" s="301">
        <f>_xll.qlDayCounterYearFraction(DayCounterON,SettlementDate,AF45,,,Trigger)</f>
        <v>0.17260273972602741</v>
      </c>
      <c r="AH45" s="291">
        <f t="shared" si="0"/>
        <v>3.7281964345528941E-3</v>
      </c>
      <c r="AI45" s="291">
        <f t="shared" si="10"/>
        <v>3.5446116130164003E-3</v>
      </c>
      <c r="AJ45" s="261" t="e">
        <f t="shared" si="11"/>
        <v>#NUM!</v>
      </c>
    </row>
    <row r="46" spans="4:36" x14ac:dyDescent="0.2">
      <c r="D46" s="291">
        <f t="shared" si="12"/>
        <v>3.4950752434338554E-3</v>
      </c>
      <c r="F46" s="256"/>
      <c r="AF46" s="290">
        <f>_xll.qlCalendarAdvance(Calendar,AF45,"1d","mf",,Trigger)</f>
        <v>42009</v>
      </c>
      <c r="AG46" s="301">
        <f>_xll.qlDayCounterYearFraction(DayCounterON,SettlementDate,AF46,,,Trigger)</f>
        <v>0.18082191780821918</v>
      </c>
      <c r="AH46" s="291">
        <f t="shared" si="0"/>
        <v>3.7281964345528941E-3</v>
      </c>
      <c r="AI46" s="291">
        <f t="shared" si="10"/>
        <v>3.5492398017946312E-3</v>
      </c>
      <c r="AJ46" s="261" t="e">
        <f t="shared" si="11"/>
        <v>#NUM!</v>
      </c>
    </row>
    <row r="47" spans="4:36" x14ac:dyDescent="0.2">
      <c r="D47" s="291">
        <f t="shared" si="12"/>
        <v>3.4778991880931157E-3</v>
      </c>
      <c r="F47" s="256"/>
      <c r="AF47" s="290">
        <f>_xll.qlCalendarAdvance(Calendar,AF46,"1d","mf",,Trigger)</f>
        <v>42010</v>
      </c>
      <c r="AG47" s="301">
        <f>_xll.qlDayCounterYearFraction(DayCounterON,SettlementDate,AF47,,,Trigger)</f>
        <v>0.18356164383561643</v>
      </c>
      <c r="AH47" s="291">
        <f t="shared" si="0"/>
        <v>3.7281964345528941E-3</v>
      </c>
      <c r="AI47" s="291">
        <f t="shared" si="10"/>
        <v>3.5507825313873748E-3</v>
      </c>
      <c r="AJ47" s="261" t="e">
        <f t="shared" si="11"/>
        <v>#NUM!</v>
      </c>
    </row>
    <row r="48" spans="4:36" x14ac:dyDescent="0.2">
      <c r="D48" s="291">
        <f t="shared" si="12"/>
        <v>3.4499623345983859E-3</v>
      </c>
      <c r="F48" s="256"/>
      <c r="AF48" s="290">
        <f>_xll.qlCalendarAdvance(Calendar,AF47,"1d","mf",,Trigger)</f>
        <v>42011</v>
      </c>
      <c r="AG48" s="301">
        <f>_xll.qlDayCounterYearFraction(DayCounterON,SettlementDate,AF48,,,Trigger)</f>
        <v>0.18630136986301371</v>
      </c>
      <c r="AH48" s="291">
        <f t="shared" si="0"/>
        <v>3.7281964345528941E-3</v>
      </c>
      <c r="AI48" s="291">
        <f t="shared" si="10"/>
        <v>3.5523252609801184E-3</v>
      </c>
      <c r="AJ48" s="261" t="e">
        <f t="shared" si="11"/>
        <v>#NUM!</v>
      </c>
    </row>
    <row r="49" spans="4:36" x14ac:dyDescent="0.2">
      <c r="D49" s="291">
        <f t="shared" si="12"/>
        <v>3.4343078755685336E-3</v>
      </c>
      <c r="F49" s="256"/>
      <c r="N49" s="333"/>
      <c r="AF49" s="290">
        <f>_xll.qlCalendarAdvance(Calendar,AF48,"1d","mf",,Trigger)</f>
        <v>42012</v>
      </c>
      <c r="AG49" s="301">
        <f>_xll.qlDayCounterYearFraction(DayCounterON,SettlementDate,AF49,,,Trigger)</f>
        <v>0.18904109589041096</v>
      </c>
      <c r="AH49" s="291">
        <f t="shared" si="0"/>
        <v>3.7281964345528941E-3</v>
      </c>
      <c r="AI49" s="291">
        <f t="shared" si="10"/>
        <v>3.5538679905728621E-3</v>
      </c>
      <c r="AJ49" s="261" t="e">
        <f t="shared" si="11"/>
        <v>#NUM!</v>
      </c>
    </row>
    <row r="50" spans="4:36" x14ac:dyDescent="0.2">
      <c r="D50" s="291">
        <f t="shared" si="12"/>
        <v>3.417892618383231E-3</v>
      </c>
      <c r="F50" s="256"/>
      <c r="J50" s="272"/>
      <c r="K50" s="272"/>
      <c r="N50" s="333"/>
      <c r="AF50" s="290">
        <f>_xll.qlCalendarAdvance(Calendar,AF49,"1d","mf",,Trigger)</f>
        <v>42013</v>
      </c>
      <c r="AG50" s="301">
        <f>_xll.qlDayCounterYearFraction(DayCounterON,SettlementDate,AF50,,,Trigger)</f>
        <v>0.19178082191780821</v>
      </c>
      <c r="AH50" s="291">
        <f t="shared" si="0"/>
        <v>3.7281964345528941E-3</v>
      </c>
      <c r="AI50" s="291">
        <f t="shared" si="10"/>
        <v>3.5554107201656057E-3</v>
      </c>
      <c r="AJ50" s="261" t="e">
        <f t="shared" si="11"/>
        <v>#NUM!</v>
      </c>
    </row>
    <row r="51" spans="4:36" x14ac:dyDescent="0.2">
      <c r="D51" s="291">
        <f t="shared" si="12"/>
        <v>3.411477361198836E-3</v>
      </c>
      <c r="F51" s="256"/>
      <c r="N51" s="333"/>
      <c r="AF51" s="290">
        <f>_xll.qlCalendarAdvance(Calendar,AF50,"1d","mf",,Trigger)</f>
        <v>42016</v>
      </c>
      <c r="AG51" s="301">
        <f>_xll.qlDayCounterYearFraction(DayCounterON,SettlementDate,AF51,,,Trigger)</f>
        <v>0.2</v>
      </c>
      <c r="AH51" s="291">
        <f t="shared" si="0"/>
        <v>3.7281964345528941E-3</v>
      </c>
      <c r="AI51" s="291">
        <f t="shared" si="10"/>
        <v>3.5600389089438366E-3</v>
      </c>
      <c r="AJ51" s="261" t="e">
        <f t="shared" si="11"/>
        <v>#NUM!</v>
      </c>
    </row>
    <row r="52" spans="4:36" x14ac:dyDescent="0.2">
      <c r="D52" s="291">
        <f t="shared" si="12"/>
        <v>3.4043013058584299E-3</v>
      </c>
      <c r="F52" s="256"/>
      <c r="N52" s="333"/>
      <c r="AF52" s="290">
        <f>_xll.qlCalendarAdvance(Calendar,AF51,"1d","mf",,Trigger)</f>
        <v>42017</v>
      </c>
      <c r="AG52" s="301">
        <f>_xll.qlDayCounterYearFraction(DayCounterON,SettlementDate,AF52,,,Trigger)</f>
        <v>0.20273972602739726</v>
      </c>
      <c r="AH52" s="291">
        <f t="shared" si="0"/>
        <v>3.7281964345528941E-3</v>
      </c>
      <c r="AI52" s="291">
        <f t="shared" si="10"/>
        <v>3.5615816385365802E-3</v>
      </c>
      <c r="AJ52" s="261" t="e">
        <f t="shared" si="11"/>
        <v>#NUM!</v>
      </c>
    </row>
    <row r="53" spans="4:36" x14ac:dyDescent="0.2">
      <c r="D53" s="336">
        <f t="shared" si="12"/>
        <v>3.3999999999999989E-3</v>
      </c>
      <c r="F53" s="256"/>
      <c r="N53" s="333"/>
      <c r="AF53" s="290">
        <f>_xll.qlCalendarAdvance(Calendar,AF52,"1d","mf",,Trigger)</f>
        <v>42018</v>
      </c>
      <c r="AG53" s="301">
        <f>_xll.qlDayCounterYearFraction(DayCounterON,SettlementDate,AF53,,,Trigger)</f>
        <v>0.20547945205479451</v>
      </c>
      <c r="AH53" s="291">
        <f t="shared" si="0"/>
        <v>3.7281964345528941E-3</v>
      </c>
      <c r="AI53" s="291">
        <f t="shared" si="10"/>
        <v>3.5631243681293239E-3</v>
      </c>
      <c r="AJ53" s="261" t="e">
        <f t="shared" si="11"/>
        <v>#NUM!</v>
      </c>
    </row>
    <row r="54" spans="4:36" x14ac:dyDescent="0.2">
      <c r="AF54" s="290">
        <f>_xll.qlCalendarAdvance(Calendar,AF53,"1d","mf",,Trigger)</f>
        <v>42019</v>
      </c>
      <c r="AG54" s="301">
        <f>_xll.qlDayCounterYearFraction(DayCounterON,SettlementDate,AF54,,,Trigger)</f>
        <v>0.20821917808219179</v>
      </c>
      <c r="AH54" s="291">
        <f t="shared" si="0"/>
        <v>3.7281964345528941E-3</v>
      </c>
      <c r="AI54" s="291">
        <f t="shared" si="10"/>
        <v>3.5646670977220675E-3</v>
      </c>
      <c r="AJ54" s="261" t="e">
        <f t="shared" si="11"/>
        <v>#NUM!</v>
      </c>
    </row>
    <row r="55" spans="4:36" x14ac:dyDescent="0.2">
      <c r="AF55" s="290">
        <f>_xll.qlCalendarAdvance(Calendar,AF54,"1d","mf",,Trigger)</f>
        <v>42020</v>
      </c>
      <c r="AG55" s="301">
        <f>_xll.qlDayCounterYearFraction(DayCounterON,SettlementDate,AF55,,,Trigger)</f>
        <v>0.21095890410958903</v>
      </c>
      <c r="AH55" s="291">
        <f t="shared" si="0"/>
        <v>3.7281964345528941E-3</v>
      </c>
      <c r="AI55" s="291">
        <f t="shared" si="10"/>
        <v>3.5662098273148111E-3</v>
      </c>
      <c r="AJ55" s="261" t="e">
        <f t="shared" si="11"/>
        <v>#NUM!</v>
      </c>
    </row>
    <row r="56" spans="4:36" x14ac:dyDescent="0.2">
      <c r="AF56" s="290">
        <f>_xll.qlCalendarAdvance(Calendar,AF55,"1d","mf",,Trigger)</f>
        <v>42023</v>
      </c>
      <c r="AG56" s="301">
        <f>_xll.qlDayCounterYearFraction(DayCounterON,SettlementDate,AF56,,,Trigger)</f>
        <v>0.21917808219178081</v>
      </c>
      <c r="AH56" s="291">
        <f t="shared" si="0"/>
        <v>3.7281964345528941E-3</v>
      </c>
      <c r="AI56" s="291">
        <f t="shared" si="10"/>
        <v>3.5708380160930421E-3</v>
      </c>
      <c r="AJ56" s="261" t="e">
        <f t="shared" si="11"/>
        <v>#NUM!</v>
      </c>
    </row>
    <row r="57" spans="4:36" x14ac:dyDescent="0.2">
      <c r="AF57" s="290">
        <f>_xll.qlCalendarAdvance(Calendar,AF56,"1d","mf",,Trigger)</f>
        <v>42024</v>
      </c>
      <c r="AG57" s="301">
        <f>_xll.qlDayCounterYearFraction(DayCounterON,SettlementDate,AF57,,,Trigger)</f>
        <v>0.22191780821917809</v>
      </c>
      <c r="AH57" s="291">
        <f t="shared" si="0"/>
        <v>3.7281964345528941E-3</v>
      </c>
      <c r="AI57" s="291">
        <f t="shared" si="10"/>
        <v>3.5723807456857857E-3</v>
      </c>
      <c r="AJ57" s="261" t="e">
        <f t="shared" si="11"/>
        <v>#NUM!</v>
      </c>
    </row>
    <row r="58" spans="4:36" x14ac:dyDescent="0.2">
      <c r="AF58" s="290">
        <f>_xll.qlCalendarAdvance(Calendar,AF57,"1d","mf",,Trigger)</f>
        <v>42025</v>
      </c>
      <c r="AG58" s="301">
        <f>_xll.qlDayCounterYearFraction(DayCounterON,SettlementDate,AF58,,,Trigger)</f>
        <v>0.22465753424657534</v>
      </c>
      <c r="AH58" s="291">
        <f t="shared" si="0"/>
        <v>3.7281964345528941E-3</v>
      </c>
      <c r="AI58" s="291">
        <f t="shared" si="10"/>
        <v>3.5739234752785293E-3</v>
      </c>
      <c r="AJ58" s="261" t="e">
        <f t="shared" si="11"/>
        <v>#NUM!</v>
      </c>
    </row>
    <row r="59" spans="4:36" x14ac:dyDescent="0.2">
      <c r="AF59" s="290">
        <f>_xll.qlCalendarAdvance(Calendar,AF58,"1d","mf",,Trigger)</f>
        <v>42026</v>
      </c>
      <c r="AG59" s="301">
        <f>_xll.qlDayCounterYearFraction(DayCounterON,SettlementDate,AF59,,,Trigger)</f>
        <v>0.22739726027397261</v>
      </c>
      <c r="AH59" s="291">
        <f t="shared" si="0"/>
        <v>3.7281964345528941E-3</v>
      </c>
      <c r="AI59" s="291">
        <f t="shared" si="10"/>
        <v>3.575466204871273E-3</v>
      </c>
      <c r="AJ59" s="261" t="e">
        <f t="shared" si="11"/>
        <v>#NUM!</v>
      </c>
    </row>
    <row r="60" spans="4:36" x14ac:dyDescent="0.2">
      <c r="AF60" s="290">
        <f>_xll.qlCalendarAdvance(Calendar,AF59,"1d","mf",,Trigger)</f>
        <v>42027</v>
      </c>
      <c r="AG60" s="301">
        <f>_xll.qlDayCounterYearFraction(DayCounterON,SettlementDate,AF60,,,Trigger)</f>
        <v>0.23013698630136986</v>
      </c>
      <c r="AH60" s="291">
        <f t="shared" si="0"/>
        <v>3.7281964345528941E-3</v>
      </c>
      <c r="AI60" s="291">
        <f t="shared" si="10"/>
        <v>3.5770089344640166E-3</v>
      </c>
      <c r="AJ60" s="261" t="e">
        <f t="shared" si="11"/>
        <v>#NUM!</v>
      </c>
    </row>
    <row r="61" spans="4:36" x14ac:dyDescent="0.2">
      <c r="AF61" s="290">
        <f>_xll.qlCalendarAdvance(Calendar,AF60,"1d","mf",,Trigger)</f>
        <v>42030</v>
      </c>
      <c r="AG61" s="301">
        <f>_xll.qlDayCounterYearFraction(DayCounterON,SettlementDate,AF61,,,Trigger)</f>
        <v>0.23835616438356164</v>
      </c>
      <c r="AH61" s="291">
        <f t="shared" si="0"/>
        <v>3.7281964345528941E-3</v>
      </c>
      <c r="AI61" s="291">
        <f t="shared" si="10"/>
        <v>3.5816371232422475E-3</v>
      </c>
      <c r="AJ61" s="261" t="e">
        <f t="shared" si="11"/>
        <v>#NUM!</v>
      </c>
    </row>
    <row r="62" spans="4:36" x14ac:dyDescent="0.2">
      <c r="AF62" s="290">
        <f>_xll.qlCalendarAdvance(Calendar,AF61,"1d","mf",,Trigger)</f>
        <v>42031</v>
      </c>
      <c r="AG62" s="301">
        <f>_xll.qlDayCounterYearFraction(DayCounterON,SettlementDate,AF62,,,Trigger)</f>
        <v>0.24109589041095891</v>
      </c>
      <c r="AH62" s="291">
        <f t="shared" si="0"/>
        <v>3.7281964345528941E-3</v>
      </c>
      <c r="AI62" s="291">
        <f t="shared" si="10"/>
        <v>3.5831798528349911E-3</v>
      </c>
      <c r="AJ62" s="261" t="e">
        <f t="shared" si="11"/>
        <v>#NUM!</v>
      </c>
    </row>
    <row r="63" spans="4:36" x14ac:dyDescent="0.2">
      <c r="AF63" s="290">
        <f>_xll.qlCalendarAdvance(Calendar,AF62,"1d","mf",,Trigger)</f>
        <v>42032</v>
      </c>
      <c r="AG63" s="301">
        <f>_xll.qlDayCounterYearFraction(DayCounterON,SettlementDate,AF63,,,Trigger)</f>
        <v>0.24383561643835616</v>
      </c>
      <c r="AH63" s="291">
        <f t="shared" si="0"/>
        <v>3.7281964345528941E-3</v>
      </c>
      <c r="AI63" s="291">
        <f t="shared" si="10"/>
        <v>3.5847225824277348E-3</v>
      </c>
      <c r="AJ63" s="261" t="e">
        <f t="shared" si="11"/>
        <v>#NUM!</v>
      </c>
    </row>
    <row r="64" spans="4:36" x14ac:dyDescent="0.2">
      <c r="AF64" s="290">
        <f>_xll.qlCalendarAdvance(Calendar,AF63,"1d","mf",,Trigger)</f>
        <v>42033</v>
      </c>
      <c r="AG64" s="301">
        <f>_xll.qlDayCounterYearFraction(DayCounterON,SettlementDate,AF64,,,Trigger)</f>
        <v>0.24657534246575341</v>
      </c>
      <c r="AH64" s="291">
        <f t="shared" si="0"/>
        <v>3.7281964345528941E-3</v>
      </c>
      <c r="AI64" s="291">
        <f t="shared" si="10"/>
        <v>3.5862653120204784E-3</v>
      </c>
      <c r="AJ64" s="261" t="e">
        <f t="shared" si="11"/>
        <v>#NUM!</v>
      </c>
    </row>
    <row r="65" spans="10:36" x14ac:dyDescent="0.2">
      <c r="AF65" s="290">
        <f>_xll.qlCalendarAdvance(Calendar,AF64,"1d","mf",,Trigger)</f>
        <v>42034</v>
      </c>
      <c r="AG65" s="301">
        <f>_xll.qlDayCounterYearFraction(DayCounterON,SettlementDate,AF65,,,Trigger)</f>
        <v>0.24931506849315069</v>
      </c>
      <c r="AH65" s="291">
        <f t="shared" si="0"/>
        <v>3.7281964345528941E-3</v>
      </c>
      <c r="AI65" s="291">
        <f t="shared" si="10"/>
        <v>3.587808041613222E-3</v>
      </c>
      <c r="AJ65" s="261" t="e">
        <f t="shared" si="11"/>
        <v>#NUM!</v>
      </c>
    </row>
    <row r="66" spans="10:36" x14ac:dyDescent="0.2">
      <c r="AF66" s="290">
        <f>_xll.qlCalendarAdvance(Calendar,AF65,"1d","mf",,Trigger)</f>
        <v>42037</v>
      </c>
      <c r="AG66" s="301">
        <f>_xll.qlDayCounterYearFraction(DayCounterON,SettlementDate,AF66,,,Trigger)</f>
        <v>0.25753424657534246</v>
      </c>
      <c r="AH66" s="291">
        <f t="shared" si="0"/>
        <v>3.7281964345528941E-3</v>
      </c>
      <c r="AI66" s="291">
        <f t="shared" si="10"/>
        <v>3.5924362303914529E-3</v>
      </c>
      <c r="AJ66" s="261" t="e">
        <f t="shared" si="11"/>
        <v>#NUM!</v>
      </c>
    </row>
    <row r="67" spans="10:36" x14ac:dyDescent="0.2">
      <c r="AF67" s="290">
        <f>_xll.qlCalendarAdvance(Calendar,AF66,"1d","mf",,Trigger)</f>
        <v>42038</v>
      </c>
      <c r="AG67" s="301">
        <f>_xll.qlDayCounterYearFraction(DayCounterON,SettlementDate,AF67,,,Trigger)</f>
        <v>0.26027397260273971</v>
      </c>
      <c r="AH67" s="291">
        <f t="shared" ref="AH67:AH130" si="13">$W$13</f>
        <v>3.7281964345528941E-3</v>
      </c>
      <c r="AI67" s="291">
        <f t="shared" si="10"/>
        <v>3.5939789599841966E-3</v>
      </c>
      <c r="AJ67" s="261" t="e">
        <f t="shared" si="11"/>
        <v>#NUM!</v>
      </c>
    </row>
    <row r="68" spans="10:36" x14ac:dyDescent="0.2">
      <c r="AF68" s="290">
        <f>_xll.qlCalendarAdvance(Calendar,AF67,"1d","mf",,Trigger)</f>
        <v>42039</v>
      </c>
      <c r="AG68" s="301">
        <f>_xll.qlDayCounterYearFraction(DayCounterON,SettlementDate,AF68,,,Trigger)</f>
        <v>0.26301369863013696</v>
      </c>
      <c r="AH68" s="291">
        <f t="shared" si="13"/>
        <v>3.7281964345528941E-3</v>
      </c>
      <c r="AI68" s="291">
        <f t="shared" si="10"/>
        <v>3.5955216895769402E-3</v>
      </c>
      <c r="AJ68" s="261" t="e">
        <f t="shared" si="11"/>
        <v>#NUM!</v>
      </c>
    </row>
    <row r="69" spans="10:36" x14ac:dyDescent="0.2">
      <c r="J69" s="272"/>
      <c r="AF69" s="290">
        <f>_xll.qlCalendarAdvance(Calendar,AF68,"1d","mf",,Trigger)</f>
        <v>42040</v>
      </c>
      <c r="AG69" s="301">
        <f>_xll.qlDayCounterYearFraction(DayCounterON,SettlementDate,AF69,,,Trigger)</f>
        <v>0.26575342465753427</v>
      </c>
      <c r="AH69" s="291">
        <f t="shared" si="13"/>
        <v>3.7281964345528941E-3</v>
      </c>
      <c r="AI69" s="291">
        <f t="shared" si="10"/>
        <v>3.5970644191696838E-3</v>
      </c>
      <c r="AJ69" s="261" t="e">
        <f t="shared" si="11"/>
        <v>#NUM!</v>
      </c>
    </row>
    <row r="70" spans="10:36" x14ac:dyDescent="0.2">
      <c r="J70" s="272"/>
      <c r="AF70" s="290">
        <f>_xll.qlCalendarAdvance(Calendar,AF69,"1d","mf",,Trigger)</f>
        <v>42041</v>
      </c>
      <c r="AG70" s="301">
        <f>_xll.qlDayCounterYearFraction(DayCounterON,SettlementDate,AF70,,,Trigger)</f>
        <v>0.26849315068493151</v>
      </c>
      <c r="AH70" s="291">
        <f t="shared" si="13"/>
        <v>3.7281964345528941E-3</v>
      </c>
      <c r="AI70" s="291">
        <f t="shared" si="10"/>
        <v>3.5986071487624275E-3</v>
      </c>
      <c r="AJ70" s="261" t="e">
        <f t="shared" si="11"/>
        <v>#NUM!</v>
      </c>
    </row>
    <row r="71" spans="10:36" x14ac:dyDescent="0.2">
      <c r="J71" s="272"/>
      <c r="AF71" s="290">
        <f>_xll.qlCalendarAdvance(Calendar,AF70,"1d","mf",,Trigger)</f>
        <v>42044</v>
      </c>
      <c r="AG71" s="301">
        <f>_xll.qlDayCounterYearFraction(DayCounterON,SettlementDate,AF71,,,Trigger)</f>
        <v>0.27671232876712326</v>
      </c>
      <c r="AH71" s="291">
        <f t="shared" si="13"/>
        <v>3.7281964345528941E-3</v>
      </c>
      <c r="AI71" s="291">
        <f t="shared" si="10"/>
        <v>3.6032353375406584E-3</v>
      </c>
      <c r="AJ71" s="261" t="e">
        <f t="shared" si="11"/>
        <v>#NUM!</v>
      </c>
    </row>
    <row r="72" spans="10:36" x14ac:dyDescent="0.2">
      <c r="J72" s="272"/>
      <c r="AF72" s="290">
        <f>_xll.qlCalendarAdvance(Calendar,AF71,"1d","mf",,Trigger)</f>
        <v>42045</v>
      </c>
      <c r="AG72" s="301">
        <f>_xll.qlDayCounterYearFraction(DayCounterON,SettlementDate,AF72,,,Trigger)</f>
        <v>0.27945205479452057</v>
      </c>
      <c r="AH72" s="291">
        <f t="shared" si="13"/>
        <v>3.7281964345528941E-3</v>
      </c>
      <c r="AI72" s="291">
        <f t="shared" si="10"/>
        <v>3.604778067133402E-3</v>
      </c>
      <c r="AJ72" s="261" t="e">
        <f t="shared" si="11"/>
        <v>#NUM!</v>
      </c>
    </row>
    <row r="73" spans="10:36" x14ac:dyDescent="0.2">
      <c r="J73" s="272"/>
      <c r="AF73" s="290">
        <f>_xll.qlCalendarAdvance(Calendar,AF72,"1d","mf",,Trigger)</f>
        <v>42046</v>
      </c>
      <c r="AG73" s="301">
        <f>_xll.qlDayCounterYearFraction(DayCounterON,SettlementDate,AF73,,,Trigger)</f>
        <v>0.28219178082191781</v>
      </c>
      <c r="AH73" s="291">
        <f t="shared" si="13"/>
        <v>3.7281964345528941E-3</v>
      </c>
      <c r="AI73" s="291">
        <f t="shared" si="10"/>
        <v>3.6063207967261457E-3</v>
      </c>
      <c r="AJ73" s="261" t="e">
        <f t="shared" si="11"/>
        <v>#NUM!</v>
      </c>
    </row>
    <row r="74" spans="10:36" x14ac:dyDescent="0.2">
      <c r="J74" s="272"/>
      <c r="AF74" s="290">
        <f>_xll.qlCalendarAdvance(Calendar,AF73,"1d","mf",,Trigger)</f>
        <v>42047</v>
      </c>
      <c r="AG74" s="301">
        <f>_xll.qlDayCounterYearFraction(DayCounterON,SettlementDate,AF74,,,Trigger)</f>
        <v>0.28493150684931506</v>
      </c>
      <c r="AH74" s="291">
        <f t="shared" si="13"/>
        <v>3.7281964345528941E-3</v>
      </c>
      <c r="AI74" s="291">
        <f t="shared" si="10"/>
        <v>3.6078635263188893E-3</v>
      </c>
      <c r="AJ74" s="261" t="e">
        <f t="shared" si="11"/>
        <v>#NUM!</v>
      </c>
    </row>
    <row r="75" spans="10:36" x14ac:dyDescent="0.2">
      <c r="J75" s="272"/>
      <c r="K75" s="272"/>
      <c r="AF75" s="290">
        <f>_xll.qlCalendarAdvance(Calendar,AF74,"1d","mf",,Trigger)</f>
        <v>42048</v>
      </c>
      <c r="AG75" s="301">
        <f>_xll.qlDayCounterYearFraction(DayCounterON,SettlementDate,AF75,,,Trigger)</f>
        <v>0.28767123287671231</v>
      </c>
      <c r="AH75" s="291">
        <f t="shared" si="13"/>
        <v>3.7281964345528941E-3</v>
      </c>
      <c r="AI75" s="291">
        <f t="shared" si="10"/>
        <v>3.6094062559116329E-3</v>
      </c>
      <c r="AJ75" s="261" t="e">
        <f t="shared" si="11"/>
        <v>#NUM!</v>
      </c>
    </row>
    <row r="76" spans="10:36" x14ac:dyDescent="0.2">
      <c r="J76" s="272"/>
      <c r="K76" s="272"/>
      <c r="AF76" s="290">
        <f>_xll.qlCalendarAdvance(Calendar,AF75,"1d","mf",,Trigger)</f>
        <v>42051</v>
      </c>
      <c r="AG76" s="301">
        <f>_xll.qlDayCounterYearFraction(DayCounterON,SettlementDate,AF76,,,Trigger)</f>
        <v>0.29589041095890412</v>
      </c>
      <c r="AH76" s="291">
        <f t="shared" si="13"/>
        <v>3.7281964345528941E-3</v>
      </c>
      <c r="AI76" s="291">
        <f t="shared" si="10"/>
        <v>3.6140344446898638E-3</v>
      </c>
      <c r="AJ76" s="261" t="e">
        <f t="shared" si="11"/>
        <v>#NUM!</v>
      </c>
    </row>
    <row r="77" spans="10:36" x14ac:dyDescent="0.2">
      <c r="J77" s="272"/>
      <c r="K77" s="272"/>
      <c r="AF77" s="290">
        <f>_xll.qlCalendarAdvance(Calendar,AF76,"1d","mf",,Trigger)</f>
        <v>42052</v>
      </c>
      <c r="AG77" s="301">
        <f>_xll.qlDayCounterYearFraction(DayCounterON,SettlementDate,AF77,,,Trigger)</f>
        <v>0.29863013698630136</v>
      </c>
      <c r="AH77" s="291">
        <f t="shared" si="13"/>
        <v>3.7281964345528941E-3</v>
      </c>
      <c r="AI77" s="291">
        <f t="shared" si="10"/>
        <v>3.6155771742826075E-3</v>
      </c>
      <c r="AJ77" s="261" t="e">
        <f t="shared" si="11"/>
        <v>#NUM!</v>
      </c>
    </row>
    <row r="78" spans="10:36" x14ac:dyDescent="0.2">
      <c r="J78" s="272"/>
      <c r="K78" s="272"/>
      <c r="AF78" s="290">
        <f>_xll.qlCalendarAdvance(Calendar,AF77,"1d","mf",,Trigger)</f>
        <v>42053</v>
      </c>
      <c r="AG78" s="301">
        <f>_xll.qlDayCounterYearFraction(DayCounterON,SettlementDate,AF78,,,Trigger)</f>
        <v>0.30136986301369861</v>
      </c>
      <c r="AH78" s="291">
        <f t="shared" si="13"/>
        <v>3.7281964345528941E-3</v>
      </c>
      <c r="AI78" s="291">
        <f t="shared" si="10"/>
        <v>3.6171199038753511E-3</v>
      </c>
      <c r="AJ78" s="261" t="e">
        <f t="shared" si="11"/>
        <v>#NUM!</v>
      </c>
    </row>
    <row r="79" spans="10:36" x14ac:dyDescent="0.2">
      <c r="J79" s="272"/>
      <c r="K79" s="272"/>
      <c r="AF79" s="290">
        <f>_xll.qlCalendarAdvance(Calendar,AF78,"1d","mf",,Trigger)</f>
        <v>42054</v>
      </c>
      <c r="AG79" s="301">
        <f>_xll.qlDayCounterYearFraction(DayCounterON,SettlementDate,AF79,,,Trigger)</f>
        <v>0.30410958904109592</v>
      </c>
      <c r="AH79" s="291">
        <f t="shared" si="13"/>
        <v>3.7281964345528941E-3</v>
      </c>
      <c r="AI79" s="291">
        <f t="shared" si="10"/>
        <v>3.6186626334680947E-3</v>
      </c>
      <c r="AJ79" s="261" t="e">
        <f t="shared" si="11"/>
        <v>#NUM!</v>
      </c>
    </row>
    <row r="80" spans="10:36" x14ac:dyDescent="0.2">
      <c r="J80" s="272"/>
      <c r="K80" s="272"/>
      <c r="AF80" s="290">
        <f>_xll.qlCalendarAdvance(Calendar,AF79,"1d","mf",,Trigger)</f>
        <v>42055</v>
      </c>
      <c r="AG80" s="301">
        <f>_xll.qlDayCounterYearFraction(DayCounterON,SettlementDate,AF80,,,Trigger)</f>
        <v>0.30684931506849317</v>
      </c>
      <c r="AH80" s="291">
        <f t="shared" si="13"/>
        <v>3.7281964345528941E-3</v>
      </c>
      <c r="AI80" s="291">
        <f t="shared" si="10"/>
        <v>3.6202053630608384E-3</v>
      </c>
      <c r="AJ80" s="261" t="e">
        <f t="shared" si="11"/>
        <v>#NUM!</v>
      </c>
    </row>
    <row r="81" spans="10:36" x14ac:dyDescent="0.2">
      <c r="J81" s="272"/>
      <c r="K81" s="272"/>
      <c r="AF81" s="290">
        <f>_xll.qlCalendarAdvance(Calendar,AF80,"1d","mf",,Trigger)</f>
        <v>42058</v>
      </c>
      <c r="AG81" s="301">
        <f>_xll.qlDayCounterYearFraction(DayCounterON,SettlementDate,AF81,,,Trigger)</f>
        <v>0.31506849315068491</v>
      </c>
      <c r="AH81" s="291">
        <f t="shared" si="13"/>
        <v>3.7281964345528941E-3</v>
      </c>
      <c r="AI81" s="291">
        <f t="shared" si="10"/>
        <v>3.6248335518390693E-3</v>
      </c>
      <c r="AJ81" s="261" t="e">
        <f t="shared" si="11"/>
        <v>#NUM!</v>
      </c>
    </row>
    <row r="82" spans="10:36" x14ac:dyDescent="0.2">
      <c r="J82" s="272"/>
      <c r="K82" s="272"/>
      <c r="AF82" s="290">
        <f>_xll.qlCalendarAdvance(Calendar,AF81,"1d","mf",,Trigger)</f>
        <v>42059</v>
      </c>
      <c r="AG82" s="301">
        <f>_xll.qlDayCounterYearFraction(DayCounterON,SettlementDate,AF82,,,Trigger)</f>
        <v>0.31780821917808222</v>
      </c>
      <c r="AH82" s="291">
        <f t="shared" si="13"/>
        <v>3.7281964345528941E-3</v>
      </c>
      <c r="AI82" s="291">
        <f t="shared" si="10"/>
        <v>3.6263762814318129E-3</v>
      </c>
      <c r="AJ82" s="261" t="e">
        <f t="shared" si="11"/>
        <v>#NUM!</v>
      </c>
    </row>
    <row r="83" spans="10:36" x14ac:dyDescent="0.2">
      <c r="J83" s="272"/>
      <c r="K83" s="272"/>
      <c r="AF83" s="290">
        <f>_xll.qlCalendarAdvance(Calendar,AF82,"1d","mf",,Trigger)</f>
        <v>42060</v>
      </c>
      <c r="AG83" s="301">
        <f>_xll.qlDayCounterYearFraction(DayCounterON,SettlementDate,AF83,,,Trigger)</f>
        <v>0.32054794520547947</v>
      </c>
      <c r="AH83" s="291">
        <f t="shared" si="13"/>
        <v>3.7281964345528941E-3</v>
      </c>
      <c r="AI83" s="291">
        <f t="shared" si="10"/>
        <v>3.6279190110245566E-3</v>
      </c>
      <c r="AJ83" s="261" t="e">
        <f t="shared" si="11"/>
        <v>#NUM!</v>
      </c>
    </row>
    <row r="84" spans="10:36" x14ac:dyDescent="0.2">
      <c r="J84" s="272"/>
      <c r="K84" s="272"/>
      <c r="AF84" s="290">
        <f>_xll.qlCalendarAdvance(Calendar,AF83,"1d","mf",,Trigger)</f>
        <v>42061</v>
      </c>
      <c r="AG84" s="301">
        <f>_xll.qlDayCounterYearFraction(DayCounterON,SettlementDate,AF84,,,Trigger)</f>
        <v>0.32328767123287672</v>
      </c>
      <c r="AH84" s="291">
        <f t="shared" si="13"/>
        <v>3.7281964345528941E-3</v>
      </c>
      <c r="AI84" s="291">
        <f t="shared" si="10"/>
        <v>3.6294617406173002E-3</v>
      </c>
      <c r="AJ84" s="261" t="e">
        <f t="shared" si="11"/>
        <v>#NUM!</v>
      </c>
    </row>
    <row r="85" spans="10:36" x14ac:dyDescent="0.2">
      <c r="J85" s="272"/>
      <c r="K85" s="272"/>
      <c r="AF85" s="290">
        <f>_xll.qlCalendarAdvance(Calendar,AF84,"1d","mf",,Trigger)</f>
        <v>42062</v>
      </c>
      <c r="AG85" s="301">
        <f>_xll.qlDayCounterYearFraction(DayCounterON,SettlementDate,AF85,,,Trigger)</f>
        <v>0.32602739726027397</v>
      </c>
      <c r="AH85" s="291">
        <f t="shared" si="13"/>
        <v>3.7281964345528941E-3</v>
      </c>
      <c r="AI85" s="291">
        <f t="shared" si="10"/>
        <v>3.6310044702100438E-3</v>
      </c>
      <c r="AJ85" s="261" t="e">
        <f t="shared" si="11"/>
        <v>#NUM!</v>
      </c>
    </row>
    <row r="86" spans="10:36" x14ac:dyDescent="0.2">
      <c r="J86" s="272"/>
      <c r="K86" s="272"/>
      <c r="AF86" s="290">
        <f>_xll.qlCalendarAdvance(Calendar,AF85,"1d","mf",,Trigger)</f>
        <v>42065</v>
      </c>
      <c r="AG86" s="301">
        <f>_xll.qlDayCounterYearFraction(DayCounterON,SettlementDate,AF86,,,Trigger)</f>
        <v>0.33424657534246577</v>
      </c>
      <c r="AH86" s="291">
        <f t="shared" si="13"/>
        <v>3.7281964345528941E-3</v>
      </c>
      <c r="AI86" s="291">
        <f t="shared" si="10"/>
        <v>3.6356326589882747E-3</v>
      </c>
      <c r="AJ86" s="261" t="e">
        <f t="shared" si="11"/>
        <v>#NUM!</v>
      </c>
    </row>
    <row r="87" spans="10:36" x14ac:dyDescent="0.2">
      <c r="J87" s="272"/>
      <c r="K87" s="272"/>
      <c r="AF87" s="290">
        <f>_xll.qlCalendarAdvance(Calendar,AF86,"1d","mf",,Trigger)</f>
        <v>42066</v>
      </c>
      <c r="AG87" s="301">
        <f>_xll.qlDayCounterYearFraction(DayCounterON,SettlementDate,AF87,,,Trigger)</f>
        <v>0.33698630136986302</v>
      </c>
      <c r="AH87" s="291">
        <f t="shared" si="13"/>
        <v>3.7281964345528941E-3</v>
      </c>
      <c r="AI87" s="291">
        <f t="shared" si="10"/>
        <v>3.6371753885810184E-3</v>
      </c>
      <c r="AJ87" s="261" t="e">
        <f t="shared" si="11"/>
        <v>#NUM!</v>
      </c>
    </row>
    <row r="88" spans="10:36" x14ac:dyDescent="0.2">
      <c r="J88" s="272"/>
      <c r="K88" s="272"/>
      <c r="AF88" s="290">
        <f>_xll.qlCalendarAdvance(Calendar,AF87,"1d","mf",,Trigger)</f>
        <v>42067</v>
      </c>
      <c r="AG88" s="301">
        <f>_xll.qlDayCounterYearFraction(DayCounterON,SettlementDate,AF88,,,Trigger)</f>
        <v>0.33972602739726027</v>
      </c>
      <c r="AH88" s="291">
        <f t="shared" si="13"/>
        <v>3.7281964345528941E-3</v>
      </c>
      <c r="AI88" s="291">
        <f t="shared" si="10"/>
        <v>3.638718118173762E-3</v>
      </c>
      <c r="AJ88" s="261" t="e">
        <f t="shared" si="11"/>
        <v>#NUM!</v>
      </c>
    </row>
    <row r="89" spans="10:36" x14ac:dyDescent="0.2">
      <c r="J89" s="272"/>
      <c r="K89" s="272"/>
      <c r="AF89" s="290">
        <f>_xll.qlCalendarAdvance(Calendar,AF88,"1d","mf",,Trigger)</f>
        <v>42068</v>
      </c>
      <c r="AG89" s="301">
        <f>_xll.qlDayCounterYearFraction(DayCounterON,SettlementDate,AF89,,,Trigger)</f>
        <v>0.34246575342465752</v>
      </c>
      <c r="AH89" s="291">
        <f t="shared" si="13"/>
        <v>3.7281964345528941E-3</v>
      </c>
      <c r="AI89" s="291">
        <f t="shared" ref="AI89:AI139" si="14">$W$10+$W$9*AG89</f>
        <v>3.6402608477665056E-3</v>
      </c>
      <c r="AJ89" s="261" t="e">
        <f t="shared" ref="AJ89:AJ139" si="15">($W$5+$W$4*AG89+$W$3*AG89^2)</f>
        <v>#NUM!</v>
      </c>
    </row>
    <row r="90" spans="10:36" x14ac:dyDescent="0.2">
      <c r="J90" s="272"/>
      <c r="K90" s="272"/>
      <c r="AF90" s="290">
        <f>_xll.qlCalendarAdvance(Calendar,AF89,"1d","mf",,Trigger)</f>
        <v>42069</v>
      </c>
      <c r="AG90" s="301">
        <f>_xll.qlDayCounterYearFraction(DayCounterON,SettlementDate,AF90,,,Trigger)</f>
        <v>0.34520547945205482</v>
      </c>
      <c r="AH90" s="291">
        <f t="shared" si="13"/>
        <v>3.7281964345528941E-3</v>
      </c>
      <c r="AI90" s="291">
        <f t="shared" si="14"/>
        <v>3.6418035773592493E-3</v>
      </c>
      <c r="AJ90" s="261" t="e">
        <f t="shared" si="15"/>
        <v>#NUM!</v>
      </c>
    </row>
    <row r="91" spans="10:36" x14ac:dyDescent="0.2">
      <c r="J91" s="272"/>
      <c r="K91" s="272"/>
      <c r="AF91" s="290">
        <f>_xll.qlCalendarAdvance(Calendar,AF90,"1d","mf",,Trigger)</f>
        <v>42072</v>
      </c>
      <c r="AG91" s="301">
        <f>_xll.qlDayCounterYearFraction(DayCounterON,SettlementDate,AF91,,,Trigger)</f>
        <v>0.35342465753424657</v>
      </c>
      <c r="AH91" s="291">
        <f t="shared" si="13"/>
        <v>3.7281964345528941E-3</v>
      </c>
      <c r="AI91" s="291">
        <f t="shared" si="14"/>
        <v>3.6464317661374802E-3</v>
      </c>
      <c r="AJ91" s="261" t="e">
        <f t="shared" si="15"/>
        <v>#NUM!</v>
      </c>
    </row>
    <row r="92" spans="10:36" x14ac:dyDescent="0.2">
      <c r="J92" s="272"/>
      <c r="K92" s="272"/>
      <c r="AF92" s="290">
        <f>_xll.qlCalendarAdvance(Calendar,AF91,"1d","mf",,Trigger)</f>
        <v>42073</v>
      </c>
      <c r="AG92" s="301">
        <f>_xll.qlDayCounterYearFraction(DayCounterON,SettlementDate,AF92,,,Trigger)</f>
        <v>0.35616438356164382</v>
      </c>
      <c r="AH92" s="291">
        <f t="shared" si="13"/>
        <v>3.7281964345528941E-3</v>
      </c>
      <c r="AI92" s="291">
        <f t="shared" si="14"/>
        <v>3.6479744957302238E-3</v>
      </c>
      <c r="AJ92" s="261" t="e">
        <f t="shared" si="15"/>
        <v>#NUM!</v>
      </c>
    </row>
    <row r="93" spans="10:36" x14ac:dyDescent="0.2">
      <c r="J93" s="272"/>
      <c r="K93" s="272"/>
      <c r="AF93" s="290">
        <f>_xll.qlCalendarAdvance(Calendar,AF92,"1d","mf",,Trigger)</f>
        <v>42074</v>
      </c>
      <c r="AG93" s="301">
        <f>_xll.qlDayCounterYearFraction(DayCounterON,SettlementDate,AF93,,,Trigger)</f>
        <v>0.35890410958904112</v>
      </c>
      <c r="AH93" s="291">
        <f t="shared" si="13"/>
        <v>3.7281964345528941E-3</v>
      </c>
      <c r="AI93" s="291">
        <f t="shared" si="14"/>
        <v>3.6495172253229674E-3</v>
      </c>
      <c r="AJ93" s="261" t="e">
        <f t="shared" si="15"/>
        <v>#NUM!</v>
      </c>
    </row>
    <row r="94" spans="10:36" x14ac:dyDescent="0.2">
      <c r="J94" s="272"/>
      <c r="K94" s="272"/>
      <c r="AF94" s="290">
        <f>_xll.qlCalendarAdvance(Calendar,AF93,"1d","mf",,Trigger)</f>
        <v>42075</v>
      </c>
      <c r="AG94" s="301">
        <f>_xll.qlDayCounterYearFraction(DayCounterON,SettlementDate,AF94,,,Trigger)</f>
        <v>0.36164383561643837</v>
      </c>
      <c r="AH94" s="291">
        <f t="shared" si="13"/>
        <v>3.7281964345528941E-3</v>
      </c>
      <c r="AI94" s="291">
        <f t="shared" si="14"/>
        <v>3.6510599549157111E-3</v>
      </c>
      <c r="AJ94" s="261" t="e">
        <f t="shared" si="15"/>
        <v>#NUM!</v>
      </c>
    </row>
    <row r="95" spans="10:36" x14ac:dyDescent="0.2">
      <c r="J95" s="272"/>
      <c r="K95" s="272"/>
      <c r="AF95" s="290">
        <f>_xll.qlCalendarAdvance(Calendar,AF94,"1d","mf",,Trigger)</f>
        <v>42076</v>
      </c>
      <c r="AG95" s="301">
        <f>_xll.qlDayCounterYearFraction(DayCounterON,SettlementDate,AF95,,,Trigger)</f>
        <v>0.36438356164383562</v>
      </c>
      <c r="AH95" s="291">
        <f t="shared" si="13"/>
        <v>3.7281964345528941E-3</v>
      </c>
      <c r="AI95" s="291">
        <f t="shared" si="14"/>
        <v>3.6526026845084547E-3</v>
      </c>
      <c r="AJ95" s="261" t="e">
        <f t="shared" si="15"/>
        <v>#NUM!</v>
      </c>
    </row>
    <row r="96" spans="10:36" x14ac:dyDescent="0.2">
      <c r="J96" s="272"/>
      <c r="K96" s="272"/>
      <c r="AF96" s="290">
        <f>_xll.qlCalendarAdvance(Calendar,AF95,"1d","mf",,Trigger)</f>
        <v>42079</v>
      </c>
      <c r="AG96" s="301">
        <f>_xll.qlDayCounterYearFraction(DayCounterON,SettlementDate,AF96,,,Trigger)</f>
        <v>0.37260273972602742</v>
      </c>
      <c r="AH96" s="291">
        <f t="shared" si="13"/>
        <v>3.7281964345528941E-3</v>
      </c>
      <c r="AI96" s="291">
        <f t="shared" si="14"/>
        <v>3.6572308732866856E-3</v>
      </c>
      <c r="AJ96" s="261" t="e">
        <f t="shared" si="15"/>
        <v>#NUM!</v>
      </c>
    </row>
    <row r="97" spans="10:36" x14ac:dyDescent="0.2">
      <c r="J97" s="272"/>
      <c r="K97" s="272"/>
      <c r="AF97" s="290">
        <f>_xll.qlCalendarAdvance(Calendar,AF96,"1d","mf",,Trigger)</f>
        <v>42080</v>
      </c>
      <c r="AG97" s="301">
        <f>_xll.qlDayCounterYearFraction(DayCounterON,SettlementDate,AF97,,,Trigger)</f>
        <v>0.37534246575342467</v>
      </c>
      <c r="AH97" s="291">
        <f t="shared" si="13"/>
        <v>3.7281964345528941E-3</v>
      </c>
      <c r="AI97" s="291">
        <f t="shared" si="14"/>
        <v>3.6587736028794293E-3</v>
      </c>
      <c r="AJ97" s="261" t="e">
        <f t="shared" si="15"/>
        <v>#NUM!</v>
      </c>
    </row>
    <row r="98" spans="10:36" x14ac:dyDescent="0.2">
      <c r="J98" s="272"/>
      <c r="K98" s="272"/>
      <c r="AF98" s="290">
        <f>_xll.qlCalendarAdvance(Calendar,AF97,"1d","mf",,Trigger)</f>
        <v>42081</v>
      </c>
      <c r="AG98" s="301">
        <f>_xll.qlDayCounterYearFraction(DayCounterON,SettlementDate,AF98,,,Trigger)</f>
        <v>0.37808219178082192</v>
      </c>
      <c r="AH98" s="291">
        <f t="shared" si="13"/>
        <v>3.7281964345528941E-3</v>
      </c>
      <c r="AI98" s="291">
        <f t="shared" si="14"/>
        <v>3.6603163324721729E-3</v>
      </c>
      <c r="AJ98" s="261" t="e">
        <f t="shared" si="15"/>
        <v>#NUM!</v>
      </c>
    </row>
    <row r="99" spans="10:36" x14ac:dyDescent="0.2">
      <c r="J99" s="272"/>
      <c r="K99" s="272"/>
      <c r="AF99" s="290">
        <f>_xll.qlCalendarAdvance(Calendar,AF98,"1d","mf",,Trigger)</f>
        <v>42082</v>
      </c>
      <c r="AG99" s="301">
        <f>_xll.qlDayCounterYearFraction(DayCounterON,SettlementDate,AF99,,,Trigger)</f>
        <v>0.38082191780821917</v>
      </c>
      <c r="AH99" s="291">
        <f t="shared" si="13"/>
        <v>3.7281964345528941E-3</v>
      </c>
      <c r="AI99" s="291">
        <f t="shared" si="14"/>
        <v>3.6618590620649165E-3</v>
      </c>
      <c r="AJ99" s="261" t="e">
        <f t="shared" si="15"/>
        <v>#NUM!</v>
      </c>
    </row>
    <row r="100" spans="10:36" x14ac:dyDescent="0.2">
      <c r="J100" s="272"/>
      <c r="K100" s="272"/>
      <c r="AF100" s="290">
        <f>_xll.qlCalendarAdvance(Calendar,AF99,"1d","mf",,Trigger)</f>
        <v>42083</v>
      </c>
      <c r="AG100" s="301">
        <f>_xll.qlDayCounterYearFraction(DayCounterON,SettlementDate,AF100,,,Trigger)</f>
        <v>0.38356164383561642</v>
      </c>
      <c r="AH100" s="291">
        <f t="shared" si="13"/>
        <v>3.7281964345528941E-3</v>
      </c>
      <c r="AI100" s="291">
        <f t="shared" si="14"/>
        <v>3.6634017916576602E-3</v>
      </c>
      <c r="AJ100" s="261" t="e">
        <f t="shared" si="15"/>
        <v>#NUM!</v>
      </c>
    </row>
    <row r="101" spans="10:36" x14ac:dyDescent="0.2">
      <c r="J101" s="272"/>
      <c r="K101" s="272"/>
      <c r="AF101" s="290">
        <f>_xll.qlCalendarAdvance(Calendar,AF100,"1d","mf",,Trigger)</f>
        <v>42086</v>
      </c>
      <c r="AG101" s="301">
        <f>_xll.qlDayCounterYearFraction(DayCounterON,SettlementDate,AF101,,,Trigger)</f>
        <v>0.39178082191780822</v>
      </c>
      <c r="AH101" s="291">
        <f t="shared" si="13"/>
        <v>3.7281964345528941E-3</v>
      </c>
      <c r="AI101" s="291">
        <f t="shared" si="14"/>
        <v>3.6680299804358911E-3</v>
      </c>
      <c r="AJ101" s="261" t="e">
        <f t="shared" si="15"/>
        <v>#NUM!</v>
      </c>
    </row>
    <row r="102" spans="10:36" x14ac:dyDescent="0.2">
      <c r="J102" s="272"/>
      <c r="K102" s="272"/>
      <c r="AF102" s="290">
        <f>_xll.qlCalendarAdvance(Calendar,AF101,"1d","mf",,Trigger)</f>
        <v>42087</v>
      </c>
      <c r="AG102" s="301">
        <f>_xll.qlDayCounterYearFraction(DayCounterON,SettlementDate,AF102,,,Trigger)</f>
        <v>0.39452054794520547</v>
      </c>
      <c r="AH102" s="291">
        <f t="shared" si="13"/>
        <v>3.7281964345528941E-3</v>
      </c>
      <c r="AI102" s="291">
        <f t="shared" si="14"/>
        <v>3.6695727100286347E-3</v>
      </c>
      <c r="AJ102" s="261" t="e">
        <f t="shared" si="15"/>
        <v>#NUM!</v>
      </c>
    </row>
    <row r="103" spans="10:36" x14ac:dyDescent="0.2">
      <c r="J103" s="272"/>
      <c r="K103" s="272"/>
      <c r="AF103" s="290">
        <f>_xll.qlCalendarAdvance(Calendar,AF102,"1d","mf",,Trigger)</f>
        <v>42088</v>
      </c>
      <c r="AG103" s="301">
        <f>_xll.qlDayCounterYearFraction(DayCounterON,SettlementDate,AF103,,,Trigger)</f>
        <v>0.39726027397260272</v>
      </c>
      <c r="AH103" s="291">
        <f t="shared" si="13"/>
        <v>3.7281964345528941E-3</v>
      </c>
      <c r="AI103" s="291">
        <f t="shared" si="14"/>
        <v>3.6711154396213783E-3</v>
      </c>
      <c r="AJ103" s="261" t="e">
        <f t="shared" si="15"/>
        <v>#NUM!</v>
      </c>
    </row>
    <row r="104" spans="10:36" x14ac:dyDescent="0.2">
      <c r="J104" s="272"/>
      <c r="K104" s="272"/>
      <c r="AF104" s="290">
        <f>_xll.qlCalendarAdvance(Calendar,AF103,"1d","mf",,Trigger)</f>
        <v>42089</v>
      </c>
      <c r="AG104" s="301">
        <f>_xll.qlDayCounterYearFraction(DayCounterON,SettlementDate,AF104,,,Trigger)</f>
        <v>0.4</v>
      </c>
      <c r="AH104" s="291">
        <f t="shared" si="13"/>
        <v>3.7281964345528941E-3</v>
      </c>
      <c r="AI104" s="291">
        <f t="shared" si="14"/>
        <v>3.672658169214122E-3</v>
      </c>
      <c r="AJ104" s="261" t="e">
        <f t="shared" si="15"/>
        <v>#NUM!</v>
      </c>
    </row>
    <row r="105" spans="10:36" x14ac:dyDescent="0.2">
      <c r="J105" s="272"/>
      <c r="K105" s="272"/>
      <c r="AF105" s="290">
        <f>_xll.qlCalendarAdvance(Calendar,AF104,"1d","mf",,Trigger)</f>
        <v>42090</v>
      </c>
      <c r="AG105" s="301">
        <f>_xll.qlDayCounterYearFraction(DayCounterON,SettlementDate,AF105,,,Trigger)</f>
        <v>0.40273972602739727</v>
      </c>
      <c r="AH105" s="291">
        <f t="shared" si="13"/>
        <v>3.7281964345528941E-3</v>
      </c>
      <c r="AI105" s="291">
        <f t="shared" si="14"/>
        <v>3.6742008988068656E-3</v>
      </c>
      <c r="AJ105" s="261" t="e">
        <f t="shared" si="15"/>
        <v>#NUM!</v>
      </c>
    </row>
    <row r="106" spans="10:36" x14ac:dyDescent="0.2">
      <c r="J106" s="272"/>
      <c r="K106" s="272"/>
      <c r="AF106" s="290">
        <f>_xll.qlCalendarAdvance(Calendar,AF105,"1d","mf",,Trigger)</f>
        <v>42093</v>
      </c>
      <c r="AG106" s="301">
        <f>_xll.qlDayCounterYearFraction(DayCounterON,SettlementDate,AF106,,,Trigger)</f>
        <v>0.41095890410958902</v>
      </c>
      <c r="AH106" s="291">
        <f t="shared" si="13"/>
        <v>3.7281964345528941E-3</v>
      </c>
      <c r="AI106" s="291">
        <f t="shared" si="14"/>
        <v>3.6788290875850965E-3</v>
      </c>
      <c r="AJ106" s="261" t="e">
        <f t="shared" si="15"/>
        <v>#NUM!</v>
      </c>
    </row>
    <row r="107" spans="10:36" x14ac:dyDescent="0.2">
      <c r="J107" s="272"/>
      <c r="K107" s="272"/>
      <c r="AF107" s="290">
        <f>_xll.qlCalendarAdvance(Calendar,AF106,"1d","mf",,Trigger)</f>
        <v>42094</v>
      </c>
      <c r="AG107" s="301">
        <f>_xll.qlDayCounterYearFraction(DayCounterON,SettlementDate,AF107,,,Trigger)</f>
        <v>0.41369863013698632</v>
      </c>
      <c r="AH107" s="291">
        <f t="shared" si="13"/>
        <v>3.7281964345528941E-3</v>
      </c>
      <c r="AI107" s="291">
        <f t="shared" si="14"/>
        <v>3.6803718171778401E-3</v>
      </c>
      <c r="AJ107" s="261" t="e">
        <f t="shared" si="15"/>
        <v>#NUM!</v>
      </c>
    </row>
    <row r="108" spans="10:36" x14ac:dyDescent="0.2">
      <c r="J108" s="272"/>
      <c r="K108" s="272"/>
      <c r="AF108" s="290">
        <f>_xll.qlCalendarAdvance(Calendar,AF107,"1d","mf",,Trigger)</f>
        <v>42095</v>
      </c>
      <c r="AG108" s="301">
        <f>_xll.qlDayCounterYearFraction(DayCounterON,SettlementDate,AF108,,,Trigger)</f>
        <v>0.41643835616438357</v>
      </c>
      <c r="AH108" s="291">
        <f t="shared" si="13"/>
        <v>3.7281964345528941E-3</v>
      </c>
      <c r="AI108" s="291">
        <f t="shared" si="14"/>
        <v>3.6819145467705838E-3</v>
      </c>
      <c r="AJ108" s="261" t="e">
        <f t="shared" si="15"/>
        <v>#NUM!</v>
      </c>
    </row>
    <row r="109" spans="10:36" x14ac:dyDescent="0.2">
      <c r="J109" s="272"/>
      <c r="K109" s="272"/>
      <c r="AF109" s="290">
        <f>_xll.qlCalendarAdvance(Calendar,AF108,"1d","mf",,Trigger)</f>
        <v>42096</v>
      </c>
      <c r="AG109" s="301">
        <f>_xll.qlDayCounterYearFraction(DayCounterON,SettlementDate,AF109,,,Trigger)</f>
        <v>0.41917808219178082</v>
      </c>
      <c r="AH109" s="291">
        <f t="shared" si="13"/>
        <v>3.7281964345528941E-3</v>
      </c>
      <c r="AI109" s="291">
        <f t="shared" si="14"/>
        <v>3.6834572763633274E-3</v>
      </c>
      <c r="AJ109" s="261" t="e">
        <f t="shared" si="15"/>
        <v>#NUM!</v>
      </c>
    </row>
    <row r="110" spans="10:36" x14ac:dyDescent="0.2">
      <c r="J110" s="272"/>
      <c r="K110" s="272"/>
      <c r="AF110" s="290">
        <f>_xll.qlCalendarAdvance(Calendar,AF109,"1d","mf",,Trigger)</f>
        <v>42101</v>
      </c>
      <c r="AG110" s="301">
        <f>_xll.qlDayCounterYearFraction(DayCounterON,SettlementDate,AF110,,,Trigger)</f>
        <v>0.43287671232876712</v>
      </c>
      <c r="AH110" s="291">
        <f t="shared" si="13"/>
        <v>3.7281964345528941E-3</v>
      </c>
      <c r="AI110" s="291">
        <f t="shared" si="14"/>
        <v>3.6911709243270456E-3</v>
      </c>
      <c r="AJ110" s="261" t="e">
        <f t="shared" si="15"/>
        <v>#NUM!</v>
      </c>
    </row>
    <row r="111" spans="10:36" x14ac:dyDescent="0.2">
      <c r="J111" s="272"/>
      <c r="K111" s="272"/>
      <c r="AF111" s="290">
        <f>_xll.qlCalendarAdvance(Calendar,AF110,"1d","mf",,Trigger)</f>
        <v>42102</v>
      </c>
      <c r="AG111" s="301">
        <f>_xll.qlDayCounterYearFraction(DayCounterON,SettlementDate,AF111,,,Trigger)</f>
        <v>0.43561643835616437</v>
      </c>
      <c r="AH111" s="291">
        <f t="shared" si="13"/>
        <v>3.7281964345528941E-3</v>
      </c>
      <c r="AI111" s="291">
        <f t="shared" si="14"/>
        <v>3.6927136539197892E-3</v>
      </c>
      <c r="AJ111" s="261" t="e">
        <f t="shared" si="15"/>
        <v>#NUM!</v>
      </c>
    </row>
    <row r="112" spans="10:36" x14ac:dyDescent="0.2">
      <c r="J112" s="272"/>
      <c r="K112" s="272"/>
      <c r="AF112" s="290">
        <f>_xll.qlCalendarAdvance(Calendar,AF111,"1d","mf",,Trigger)</f>
        <v>42103</v>
      </c>
      <c r="AG112" s="301">
        <f>_xll.qlDayCounterYearFraction(DayCounterON,SettlementDate,AF112,,,Trigger)</f>
        <v>0.43835616438356162</v>
      </c>
      <c r="AH112" s="291">
        <f t="shared" si="13"/>
        <v>3.7281964345528941E-3</v>
      </c>
      <c r="AI112" s="291">
        <f t="shared" si="14"/>
        <v>3.6942563835125329E-3</v>
      </c>
      <c r="AJ112" s="261" t="e">
        <f t="shared" si="15"/>
        <v>#NUM!</v>
      </c>
    </row>
    <row r="113" spans="10:36" x14ac:dyDescent="0.2">
      <c r="J113" s="272"/>
      <c r="K113" s="272"/>
      <c r="AF113" s="290">
        <f>_xll.qlCalendarAdvance(Calendar,AF112,"1d","mf",,Trigger)</f>
        <v>42104</v>
      </c>
      <c r="AG113" s="301">
        <f>_xll.qlDayCounterYearFraction(DayCounterON,SettlementDate,AF113,,,Trigger)</f>
        <v>0.44109589041095892</v>
      </c>
      <c r="AH113" s="291">
        <f t="shared" si="13"/>
        <v>3.7281964345528941E-3</v>
      </c>
      <c r="AI113" s="291">
        <f t="shared" si="14"/>
        <v>3.6957991131052765E-3</v>
      </c>
      <c r="AJ113" s="261" t="e">
        <f t="shared" si="15"/>
        <v>#NUM!</v>
      </c>
    </row>
    <row r="114" spans="10:36" x14ac:dyDescent="0.2">
      <c r="J114" s="272"/>
      <c r="K114" s="272"/>
      <c r="AF114" s="290">
        <f>_xll.qlCalendarAdvance(Calendar,AF113,"1d","mf",,Trigger)</f>
        <v>42107</v>
      </c>
      <c r="AG114" s="301">
        <f>_xll.qlDayCounterYearFraction(DayCounterON,SettlementDate,AF114,,,Trigger)</f>
        <v>0.44931506849315067</v>
      </c>
      <c r="AH114" s="291">
        <f t="shared" si="13"/>
        <v>3.7281964345528941E-3</v>
      </c>
      <c r="AI114" s="291">
        <f t="shared" si="14"/>
        <v>3.7004273018835074E-3</v>
      </c>
      <c r="AJ114" s="261" t="e">
        <f t="shared" si="15"/>
        <v>#NUM!</v>
      </c>
    </row>
    <row r="115" spans="10:36" x14ac:dyDescent="0.2">
      <c r="J115" s="272"/>
      <c r="K115" s="272"/>
      <c r="AF115" s="290">
        <f>_xll.qlCalendarAdvance(Calendar,AF114,"1d","mf",,Trigger)</f>
        <v>42108</v>
      </c>
      <c r="AG115" s="301">
        <f>_xll.qlDayCounterYearFraction(DayCounterON,SettlementDate,AF115,,,Trigger)</f>
        <v>0.45205479452054792</v>
      </c>
      <c r="AH115" s="291">
        <f t="shared" si="13"/>
        <v>3.7281964345528941E-3</v>
      </c>
      <c r="AI115" s="291">
        <f t="shared" si="14"/>
        <v>3.701970031476251E-3</v>
      </c>
      <c r="AJ115" s="261" t="e">
        <f t="shared" si="15"/>
        <v>#NUM!</v>
      </c>
    </row>
    <row r="116" spans="10:36" x14ac:dyDescent="0.2">
      <c r="J116" s="272"/>
      <c r="K116" s="272"/>
      <c r="AF116" s="290">
        <f>_xll.qlCalendarAdvance(Calendar,AF115,"1d","mf",,Trigger)</f>
        <v>42109</v>
      </c>
      <c r="AG116" s="301">
        <f>_xll.qlDayCounterYearFraction(DayCounterON,SettlementDate,AF116,,,Trigger)</f>
        <v>0.45479452054794522</v>
      </c>
      <c r="AH116" s="291">
        <f t="shared" si="13"/>
        <v>3.7281964345528941E-3</v>
      </c>
      <c r="AI116" s="291">
        <f t="shared" si="14"/>
        <v>3.7035127610689947E-3</v>
      </c>
      <c r="AJ116" s="261" t="e">
        <f t="shared" si="15"/>
        <v>#NUM!</v>
      </c>
    </row>
    <row r="117" spans="10:36" x14ac:dyDescent="0.2">
      <c r="J117" s="272"/>
      <c r="K117" s="272"/>
      <c r="AF117" s="290">
        <f>_xll.qlCalendarAdvance(Calendar,AF116,"1d","mf",,Trigger)</f>
        <v>42110</v>
      </c>
      <c r="AG117" s="301">
        <f>_xll.qlDayCounterYearFraction(DayCounterON,SettlementDate,AF117,,,Trigger)</f>
        <v>0.45753424657534247</v>
      </c>
      <c r="AH117" s="291">
        <f t="shared" si="13"/>
        <v>3.7281964345528941E-3</v>
      </c>
      <c r="AI117" s="291">
        <f t="shared" si="14"/>
        <v>3.7050554906617383E-3</v>
      </c>
      <c r="AJ117" s="261" t="e">
        <f t="shared" si="15"/>
        <v>#NUM!</v>
      </c>
    </row>
    <row r="118" spans="10:36" x14ac:dyDescent="0.2">
      <c r="J118" s="272"/>
      <c r="K118" s="272"/>
      <c r="AF118" s="290">
        <f>_xll.qlCalendarAdvance(Calendar,AF117,"1d","mf",,Trigger)</f>
        <v>42111</v>
      </c>
      <c r="AG118" s="301">
        <f>_xll.qlDayCounterYearFraction(DayCounterON,SettlementDate,AF118,,,Trigger)</f>
        <v>0.46027397260273972</v>
      </c>
      <c r="AH118" s="291">
        <f t="shared" si="13"/>
        <v>3.7281964345528941E-3</v>
      </c>
      <c r="AI118" s="291">
        <f t="shared" si="14"/>
        <v>3.7065982202544819E-3</v>
      </c>
      <c r="AJ118" s="261" t="e">
        <f t="shared" si="15"/>
        <v>#NUM!</v>
      </c>
    </row>
    <row r="119" spans="10:36" x14ac:dyDescent="0.2">
      <c r="J119" s="272"/>
      <c r="K119" s="272"/>
      <c r="AF119" s="290">
        <f>_xll.qlCalendarAdvance(Calendar,AF118,"1d","mf",,Trigger)</f>
        <v>42114</v>
      </c>
      <c r="AG119" s="301">
        <f>_xll.qlDayCounterYearFraction(DayCounterON,SettlementDate,AF119,,,Trigger)</f>
        <v>0.46849315068493153</v>
      </c>
      <c r="AH119" s="291">
        <f t="shared" si="13"/>
        <v>3.7281964345528941E-3</v>
      </c>
      <c r="AI119" s="291">
        <f t="shared" si="14"/>
        <v>3.7112264090327128E-3</v>
      </c>
      <c r="AJ119" s="261" t="e">
        <f t="shared" si="15"/>
        <v>#NUM!</v>
      </c>
    </row>
    <row r="120" spans="10:36" x14ac:dyDescent="0.2">
      <c r="J120" s="272"/>
      <c r="K120" s="272"/>
      <c r="AF120" s="290">
        <f>_xll.qlCalendarAdvance(Calendar,AF119,"1d","mf",,Trigger)</f>
        <v>42115</v>
      </c>
      <c r="AG120" s="301">
        <f>_xll.qlDayCounterYearFraction(DayCounterON,SettlementDate,AF120,,,Trigger)</f>
        <v>0.47123287671232877</v>
      </c>
      <c r="AH120" s="291">
        <f t="shared" si="13"/>
        <v>3.7281964345528941E-3</v>
      </c>
      <c r="AI120" s="291">
        <f t="shared" si="14"/>
        <v>3.7127691386254565E-3</v>
      </c>
      <c r="AJ120" s="261" t="e">
        <f t="shared" si="15"/>
        <v>#NUM!</v>
      </c>
    </row>
    <row r="121" spans="10:36" x14ac:dyDescent="0.2">
      <c r="J121" s="272"/>
      <c r="K121" s="272"/>
      <c r="AF121" s="290">
        <f>_xll.qlCalendarAdvance(Calendar,AF120,"1d","mf",,Trigger)</f>
        <v>42116</v>
      </c>
      <c r="AG121" s="301">
        <f>_xll.qlDayCounterYearFraction(DayCounterON,SettlementDate,AF121,,,Trigger)</f>
        <v>0.47397260273972602</v>
      </c>
      <c r="AH121" s="291">
        <f t="shared" si="13"/>
        <v>3.7281964345528941E-3</v>
      </c>
      <c r="AI121" s="291">
        <f t="shared" si="14"/>
        <v>3.7143118682182001E-3</v>
      </c>
      <c r="AJ121" s="261" t="e">
        <f t="shared" si="15"/>
        <v>#NUM!</v>
      </c>
    </row>
    <row r="122" spans="10:36" x14ac:dyDescent="0.2">
      <c r="J122" s="256"/>
      <c r="K122" s="272"/>
      <c r="AF122" s="290">
        <f>_xll.qlCalendarAdvance(Calendar,AF121,"1d","mf",,Trigger)</f>
        <v>42117</v>
      </c>
      <c r="AG122" s="301">
        <f>_xll.qlDayCounterYearFraction(DayCounterON,SettlementDate,AF122,,,Trigger)</f>
        <v>0.47671232876712327</v>
      </c>
      <c r="AH122" s="291">
        <f t="shared" si="13"/>
        <v>3.7281964345528941E-3</v>
      </c>
      <c r="AI122" s="291">
        <f t="shared" si="14"/>
        <v>3.7158545978109437E-3</v>
      </c>
      <c r="AJ122" s="261" t="e">
        <f t="shared" si="15"/>
        <v>#NUM!</v>
      </c>
    </row>
    <row r="123" spans="10:36" x14ac:dyDescent="0.2">
      <c r="J123" s="256"/>
      <c r="K123" s="272"/>
      <c r="AF123" s="290">
        <f>_xll.qlCalendarAdvance(Calendar,AF122,"1d","mf",,Trigger)</f>
        <v>42118</v>
      </c>
      <c r="AG123" s="301">
        <f>_xll.qlDayCounterYearFraction(DayCounterON,SettlementDate,AF123,,,Trigger)</f>
        <v>0.47945205479452052</v>
      </c>
      <c r="AH123" s="291">
        <f t="shared" si="13"/>
        <v>3.7281964345528941E-3</v>
      </c>
      <c r="AI123" s="291">
        <f t="shared" si="14"/>
        <v>3.7173973274036874E-3</v>
      </c>
      <c r="AJ123" s="261" t="e">
        <f t="shared" si="15"/>
        <v>#NUM!</v>
      </c>
    </row>
    <row r="124" spans="10:36" x14ac:dyDescent="0.2">
      <c r="J124" s="256"/>
      <c r="K124" s="272"/>
      <c r="AF124" s="290">
        <f>_xll.qlCalendarAdvance(Calendar,AF123,"1d","mf",,Trigger)</f>
        <v>42121</v>
      </c>
      <c r="AG124" s="301">
        <f>_xll.qlDayCounterYearFraction(DayCounterON,SettlementDate,AF124,,,Trigger)</f>
        <v>0.48767123287671232</v>
      </c>
      <c r="AH124" s="291">
        <f t="shared" si="13"/>
        <v>3.7281964345528941E-3</v>
      </c>
      <c r="AI124" s="291">
        <f t="shared" si="14"/>
        <v>3.7220255161819187E-3</v>
      </c>
      <c r="AJ124" s="261" t="e">
        <f t="shared" si="15"/>
        <v>#NUM!</v>
      </c>
    </row>
    <row r="125" spans="10:36" x14ac:dyDescent="0.2">
      <c r="J125" s="256"/>
      <c r="K125" s="272"/>
      <c r="AF125" s="290">
        <f>_xll.qlCalendarAdvance(Calendar,AF124,"1d","mf",,Trigger)</f>
        <v>42122</v>
      </c>
      <c r="AG125" s="301">
        <f>_xll.qlDayCounterYearFraction(DayCounterON,SettlementDate,AF125,,,Trigger)</f>
        <v>0.49041095890410957</v>
      </c>
      <c r="AH125" s="291">
        <f t="shared" si="13"/>
        <v>3.7281964345528941E-3</v>
      </c>
      <c r="AI125" s="291">
        <f t="shared" si="14"/>
        <v>3.7235682457746619E-3</v>
      </c>
      <c r="AJ125" s="261" t="e">
        <f t="shared" si="15"/>
        <v>#NUM!</v>
      </c>
    </row>
    <row r="126" spans="10:36" x14ac:dyDescent="0.2">
      <c r="J126" s="256"/>
      <c r="K126" s="272"/>
      <c r="AF126" s="290">
        <f>_xll.qlCalendarAdvance(Calendar,AF125,"1d","mf",,Trigger)</f>
        <v>42123</v>
      </c>
      <c r="AG126" s="301">
        <f>_xll.qlDayCounterYearFraction(DayCounterON,SettlementDate,AF126,,,Trigger)</f>
        <v>0.49315068493150682</v>
      </c>
      <c r="AH126" s="291">
        <f t="shared" si="13"/>
        <v>3.7281964345528941E-3</v>
      </c>
      <c r="AI126" s="291">
        <f t="shared" si="14"/>
        <v>3.725110975367406E-3</v>
      </c>
      <c r="AJ126" s="261" t="e">
        <f t="shared" si="15"/>
        <v>#NUM!</v>
      </c>
    </row>
    <row r="127" spans="10:36" x14ac:dyDescent="0.2">
      <c r="J127" s="256"/>
      <c r="K127" s="272"/>
      <c r="AF127" s="290">
        <f>_xll.qlCalendarAdvance(Calendar,AF126,"1d","mf",,Trigger)</f>
        <v>42124</v>
      </c>
      <c r="AG127" s="301">
        <f>_xll.qlDayCounterYearFraction(DayCounterON,SettlementDate,AF127,,,Trigger)</f>
        <v>0.49589041095890413</v>
      </c>
      <c r="AH127" s="291">
        <f t="shared" si="13"/>
        <v>3.7281964345528941E-3</v>
      </c>
      <c r="AI127" s="291">
        <f t="shared" si="14"/>
        <v>3.7266537049601492E-3</v>
      </c>
      <c r="AJ127" s="261" t="e">
        <f t="shared" si="15"/>
        <v>#NUM!</v>
      </c>
    </row>
    <row r="128" spans="10:36" x14ac:dyDescent="0.2">
      <c r="J128" s="256"/>
      <c r="K128" s="256"/>
      <c r="AF128" s="290">
        <f>_xll.qlCalendarAdvance(Calendar,AF127,"1d","mf",,Trigger)</f>
        <v>42128</v>
      </c>
      <c r="AG128" s="301">
        <f>_xll.qlDayCounterYearFraction(DayCounterON,SettlementDate,AF128,,,Trigger)</f>
        <v>0.50684931506849318</v>
      </c>
      <c r="AH128" s="291">
        <f t="shared" si="13"/>
        <v>3.7281964345528941E-3</v>
      </c>
      <c r="AI128" s="291">
        <f t="shared" si="14"/>
        <v>3.7328246233311237E-3</v>
      </c>
      <c r="AJ128" s="261" t="e">
        <f t="shared" si="15"/>
        <v>#NUM!</v>
      </c>
    </row>
    <row r="129" spans="10:36" x14ac:dyDescent="0.2">
      <c r="J129" s="256"/>
      <c r="K129" s="256"/>
      <c r="AF129" s="290">
        <f>_xll.qlCalendarAdvance(Calendar,AF128,"1d","mf",,Trigger)</f>
        <v>42129</v>
      </c>
      <c r="AG129" s="301">
        <f>_xll.qlDayCounterYearFraction(DayCounterON,SettlementDate,AF129,,,Trigger)</f>
        <v>0.50958904109589043</v>
      </c>
      <c r="AH129" s="291">
        <f t="shared" si="13"/>
        <v>3.7281964345528941E-3</v>
      </c>
      <c r="AI129" s="291">
        <f t="shared" si="14"/>
        <v>3.7343673529238678E-3</v>
      </c>
      <c r="AJ129" s="261" t="e">
        <f t="shared" si="15"/>
        <v>#NUM!</v>
      </c>
    </row>
    <row r="130" spans="10:36" x14ac:dyDescent="0.2">
      <c r="J130" s="256"/>
      <c r="K130" s="256"/>
      <c r="AF130" s="290">
        <f>_xll.qlCalendarAdvance(Calendar,AF129,"1d","mf",,Trigger)</f>
        <v>42130</v>
      </c>
      <c r="AG130" s="301">
        <f>_xll.qlDayCounterYearFraction(DayCounterON,SettlementDate,AF130,,,Trigger)</f>
        <v>0.51232876712328768</v>
      </c>
      <c r="AH130" s="291">
        <f t="shared" si="13"/>
        <v>3.7281964345528941E-3</v>
      </c>
      <c r="AI130" s="291">
        <f t="shared" si="14"/>
        <v>3.735910082516611E-3</v>
      </c>
      <c r="AJ130" s="261" t="e">
        <f t="shared" si="15"/>
        <v>#NUM!</v>
      </c>
    </row>
    <row r="131" spans="10:36" x14ac:dyDescent="0.2">
      <c r="J131" s="256"/>
      <c r="K131" s="256"/>
      <c r="AF131" s="290">
        <f>_xll.qlCalendarAdvance(Calendar,AF130,"1d","mf",,Trigger)</f>
        <v>42131</v>
      </c>
      <c r="AG131" s="301">
        <f>_xll.qlDayCounterYearFraction(DayCounterON,SettlementDate,AF131,,,Trigger)</f>
        <v>0.51506849315068493</v>
      </c>
      <c r="AH131" s="291">
        <f t="shared" ref="AH131:AH194" si="16">$W$13</f>
        <v>3.7281964345528941E-3</v>
      </c>
      <c r="AI131" s="291">
        <f t="shared" si="14"/>
        <v>3.7374528121093551E-3</v>
      </c>
      <c r="AJ131" s="261" t="e">
        <f t="shared" si="15"/>
        <v>#NUM!</v>
      </c>
    </row>
    <row r="132" spans="10:36" x14ac:dyDescent="0.2">
      <c r="J132" s="256"/>
      <c r="K132" s="256"/>
      <c r="AF132" s="290">
        <f>_xll.qlCalendarAdvance(Calendar,AF131,"1d","mf",,Trigger)</f>
        <v>42132</v>
      </c>
      <c r="AG132" s="301">
        <f>_xll.qlDayCounterYearFraction(DayCounterON,SettlementDate,AF132,,,Trigger)</f>
        <v>0.51780821917808217</v>
      </c>
      <c r="AH132" s="291">
        <f t="shared" si="16"/>
        <v>3.7281964345528941E-3</v>
      </c>
      <c r="AI132" s="291">
        <f t="shared" si="14"/>
        <v>3.7389955417020983E-3</v>
      </c>
      <c r="AJ132" s="261" t="e">
        <f t="shared" si="15"/>
        <v>#NUM!</v>
      </c>
    </row>
    <row r="133" spans="10:36" x14ac:dyDescent="0.2">
      <c r="J133" s="256"/>
      <c r="K133" s="256"/>
      <c r="AF133" s="290">
        <f>_xll.qlCalendarAdvance(Calendar,AF132,"1d","mf",,Trigger)</f>
        <v>42135</v>
      </c>
      <c r="AG133" s="301">
        <f>_xll.qlDayCounterYearFraction(DayCounterON,SettlementDate,AF133,,,Trigger)</f>
        <v>0.52602739726027392</v>
      </c>
      <c r="AH133" s="291">
        <f t="shared" si="16"/>
        <v>3.7281964345528941E-3</v>
      </c>
      <c r="AI133" s="291">
        <f t="shared" si="14"/>
        <v>3.7436237304803296E-3</v>
      </c>
      <c r="AJ133" s="261" t="e">
        <f t="shared" si="15"/>
        <v>#NUM!</v>
      </c>
    </row>
    <row r="134" spans="10:36" x14ac:dyDescent="0.2">
      <c r="J134" s="256"/>
      <c r="K134" s="256"/>
      <c r="AF134" s="290">
        <f>_xll.qlCalendarAdvance(Calendar,AF133,"1d","mf",,Trigger)</f>
        <v>42136</v>
      </c>
      <c r="AG134" s="301">
        <f>_xll.qlDayCounterYearFraction(DayCounterON,SettlementDate,AF134,,,Trigger)</f>
        <v>0.52876712328767128</v>
      </c>
      <c r="AH134" s="291">
        <f t="shared" si="16"/>
        <v>3.7281964345528941E-3</v>
      </c>
      <c r="AI134" s="291">
        <f t="shared" si="14"/>
        <v>3.7451664600730732E-3</v>
      </c>
      <c r="AJ134" s="261" t="e">
        <f t="shared" si="15"/>
        <v>#NUM!</v>
      </c>
    </row>
    <row r="135" spans="10:36" x14ac:dyDescent="0.2">
      <c r="J135" s="256"/>
      <c r="K135" s="256"/>
      <c r="AF135" s="290">
        <f>_xll.qlCalendarAdvance(Calendar,AF134,"1d","mf",,Trigger)</f>
        <v>42137</v>
      </c>
      <c r="AG135" s="301">
        <f>_xll.qlDayCounterYearFraction(DayCounterON,SettlementDate,AF135,,,Trigger)</f>
        <v>0.53150684931506853</v>
      </c>
      <c r="AH135" s="291">
        <f t="shared" si="16"/>
        <v>3.7281964345528941E-3</v>
      </c>
      <c r="AI135" s="291">
        <f t="shared" si="14"/>
        <v>3.7467091896658169E-3</v>
      </c>
      <c r="AJ135" s="261" t="e">
        <f t="shared" si="15"/>
        <v>#NUM!</v>
      </c>
    </row>
    <row r="136" spans="10:36" x14ac:dyDescent="0.2">
      <c r="J136" s="256"/>
      <c r="K136" s="256"/>
      <c r="AF136" s="290">
        <f>_xll.qlCalendarAdvance(Calendar,AF135,"1d","mf",,Trigger)</f>
        <v>42138</v>
      </c>
      <c r="AG136" s="301">
        <f>_xll.qlDayCounterYearFraction(DayCounterON,SettlementDate,AF136,,,Trigger)</f>
        <v>0.53424657534246578</v>
      </c>
      <c r="AH136" s="291">
        <f t="shared" si="16"/>
        <v>3.7281964345528941E-3</v>
      </c>
      <c r="AI136" s="291">
        <f t="shared" si="14"/>
        <v>3.7482519192585605E-3</v>
      </c>
      <c r="AJ136" s="261" t="e">
        <f t="shared" si="15"/>
        <v>#NUM!</v>
      </c>
    </row>
    <row r="137" spans="10:36" x14ac:dyDescent="0.2">
      <c r="J137" s="256"/>
      <c r="K137" s="256"/>
      <c r="AF137" s="290">
        <f>_xll.qlCalendarAdvance(Calendar,AF136,"1d","mf",,Trigger)</f>
        <v>42139</v>
      </c>
      <c r="AG137" s="301">
        <f>_xll.qlDayCounterYearFraction(DayCounterON,SettlementDate,AF137,,,Trigger)</f>
        <v>0.53698630136986303</v>
      </c>
      <c r="AH137" s="291">
        <f t="shared" si="16"/>
        <v>3.7281964345528941E-3</v>
      </c>
      <c r="AI137" s="291">
        <f t="shared" si="14"/>
        <v>3.7497946488513042E-3</v>
      </c>
      <c r="AJ137" s="261" t="e">
        <f t="shared" si="15"/>
        <v>#NUM!</v>
      </c>
    </row>
    <row r="138" spans="10:36" x14ac:dyDescent="0.2">
      <c r="K138" s="256"/>
      <c r="AF138" s="290">
        <f>_xll.qlCalendarAdvance(Calendar,AF137,"1d","mf",,Trigger)</f>
        <v>42142</v>
      </c>
      <c r="AG138" s="301">
        <f>_xll.qlDayCounterYearFraction(DayCounterON,SettlementDate,AF138,,,Trigger)</f>
        <v>0.54520547945205478</v>
      </c>
      <c r="AH138" s="291">
        <f t="shared" si="16"/>
        <v>3.7281964345528941E-3</v>
      </c>
      <c r="AI138" s="291">
        <f t="shared" si="14"/>
        <v>3.7544228376295351E-3</v>
      </c>
      <c r="AJ138" s="261" t="e">
        <f t="shared" si="15"/>
        <v>#NUM!</v>
      </c>
    </row>
    <row r="139" spans="10:36" x14ac:dyDescent="0.2">
      <c r="K139" s="256"/>
      <c r="AF139" s="290">
        <f>_xll.qlCalendarAdvance(Calendar,AF138,"1d","mf",,Trigger)</f>
        <v>42143</v>
      </c>
      <c r="AG139" s="301">
        <f>_xll.qlDayCounterYearFraction(DayCounterON,SettlementDate,AF139,,,Trigger)</f>
        <v>0.54794520547945202</v>
      </c>
      <c r="AH139" s="291">
        <f t="shared" si="16"/>
        <v>3.7281964345528941E-3</v>
      </c>
      <c r="AI139" s="291">
        <f t="shared" si="14"/>
        <v>3.7559655672222787E-3</v>
      </c>
      <c r="AJ139" s="261" t="e">
        <f t="shared" si="15"/>
        <v>#NUM!</v>
      </c>
    </row>
    <row r="140" spans="10:36" x14ac:dyDescent="0.2">
      <c r="K140" s="256"/>
      <c r="AF140" s="290">
        <f>_xll.qlCalendarAdvance(Calendar,AF139,"1d","mf",,Trigger)</f>
        <v>42144</v>
      </c>
      <c r="AG140" s="301">
        <f>_xll.qlDayCounterYearFraction(DayCounterON,SettlementDate,AF140,,,Trigger)</f>
        <v>0.55068493150684927</v>
      </c>
      <c r="AH140" s="291">
        <f t="shared" si="16"/>
        <v>3.7281964345528941E-3</v>
      </c>
      <c r="AI140" s="291">
        <f t="shared" ref="AI140:AI203" si="17">$W$10+$W$9*AG140</f>
        <v>3.7575082968150223E-3</v>
      </c>
      <c r="AJ140" s="261" t="e">
        <f t="shared" ref="AJ140:AJ203" si="18">($W$5+$W$4*AG140+$W$3*AG140^2)</f>
        <v>#NUM!</v>
      </c>
    </row>
    <row r="141" spans="10:36" x14ac:dyDescent="0.2">
      <c r="K141" s="256"/>
      <c r="AF141" s="290">
        <f>_xll.qlCalendarAdvance(Calendar,AF140,"1d","mf",,Trigger)</f>
        <v>42145</v>
      </c>
      <c r="AG141" s="301">
        <f>_xll.qlDayCounterYearFraction(DayCounterON,SettlementDate,AF141,,,Trigger)</f>
        <v>0.55342465753424652</v>
      </c>
      <c r="AH141" s="291">
        <f t="shared" si="16"/>
        <v>3.7281964345528941E-3</v>
      </c>
      <c r="AI141" s="291">
        <f t="shared" si="17"/>
        <v>3.759051026407766E-3</v>
      </c>
      <c r="AJ141" s="261" t="e">
        <f t="shared" si="18"/>
        <v>#NUM!</v>
      </c>
    </row>
    <row r="142" spans="10:36" x14ac:dyDescent="0.2">
      <c r="K142" s="256"/>
      <c r="AF142" s="290">
        <f>_xll.qlCalendarAdvance(Calendar,AF141,"1d","mf",,Trigger)</f>
        <v>42146</v>
      </c>
      <c r="AG142" s="301">
        <f>_xll.qlDayCounterYearFraction(DayCounterON,SettlementDate,AF142,,,Trigger)</f>
        <v>0.55616438356164388</v>
      </c>
      <c r="AH142" s="291">
        <f t="shared" si="16"/>
        <v>3.7281964345528941E-3</v>
      </c>
      <c r="AI142" s="291">
        <f t="shared" si="17"/>
        <v>3.7605937560005096E-3</v>
      </c>
      <c r="AJ142" s="261" t="e">
        <f t="shared" si="18"/>
        <v>#NUM!</v>
      </c>
    </row>
    <row r="143" spans="10:36" x14ac:dyDescent="0.2">
      <c r="K143" s="256"/>
      <c r="AF143" s="290">
        <f>_xll.qlCalendarAdvance(Calendar,AF142,"1d","mf",,Trigger)</f>
        <v>42149</v>
      </c>
      <c r="AG143" s="301">
        <f>_xll.qlDayCounterYearFraction(DayCounterON,SettlementDate,AF143,,,Trigger)</f>
        <v>0.56438356164383563</v>
      </c>
      <c r="AH143" s="291">
        <f t="shared" si="16"/>
        <v>3.7281964345528941E-3</v>
      </c>
      <c r="AI143" s="291">
        <f t="shared" si="17"/>
        <v>3.7652219447787405E-3</v>
      </c>
      <c r="AJ143" s="261" t="e">
        <f t="shared" si="18"/>
        <v>#NUM!</v>
      </c>
    </row>
    <row r="144" spans="10:36" x14ac:dyDescent="0.2">
      <c r="AF144" s="290">
        <f>_xll.qlCalendarAdvance(Calendar,AF143,"1d","mf",,Trigger)</f>
        <v>42150</v>
      </c>
      <c r="AG144" s="301">
        <f>_xll.qlDayCounterYearFraction(DayCounterON,SettlementDate,AF144,,,Trigger)</f>
        <v>0.56712328767123288</v>
      </c>
      <c r="AH144" s="291">
        <f t="shared" si="16"/>
        <v>3.7281964345528941E-3</v>
      </c>
      <c r="AI144" s="291">
        <f t="shared" si="17"/>
        <v>3.7667646743714841E-3</v>
      </c>
      <c r="AJ144" s="261" t="e">
        <f t="shared" si="18"/>
        <v>#NUM!</v>
      </c>
    </row>
    <row r="145" spans="32:36" x14ac:dyDescent="0.2">
      <c r="AF145" s="290">
        <f>_xll.qlCalendarAdvance(Calendar,AF144,"1d","mf",,Trigger)</f>
        <v>42151</v>
      </c>
      <c r="AG145" s="301">
        <f>_xll.qlDayCounterYearFraction(DayCounterON,SettlementDate,AF145,,,Trigger)</f>
        <v>0.56986301369863013</v>
      </c>
      <c r="AH145" s="291">
        <f t="shared" si="16"/>
        <v>3.7281964345528941E-3</v>
      </c>
      <c r="AI145" s="291">
        <f t="shared" si="17"/>
        <v>3.7683074039642278E-3</v>
      </c>
      <c r="AJ145" s="261" t="e">
        <f t="shared" si="18"/>
        <v>#NUM!</v>
      </c>
    </row>
    <row r="146" spans="32:36" x14ac:dyDescent="0.2">
      <c r="AF146" s="290">
        <f>_xll.qlCalendarAdvance(Calendar,AF145,"1d","mf",,Trigger)</f>
        <v>42152</v>
      </c>
      <c r="AG146" s="301">
        <f>_xll.qlDayCounterYearFraction(DayCounterON,SettlementDate,AF146,,,Trigger)</f>
        <v>0.57260273972602738</v>
      </c>
      <c r="AH146" s="291">
        <f t="shared" si="16"/>
        <v>3.7281964345528941E-3</v>
      </c>
      <c r="AI146" s="291">
        <f t="shared" si="17"/>
        <v>3.7698501335569714E-3</v>
      </c>
      <c r="AJ146" s="261" t="e">
        <f t="shared" si="18"/>
        <v>#NUM!</v>
      </c>
    </row>
    <row r="147" spans="32:36" x14ac:dyDescent="0.2">
      <c r="AF147" s="290">
        <f>_xll.qlCalendarAdvance(Calendar,AF146,"1d","mf",,Trigger)</f>
        <v>42153</v>
      </c>
      <c r="AG147" s="301">
        <f>_xll.qlDayCounterYearFraction(DayCounterON,SettlementDate,AF147,,,Trigger)</f>
        <v>0.57534246575342463</v>
      </c>
      <c r="AH147" s="291">
        <f t="shared" si="16"/>
        <v>3.7281964345528941E-3</v>
      </c>
      <c r="AI147" s="291">
        <f t="shared" si="17"/>
        <v>3.771392863149715E-3</v>
      </c>
      <c r="AJ147" s="261" t="e">
        <f t="shared" si="18"/>
        <v>#NUM!</v>
      </c>
    </row>
    <row r="148" spans="32:36" x14ac:dyDescent="0.2">
      <c r="AF148" s="290">
        <f>_xll.qlCalendarAdvance(Calendar,AF147,"1d","mf",,Trigger)</f>
        <v>42156</v>
      </c>
      <c r="AG148" s="301">
        <f>_xll.qlDayCounterYearFraction(DayCounterON,SettlementDate,AF148,,,Trigger)</f>
        <v>0.58356164383561648</v>
      </c>
      <c r="AH148" s="291">
        <f t="shared" si="16"/>
        <v>3.7281964345528941E-3</v>
      </c>
      <c r="AI148" s="291">
        <f t="shared" si="17"/>
        <v>3.7760210519279459E-3</v>
      </c>
      <c r="AJ148" s="261" t="e">
        <f t="shared" si="18"/>
        <v>#NUM!</v>
      </c>
    </row>
    <row r="149" spans="32:36" x14ac:dyDescent="0.2">
      <c r="AF149" s="290">
        <f>_xll.qlCalendarAdvance(Calendar,AF148,"1d","mf",,Trigger)</f>
        <v>42157</v>
      </c>
      <c r="AG149" s="301">
        <f>_xll.qlDayCounterYearFraction(DayCounterON,SettlementDate,AF149,,,Trigger)</f>
        <v>0.58630136986301373</v>
      </c>
      <c r="AH149" s="291">
        <f t="shared" si="16"/>
        <v>3.7281964345528941E-3</v>
      </c>
      <c r="AI149" s="291">
        <f t="shared" si="17"/>
        <v>3.7775637815206896E-3</v>
      </c>
      <c r="AJ149" s="261" t="e">
        <f t="shared" si="18"/>
        <v>#NUM!</v>
      </c>
    </row>
    <row r="150" spans="32:36" x14ac:dyDescent="0.2">
      <c r="AF150" s="290">
        <f>_xll.qlCalendarAdvance(Calendar,AF149,"1d","mf",,Trigger)</f>
        <v>42158</v>
      </c>
      <c r="AG150" s="301">
        <f>_xll.qlDayCounterYearFraction(DayCounterON,SettlementDate,AF150,,,Trigger)</f>
        <v>0.58904109589041098</v>
      </c>
      <c r="AH150" s="291">
        <f t="shared" si="16"/>
        <v>3.7281964345528941E-3</v>
      </c>
      <c r="AI150" s="291">
        <f t="shared" si="17"/>
        <v>3.7791065111134332E-3</v>
      </c>
      <c r="AJ150" s="261" t="e">
        <f t="shared" si="18"/>
        <v>#NUM!</v>
      </c>
    </row>
    <row r="151" spans="32:36" x14ac:dyDescent="0.2">
      <c r="AF151" s="290">
        <f>_xll.qlCalendarAdvance(Calendar,AF150,"1d","mf",,Trigger)</f>
        <v>42159</v>
      </c>
      <c r="AG151" s="301">
        <f>_xll.qlDayCounterYearFraction(DayCounterON,SettlementDate,AF151,,,Trigger)</f>
        <v>0.59178082191780823</v>
      </c>
      <c r="AH151" s="291">
        <f t="shared" si="16"/>
        <v>3.7281964345528941E-3</v>
      </c>
      <c r="AI151" s="291">
        <f t="shared" si="17"/>
        <v>3.7806492407061769E-3</v>
      </c>
      <c r="AJ151" s="261" t="e">
        <f t="shared" si="18"/>
        <v>#NUM!</v>
      </c>
    </row>
    <row r="152" spans="32:36" x14ac:dyDescent="0.2">
      <c r="AF152" s="290">
        <f>_xll.qlCalendarAdvance(Calendar,AF151,"1d","mf",,Trigger)</f>
        <v>42160</v>
      </c>
      <c r="AG152" s="301">
        <f>_xll.qlDayCounterYearFraction(DayCounterON,SettlementDate,AF152,,,Trigger)</f>
        <v>0.59452054794520548</v>
      </c>
      <c r="AH152" s="291">
        <f t="shared" si="16"/>
        <v>3.7281964345528941E-3</v>
      </c>
      <c r="AI152" s="291">
        <f t="shared" si="17"/>
        <v>3.7821919702989205E-3</v>
      </c>
      <c r="AJ152" s="261" t="e">
        <f t="shared" si="18"/>
        <v>#NUM!</v>
      </c>
    </row>
    <row r="153" spans="32:36" x14ac:dyDescent="0.2">
      <c r="AF153" s="290">
        <f>_xll.qlCalendarAdvance(Calendar,AF152,"1d","mf",,Trigger)</f>
        <v>42163</v>
      </c>
      <c r="AG153" s="301">
        <f>_xll.qlDayCounterYearFraction(DayCounterON,SettlementDate,AF153,,,Trigger)</f>
        <v>0.60273972602739723</v>
      </c>
      <c r="AH153" s="291">
        <f t="shared" si="16"/>
        <v>3.7281964345528941E-3</v>
      </c>
      <c r="AI153" s="291">
        <f t="shared" si="17"/>
        <v>3.7868201590771514E-3</v>
      </c>
      <c r="AJ153" s="261" t="e">
        <f t="shared" si="18"/>
        <v>#NUM!</v>
      </c>
    </row>
    <row r="154" spans="32:36" x14ac:dyDescent="0.2">
      <c r="AF154" s="290">
        <f>_xll.qlCalendarAdvance(Calendar,AF153,"1d","mf",,Trigger)</f>
        <v>42164</v>
      </c>
      <c r="AG154" s="301">
        <f>_xll.qlDayCounterYearFraction(DayCounterON,SettlementDate,AF154,,,Trigger)</f>
        <v>0.60547945205479448</v>
      </c>
      <c r="AH154" s="291">
        <f t="shared" si="16"/>
        <v>3.7281964345528941E-3</v>
      </c>
      <c r="AI154" s="291">
        <f t="shared" si="17"/>
        <v>3.788362888669895E-3</v>
      </c>
      <c r="AJ154" s="261" t="e">
        <f t="shared" si="18"/>
        <v>#NUM!</v>
      </c>
    </row>
    <row r="155" spans="32:36" x14ac:dyDescent="0.2">
      <c r="AF155" s="290">
        <f>_xll.qlCalendarAdvance(Calendar,AF154,"1d","mf",,Trigger)</f>
        <v>42165</v>
      </c>
      <c r="AG155" s="301">
        <f>_xll.qlDayCounterYearFraction(DayCounterON,SettlementDate,AF155,,,Trigger)</f>
        <v>0.60821917808219184</v>
      </c>
      <c r="AH155" s="291">
        <f t="shared" si="16"/>
        <v>3.7281964345528941E-3</v>
      </c>
      <c r="AI155" s="291">
        <f t="shared" si="17"/>
        <v>3.7899056182626387E-3</v>
      </c>
      <c r="AJ155" s="261" t="e">
        <f t="shared" si="18"/>
        <v>#NUM!</v>
      </c>
    </row>
    <row r="156" spans="32:36" x14ac:dyDescent="0.2">
      <c r="AF156" s="290">
        <f>_xll.qlCalendarAdvance(Calendar,AF155,"1d","mf",,Trigger)</f>
        <v>42166</v>
      </c>
      <c r="AG156" s="301">
        <f>_xll.qlDayCounterYearFraction(DayCounterON,SettlementDate,AF156,,,Trigger)</f>
        <v>0.61095890410958908</v>
      </c>
      <c r="AH156" s="291">
        <f t="shared" si="16"/>
        <v>3.7281964345528941E-3</v>
      </c>
      <c r="AI156" s="291">
        <f t="shared" si="17"/>
        <v>3.7914483478553823E-3</v>
      </c>
      <c r="AJ156" s="261" t="e">
        <f t="shared" si="18"/>
        <v>#NUM!</v>
      </c>
    </row>
    <row r="157" spans="32:36" x14ac:dyDescent="0.2">
      <c r="AF157" s="290">
        <f>_xll.qlCalendarAdvance(Calendar,AF156,"1d","mf",,Trigger)</f>
        <v>42167</v>
      </c>
      <c r="AG157" s="301">
        <f>_xll.qlDayCounterYearFraction(DayCounterON,SettlementDate,AF157,,,Trigger)</f>
        <v>0.61369863013698633</v>
      </c>
      <c r="AH157" s="291">
        <f t="shared" si="16"/>
        <v>3.7281964345528941E-3</v>
      </c>
      <c r="AI157" s="291">
        <f t="shared" si="17"/>
        <v>3.7929910774481259E-3</v>
      </c>
      <c r="AJ157" s="261" t="e">
        <f t="shared" si="18"/>
        <v>#NUM!</v>
      </c>
    </row>
    <row r="158" spans="32:36" x14ac:dyDescent="0.2">
      <c r="AF158" s="290">
        <f>_xll.qlCalendarAdvance(Calendar,AF157,"1d","mf",,Trigger)</f>
        <v>42170</v>
      </c>
      <c r="AG158" s="301">
        <f>_xll.qlDayCounterYearFraction(DayCounterON,SettlementDate,AF158,,,Trigger)</f>
        <v>0.62191780821917808</v>
      </c>
      <c r="AH158" s="291">
        <f t="shared" si="16"/>
        <v>3.7281964345528941E-3</v>
      </c>
      <c r="AI158" s="291">
        <f t="shared" si="17"/>
        <v>3.7976192662263568E-3</v>
      </c>
      <c r="AJ158" s="261" t="e">
        <f t="shared" si="18"/>
        <v>#NUM!</v>
      </c>
    </row>
    <row r="159" spans="32:36" x14ac:dyDescent="0.2">
      <c r="AF159" s="290">
        <f>_xll.qlCalendarAdvance(Calendar,AF158,"1d","mf",,Trigger)</f>
        <v>42171</v>
      </c>
      <c r="AG159" s="301">
        <f>_xll.qlDayCounterYearFraction(DayCounterON,SettlementDate,AF159,,,Trigger)</f>
        <v>0.62465753424657533</v>
      </c>
      <c r="AH159" s="291">
        <f t="shared" si="16"/>
        <v>3.7281964345528941E-3</v>
      </c>
      <c r="AI159" s="291">
        <f t="shared" si="17"/>
        <v>3.7991619958191005E-3</v>
      </c>
      <c r="AJ159" s="261" t="e">
        <f t="shared" si="18"/>
        <v>#NUM!</v>
      </c>
    </row>
    <row r="160" spans="32:36" x14ac:dyDescent="0.2">
      <c r="AF160" s="290">
        <f>_xll.qlCalendarAdvance(Calendar,AF159,"1d","mf",,Trigger)</f>
        <v>42172</v>
      </c>
      <c r="AG160" s="301">
        <f>_xll.qlDayCounterYearFraction(DayCounterON,SettlementDate,AF160,,,Trigger)</f>
        <v>0.62739726027397258</v>
      </c>
      <c r="AH160" s="291">
        <f t="shared" si="16"/>
        <v>3.7281964345528941E-3</v>
      </c>
      <c r="AI160" s="291">
        <f t="shared" si="17"/>
        <v>3.8007047254118441E-3</v>
      </c>
      <c r="AJ160" s="261" t="e">
        <f t="shared" si="18"/>
        <v>#NUM!</v>
      </c>
    </row>
    <row r="161" spans="32:36" x14ac:dyDescent="0.2">
      <c r="AF161" s="290">
        <f>_xll.qlCalendarAdvance(Calendar,AF160,"1d","mf",,Trigger)</f>
        <v>42173</v>
      </c>
      <c r="AG161" s="301">
        <f>_xll.qlDayCounterYearFraction(DayCounterON,SettlementDate,AF161,,,Trigger)</f>
        <v>0.63013698630136983</v>
      </c>
      <c r="AH161" s="291">
        <f t="shared" si="16"/>
        <v>3.7281964345528941E-3</v>
      </c>
      <c r="AI161" s="291">
        <f t="shared" si="17"/>
        <v>3.8022474550045877E-3</v>
      </c>
      <c r="AJ161" s="261" t="e">
        <f t="shared" si="18"/>
        <v>#NUM!</v>
      </c>
    </row>
    <row r="162" spans="32:36" x14ac:dyDescent="0.2">
      <c r="AF162" s="290">
        <f>_xll.qlCalendarAdvance(Calendar,AF161,"1d","mf",,Trigger)</f>
        <v>42174</v>
      </c>
      <c r="AG162" s="301">
        <f>_xll.qlDayCounterYearFraction(DayCounterON,SettlementDate,AF162,,,Trigger)</f>
        <v>0.63287671232876708</v>
      </c>
      <c r="AH162" s="291">
        <f t="shared" si="16"/>
        <v>3.7281964345528941E-3</v>
      </c>
      <c r="AI162" s="291">
        <f t="shared" si="17"/>
        <v>3.8037901845973314E-3</v>
      </c>
      <c r="AJ162" s="261" t="e">
        <f t="shared" si="18"/>
        <v>#NUM!</v>
      </c>
    </row>
    <row r="163" spans="32:36" x14ac:dyDescent="0.2">
      <c r="AF163" s="290">
        <f>_xll.qlCalendarAdvance(Calendar,AF162,"1d","mf",,Trigger)</f>
        <v>42177</v>
      </c>
      <c r="AG163" s="301">
        <f>_xll.qlDayCounterYearFraction(DayCounterON,SettlementDate,AF163,,,Trigger)</f>
        <v>0.64109589041095894</v>
      </c>
      <c r="AH163" s="291">
        <f t="shared" si="16"/>
        <v>3.7281964345528941E-3</v>
      </c>
      <c r="AI163" s="291">
        <f t="shared" si="17"/>
        <v>3.8084183733755623E-3</v>
      </c>
      <c r="AJ163" s="261" t="e">
        <f t="shared" si="18"/>
        <v>#NUM!</v>
      </c>
    </row>
    <row r="164" spans="32:36" x14ac:dyDescent="0.2">
      <c r="AF164" s="290">
        <f>_xll.qlCalendarAdvance(Calendar,AF163,"1d","mf",,Trigger)</f>
        <v>42178</v>
      </c>
      <c r="AG164" s="301">
        <f>_xll.qlDayCounterYearFraction(DayCounterON,SettlementDate,AF164,,,Trigger)</f>
        <v>0.64383561643835618</v>
      </c>
      <c r="AH164" s="291">
        <f t="shared" si="16"/>
        <v>3.7281964345528941E-3</v>
      </c>
      <c r="AI164" s="291">
        <f t="shared" si="17"/>
        <v>3.8099611029683059E-3</v>
      </c>
      <c r="AJ164" s="261" t="e">
        <f t="shared" si="18"/>
        <v>#NUM!</v>
      </c>
    </row>
    <row r="165" spans="32:36" x14ac:dyDescent="0.2">
      <c r="AF165" s="290">
        <f>_xll.qlCalendarAdvance(Calendar,AF164,"1d","mf",,Trigger)</f>
        <v>42179</v>
      </c>
      <c r="AG165" s="301">
        <f>_xll.qlDayCounterYearFraction(DayCounterON,SettlementDate,AF165,,,Trigger)</f>
        <v>0.64657534246575343</v>
      </c>
      <c r="AH165" s="291">
        <f t="shared" si="16"/>
        <v>3.7281964345528941E-3</v>
      </c>
      <c r="AI165" s="291">
        <f t="shared" si="17"/>
        <v>3.8115038325610496E-3</v>
      </c>
      <c r="AJ165" s="261" t="e">
        <f t="shared" si="18"/>
        <v>#NUM!</v>
      </c>
    </row>
    <row r="166" spans="32:36" x14ac:dyDescent="0.2">
      <c r="AF166" s="290">
        <f>_xll.qlCalendarAdvance(Calendar,AF165,"1d","mf",,Trigger)</f>
        <v>42180</v>
      </c>
      <c r="AG166" s="301">
        <f>_xll.qlDayCounterYearFraction(DayCounterON,SettlementDate,AF166,,,Trigger)</f>
        <v>0.64931506849315068</v>
      </c>
      <c r="AH166" s="291">
        <f t="shared" si="16"/>
        <v>3.7281964345528941E-3</v>
      </c>
      <c r="AI166" s="291">
        <f t="shared" si="17"/>
        <v>3.8130465621537932E-3</v>
      </c>
      <c r="AJ166" s="261" t="e">
        <f t="shared" si="18"/>
        <v>#NUM!</v>
      </c>
    </row>
    <row r="167" spans="32:36" x14ac:dyDescent="0.2">
      <c r="AF167" s="290">
        <f>_xll.qlCalendarAdvance(Calendar,AF166,"1d","mf",,Trigger)</f>
        <v>42181</v>
      </c>
      <c r="AG167" s="301">
        <f>_xll.qlDayCounterYearFraction(DayCounterON,SettlementDate,AF167,,,Trigger)</f>
        <v>0.65205479452054793</v>
      </c>
      <c r="AH167" s="291">
        <f t="shared" si="16"/>
        <v>3.7281964345528941E-3</v>
      </c>
      <c r="AI167" s="291">
        <f t="shared" si="17"/>
        <v>3.8145892917465368E-3</v>
      </c>
      <c r="AJ167" s="261" t="e">
        <f t="shared" si="18"/>
        <v>#NUM!</v>
      </c>
    </row>
    <row r="168" spans="32:36" x14ac:dyDescent="0.2">
      <c r="AF168" s="290">
        <f>_xll.qlCalendarAdvance(Calendar,AF167,"1d","mf",,Trigger)</f>
        <v>42184</v>
      </c>
      <c r="AG168" s="301">
        <f>_xll.qlDayCounterYearFraction(DayCounterON,SettlementDate,AF168,,,Trigger)</f>
        <v>0.66027397260273968</v>
      </c>
      <c r="AH168" s="291">
        <f t="shared" si="16"/>
        <v>3.7281964345528941E-3</v>
      </c>
      <c r="AI168" s="291">
        <f t="shared" si="17"/>
        <v>3.8192174805247677E-3</v>
      </c>
      <c r="AJ168" s="261" t="e">
        <f t="shared" si="18"/>
        <v>#NUM!</v>
      </c>
    </row>
    <row r="169" spans="32:36" x14ac:dyDescent="0.2">
      <c r="AF169" s="290">
        <f>_xll.qlCalendarAdvance(Calendar,AF168,"1d","mf",,Trigger)</f>
        <v>42185</v>
      </c>
      <c r="AG169" s="301">
        <f>_xll.qlDayCounterYearFraction(DayCounterON,SettlementDate,AF169,,,Trigger)</f>
        <v>0.66301369863013704</v>
      </c>
      <c r="AH169" s="291">
        <f t="shared" si="16"/>
        <v>3.7281964345528941E-3</v>
      </c>
      <c r="AI169" s="291">
        <f t="shared" si="17"/>
        <v>3.8207602101175114E-3</v>
      </c>
      <c r="AJ169" s="261" t="e">
        <f t="shared" si="18"/>
        <v>#NUM!</v>
      </c>
    </row>
    <row r="170" spans="32:36" x14ac:dyDescent="0.2">
      <c r="AF170" s="290">
        <f>_xll.qlCalendarAdvance(Calendar,AF169,"1d","mf",,Trigger)</f>
        <v>42186</v>
      </c>
      <c r="AG170" s="301">
        <f>_xll.qlDayCounterYearFraction(DayCounterON,SettlementDate,AF170,,,Trigger)</f>
        <v>0.66575342465753429</v>
      </c>
      <c r="AH170" s="291">
        <f t="shared" si="16"/>
        <v>3.7281964345528941E-3</v>
      </c>
      <c r="AI170" s="291">
        <f t="shared" si="17"/>
        <v>3.822302939710255E-3</v>
      </c>
      <c r="AJ170" s="261" t="e">
        <f t="shared" si="18"/>
        <v>#NUM!</v>
      </c>
    </row>
    <row r="171" spans="32:36" x14ac:dyDescent="0.2">
      <c r="AF171" s="290">
        <f>_xll.qlCalendarAdvance(Calendar,AF170,"1d","mf",,Trigger)</f>
        <v>42187</v>
      </c>
      <c r="AG171" s="301">
        <f>_xll.qlDayCounterYearFraction(DayCounterON,SettlementDate,AF171,,,Trigger)</f>
        <v>0.66849315068493154</v>
      </c>
      <c r="AH171" s="291">
        <f t="shared" si="16"/>
        <v>3.7281964345528941E-3</v>
      </c>
      <c r="AI171" s="291">
        <f t="shared" si="17"/>
        <v>3.8238456693029986E-3</v>
      </c>
      <c r="AJ171" s="261" t="e">
        <f t="shared" si="18"/>
        <v>#NUM!</v>
      </c>
    </row>
    <row r="172" spans="32:36" x14ac:dyDescent="0.2">
      <c r="AF172" s="290">
        <f>_xll.qlCalendarAdvance(Calendar,AF171,"1d","mf",,Trigger)</f>
        <v>42188</v>
      </c>
      <c r="AG172" s="301">
        <f>_xll.qlDayCounterYearFraction(DayCounterON,SettlementDate,AF172,,,Trigger)</f>
        <v>0.67123287671232879</v>
      </c>
      <c r="AH172" s="291">
        <f t="shared" si="16"/>
        <v>3.7281964345528941E-3</v>
      </c>
      <c r="AI172" s="291">
        <f t="shared" si="17"/>
        <v>3.8253883988957423E-3</v>
      </c>
      <c r="AJ172" s="261" t="e">
        <f t="shared" si="18"/>
        <v>#NUM!</v>
      </c>
    </row>
    <row r="173" spans="32:36" x14ac:dyDescent="0.2">
      <c r="AF173" s="290">
        <f>_xll.qlCalendarAdvance(Calendar,AF172,"1d","mf",,Trigger)</f>
        <v>42191</v>
      </c>
      <c r="AG173" s="301">
        <f>_xll.qlDayCounterYearFraction(DayCounterON,SettlementDate,AF173,,,Trigger)</f>
        <v>0.67945205479452053</v>
      </c>
      <c r="AH173" s="291">
        <f t="shared" si="16"/>
        <v>3.7281964345528941E-3</v>
      </c>
      <c r="AI173" s="291">
        <f t="shared" si="17"/>
        <v>3.8300165876739732E-3</v>
      </c>
      <c r="AJ173" s="261" t="e">
        <f t="shared" si="18"/>
        <v>#NUM!</v>
      </c>
    </row>
    <row r="174" spans="32:36" x14ac:dyDescent="0.2">
      <c r="AF174" s="290">
        <f>_xll.qlCalendarAdvance(Calendar,AF173,"1d","mf",,Trigger)</f>
        <v>42192</v>
      </c>
      <c r="AG174" s="301">
        <f>_xll.qlDayCounterYearFraction(DayCounterON,SettlementDate,AF174,,,Trigger)</f>
        <v>0.68219178082191778</v>
      </c>
      <c r="AH174" s="291">
        <f t="shared" si="16"/>
        <v>3.7281964345528941E-3</v>
      </c>
      <c r="AI174" s="291">
        <f t="shared" si="17"/>
        <v>3.8315593172667168E-3</v>
      </c>
      <c r="AJ174" s="261" t="e">
        <f t="shared" si="18"/>
        <v>#NUM!</v>
      </c>
    </row>
    <row r="175" spans="32:36" x14ac:dyDescent="0.2">
      <c r="AF175" s="290">
        <f>_xll.qlCalendarAdvance(Calendar,AF174,"1d","mf",,Trigger)</f>
        <v>42193</v>
      </c>
      <c r="AG175" s="301">
        <f>_xll.qlDayCounterYearFraction(DayCounterON,SettlementDate,AF175,,,Trigger)</f>
        <v>0.68493150684931503</v>
      </c>
      <c r="AH175" s="291">
        <f t="shared" si="16"/>
        <v>3.7281964345528941E-3</v>
      </c>
      <c r="AI175" s="291">
        <f t="shared" si="17"/>
        <v>3.8331020468594604E-3</v>
      </c>
      <c r="AJ175" s="261" t="e">
        <f t="shared" si="18"/>
        <v>#NUM!</v>
      </c>
    </row>
    <row r="176" spans="32:36" x14ac:dyDescent="0.2">
      <c r="AF176" s="290">
        <f>_xll.qlCalendarAdvance(Calendar,AF175,"1d","mf",,Trigger)</f>
        <v>42194</v>
      </c>
      <c r="AG176" s="301">
        <f>_xll.qlDayCounterYearFraction(DayCounterON,SettlementDate,AF176,,,Trigger)</f>
        <v>0.68767123287671228</v>
      </c>
      <c r="AH176" s="291">
        <f t="shared" si="16"/>
        <v>3.7281964345528941E-3</v>
      </c>
      <c r="AI176" s="291">
        <f t="shared" si="17"/>
        <v>3.8346447764522041E-3</v>
      </c>
      <c r="AJ176" s="261" t="e">
        <f t="shared" si="18"/>
        <v>#NUM!</v>
      </c>
    </row>
    <row r="177" spans="32:36" x14ac:dyDescent="0.2">
      <c r="AF177" s="290">
        <f>_xll.qlCalendarAdvance(Calendar,AF176,"1d","mf",,Trigger)</f>
        <v>42195</v>
      </c>
      <c r="AG177" s="301">
        <f>_xll.qlDayCounterYearFraction(DayCounterON,SettlementDate,AF177,,,Trigger)</f>
        <v>0.69041095890410964</v>
      </c>
      <c r="AH177" s="291">
        <f t="shared" si="16"/>
        <v>3.7281964345528941E-3</v>
      </c>
      <c r="AI177" s="291">
        <f t="shared" si="17"/>
        <v>3.8361875060449477E-3</v>
      </c>
      <c r="AJ177" s="261" t="e">
        <f t="shared" si="18"/>
        <v>#NUM!</v>
      </c>
    </row>
    <row r="178" spans="32:36" x14ac:dyDescent="0.2">
      <c r="AF178" s="290">
        <f>_xll.qlCalendarAdvance(Calendar,AF177,"1d","mf",,Trigger)</f>
        <v>42198</v>
      </c>
      <c r="AG178" s="301">
        <f>_xll.qlDayCounterYearFraction(DayCounterON,SettlementDate,AF178,,,Trigger)</f>
        <v>0.69863013698630139</v>
      </c>
      <c r="AH178" s="291">
        <f t="shared" si="16"/>
        <v>3.7281964345528941E-3</v>
      </c>
      <c r="AI178" s="291">
        <f t="shared" si="17"/>
        <v>3.8408156948231786E-3</v>
      </c>
      <c r="AJ178" s="261" t="e">
        <f t="shared" si="18"/>
        <v>#NUM!</v>
      </c>
    </row>
    <row r="179" spans="32:36" x14ac:dyDescent="0.2">
      <c r="AF179" s="290">
        <f>_xll.qlCalendarAdvance(Calendar,AF178,"1d","mf",,Trigger)</f>
        <v>42199</v>
      </c>
      <c r="AG179" s="301">
        <f>_xll.qlDayCounterYearFraction(DayCounterON,SettlementDate,AF179,,,Trigger)</f>
        <v>0.70136986301369864</v>
      </c>
      <c r="AH179" s="291">
        <f t="shared" si="16"/>
        <v>3.7281964345528941E-3</v>
      </c>
      <c r="AI179" s="291">
        <f t="shared" si="17"/>
        <v>3.8423584244159223E-3</v>
      </c>
      <c r="AJ179" s="261" t="e">
        <f t="shared" si="18"/>
        <v>#NUM!</v>
      </c>
    </row>
    <row r="180" spans="32:36" x14ac:dyDescent="0.2">
      <c r="AF180" s="290">
        <f>_xll.qlCalendarAdvance(Calendar,AF179,"1d","mf",,Trigger)</f>
        <v>42200</v>
      </c>
      <c r="AG180" s="301">
        <f>_xll.qlDayCounterYearFraction(DayCounterON,SettlementDate,AF180,,,Trigger)</f>
        <v>0.70410958904109588</v>
      </c>
      <c r="AH180" s="291">
        <f t="shared" si="16"/>
        <v>3.7281964345528941E-3</v>
      </c>
      <c r="AI180" s="291">
        <f t="shared" si="17"/>
        <v>3.8439011540086659E-3</v>
      </c>
      <c r="AJ180" s="261" t="e">
        <f t="shared" si="18"/>
        <v>#NUM!</v>
      </c>
    </row>
    <row r="181" spans="32:36" x14ac:dyDescent="0.2">
      <c r="AF181" s="290">
        <f>_xll.qlCalendarAdvance(Calendar,AF180,"1d","mf",,Trigger)</f>
        <v>42201</v>
      </c>
      <c r="AG181" s="301">
        <f>_xll.qlDayCounterYearFraction(DayCounterON,SettlementDate,AF181,,,Trigger)</f>
        <v>0.70684931506849313</v>
      </c>
      <c r="AH181" s="291">
        <f t="shared" si="16"/>
        <v>3.7281964345528941E-3</v>
      </c>
      <c r="AI181" s="291">
        <f t="shared" si="17"/>
        <v>3.8454438836014095E-3</v>
      </c>
      <c r="AJ181" s="261" t="e">
        <f t="shared" si="18"/>
        <v>#NUM!</v>
      </c>
    </row>
    <row r="182" spans="32:36" x14ac:dyDescent="0.2">
      <c r="AF182" s="290">
        <f>_xll.qlCalendarAdvance(Calendar,AF181,"1d","mf",,Trigger)</f>
        <v>42202</v>
      </c>
      <c r="AG182" s="301">
        <f>_xll.qlDayCounterYearFraction(DayCounterON,SettlementDate,AF182,,,Trigger)</f>
        <v>0.70958904109589038</v>
      </c>
      <c r="AH182" s="291">
        <f t="shared" si="16"/>
        <v>3.7281964345528941E-3</v>
      </c>
      <c r="AI182" s="291">
        <f t="shared" si="17"/>
        <v>3.8469866131941532E-3</v>
      </c>
      <c r="AJ182" s="261" t="e">
        <f t="shared" si="18"/>
        <v>#NUM!</v>
      </c>
    </row>
    <row r="183" spans="32:36" x14ac:dyDescent="0.2">
      <c r="AF183" s="290">
        <f>_xll.qlCalendarAdvance(Calendar,AF182,"1d","mf",,Trigger)</f>
        <v>42205</v>
      </c>
      <c r="AG183" s="301">
        <f>_xll.qlDayCounterYearFraction(DayCounterON,SettlementDate,AF183,,,Trigger)</f>
        <v>0.71780821917808224</v>
      </c>
      <c r="AH183" s="291">
        <f t="shared" si="16"/>
        <v>3.7281964345528941E-3</v>
      </c>
      <c r="AI183" s="291">
        <f t="shared" si="17"/>
        <v>3.8516148019723841E-3</v>
      </c>
      <c r="AJ183" s="261" t="e">
        <f t="shared" si="18"/>
        <v>#NUM!</v>
      </c>
    </row>
    <row r="184" spans="32:36" x14ac:dyDescent="0.2">
      <c r="AF184" s="290">
        <f>_xll.qlCalendarAdvance(Calendar,AF183,"1d","mf",,Trigger)</f>
        <v>42206</v>
      </c>
      <c r="AG184" s="301">
        <f>_xll.qlDayCounterYearFraction(DayCounterON,SettlementDate,AF184,,,Trigger)</f>
        <v>0.72054794520547949</v>
      </c>
      <c r="AH184" s="291">
        <f t="shared" si="16"/>
        <v>3.7281964345528941E-3</v>
      </c>
      <c r="AI184" s="291">
        <f t="shared" si="17"/>
        <v>3.8531575315651277E-3</v>
      </c>
      <c r="AJ184" s="261" t="e">
        <f t="shared" si="18"/>
        <v>#NUM!</v>
      </c>
    </row>
    <row r="185" spans="32:36" x14ac:dyDescent="0.2">
      <c r="AF185" s="290">
        <f>_xll.qlCalendarAdvance(Calendar,AF184,"1d","mf",,Trigger)</f>
        <v>42207</v>
      </c>
      <c r="AG185" s="301">
        <f>_xll.qlDayCounterYearFraction(DayCounterON,SettlementDate,AF185,,,Trigger)</f>
        <v>0.72328767123287674</v>
      </c>
      <c r="AH185" s="291">
        <f t="shared" si="16"/>
        <v>3.7281964345528941E-3</v>
      </c>
      <c r="AI185" s="291">
        <f t="shared" si="17"/>
        <v>3.8547002611578713E-3</v>
      </c>
      <c r="AJ185" s="261" t="e">
        <f t="shared" si="18"/>
        <v>#NUM!</v>
      </c>
    </row>
    <row r="186" spans="32:36" x14ac:dyDescent="0.2">
      <c r="AF186" s="290">
        <f>_xll.qlCalendarAdvance(Calendar,AF185,"1d","mf",,Trigger)</f>
        <v>42208</v>
      </c>
      <c r="AG186" s="301">
        <f>_xll.qlDayCounterYearFraction(DayCounterON,SettlementDate,AF186,,,Trigger)</f>
        <v>0.72602739726027399</v>
      </c>
      <c r="AH186" s="291">
        <f t="shared" si="16"/>
        <v>3.7281964345528941E-3</v>
      </c>
      <c r="AI186" s="291">
        <f t="shared" si="17"/>
        <v>3.856242990750615E-3</v>
      </c>
      <c r="AJ186" s="261" t="e">
        <f t="shared" si="18"/>
        <v>#NUM!</v>
      </c>
    </row>
    <row r="187" spans="32:36" x14ac:dyDescent="0.2">
      <c r="AF187" s="290">
        <f>_xll.qlCalendarAdvance(Calendar,AF186,"1d","mf",,Trigger)</f>
        <v>42209</v>
      </c>
      <c r="AG187" s="301">
        <f>_xll.qlDayCounterYearFraction(DayCounterON,SettlementDate,AF187,,,Trigger)</f>
        <v>0.72876712328767124</v>
      </c>
      <c r="AH187" s="291">
        <f t="shared" si="16"/>
        <v>3.7281964345528941E-3</v>
      </c>
      <c r="AI187" s="291">
        <f t="shared" si="17"/>
        <v>3.8577857203433586E-3</v>
      </c>
      <c r="AJ187" s="261" t="e">
        <f t="shared" si="18"/>
        <v>#NUM!</v>
      </c>
    </row>
    <row r="188" spans="32:36" x14ac:dyDescent="0.2">
      <c r="AF188" s="290">
        <f>_xll.qlCalendarAdvance(Calendar,AF187,"1d","mf",,Trigger)</f>
        <v>42212</v>
      </c>
      <c r="AG188" s="301">
        <f>_xll.qlDayCounterYearFraction(DayCounterON,SettlementDate,AF188,,,Trigger)</f>
        <v>0.73698630136986298</v>
      </c>
      <c r="AH188" s="291">
        <f t="shared" si="16"/>
        <v>3.7281964345528941E-3</v>
      </c>
      <c r="AI188" s="291">
        <f t="shared" si="17"/>
        <v>3.8624139091215895E-3</v>
      </c>
      <c r="AJ188" s="261" t="e">
        <f t="shared" si="18"/>
        <v>#NUM!</v>
      </c>
    </row>
    <row r="189" spans="32:36" x14ac:dyDescent="0.2">
      <c r="AF189" s="290">
        <f>_xll.qlCalendarAdvance(Calendar,AF188,"1d","mf",,Trigger)</f>
        <v>42213</v>
      </c>
      <c r="AG189" s="301">
        <f>_xll.qlDayCounterYearFraction(DayCounterON,SettlementDate,AF189,,,Trigger)</f>
        <v>0.73972602739726023</v>
      </c>
      <c r="AH189" s="291">
        <f t="shared" si="16"/>
        <v>3.7281964345528941E-3</v>
      </c>
      <c r="AI189" s="291">
        <f t="shared" si="17"/>
        <v>3.8639566387143331E-3</v>
      </c>
      <c r="AJ189" s="261" t="e">
        <f t="shared" si="18"/>
        <v>#NUM!</v>
      </c>
    </row>
    <row r="190" spans="32:36" x14ac:dyDescent="0.2">
      <c r="AF190" s="290">
        <f>_xll.qlCalendarAdvance(Calendar,AF189,"1d","mf",,Trigger)</f>
        <v>42214</v>
      </c>
      <c r="AG190" s="301">
        <f>_xll.qlDayCounterYearFraction(DayCounterON,SettlementDate,AF190,,,Trigger)</f>
        <v>0.74246575342465748</v>
      </c>
      <c r="AH190" s="291">
        <f t="shared" si="16"/>
        <v>3.7281964345528941E-3</v>
      </c>
      <c r="AI190" s="291">
        <f t="shared" si="17"/>
        <v>3.8654993683070768E-3</v>
      </c>
      <c r="AJ190" s="261" t="e">
        <f t="shared" si="18"/>
        <v>#NUM!</v>
      </c>
    </row>
    <row r="191" spans="32:36" x14ac:dyDescent="0.2">
      <c r="AF191" s="290">
        <f>_xll.qlCalendarAdvance(Calendar,AF190,"1d","mf",,Trigger)</f>
        <v>42215</v>
      </c>
      <c r="AG191" s="301">
        <f>_xll.qlDayCounterYearFraction(DayCounterON,SettlementDate,AF191,,,Trigger)</f>
        <v>0.74520547945205484</v>
      </c>
      <c r="AH191" s="291">
        <f t="shared" si="16"/>
        <v>3.7281964345528941E-3</v>
      </c>
      <c r="AI191" s="291">
        <f t="shared" si="17"/>
        <v>3.8670420978998204E-3</v>
      </c>
      <c r="AJ191" s="261" t="e">
        <f t="shared" si="18"/>
        <v>#NUM!</v>
      </c>
    </row>
    <row r="192" spans="32:36" x14ac:dyDescent="0.2">
      <c r="AF192" s="290">
        <f>_xll.qlCalendarAdvance(Calendar,AF191,"1d","mf",,Trigger)</f>
        <v>42216</v>
      </c>
      <c r="AG192" s="301">
        <f>_xll.qlDayCounterYearFraction(DayCounterON,SettlementDate,AF192,,,Trigger)</f>
        <v>0.74794520547945209</v>
      </c>
      <c r="AH192" s="291">
        <f t="shared" si="16"/>
        <v>3.7281964345528941E-3</v>
      </c>
      <c r="AI192" s="291">
        <f t="shared" si="17"/>
        <v>3.8685848274925641E-3</v>
      </c>
      <c r="AJ192" s="261" t="e">
        <f t="shared" si="18"/>
        <v>#NUM!</v>
      </c>
    </row>
    <row r="193" spans="32:36" x14ac:dyDescent="0.2">
      <c r="AF193" s="290">
        <f>_xll.qlCalendarAdvance(Calendar,AF192,"1d","mf",,Trigger)</f>
        <v>42219</v>
      </c>
      <c r="AG193" s="301">
        <f>_xll.qlDayCounterYearFraction(DayCounterON,SettlementDate,AF193,,,Trigger)</f>
        <v>0.75616438356164384</v>
      </c>
      <c r="AH193" s="291">
        <f t="shared" si="16"/>
        <v>3.7281964345528941E-3</v>
      </c>
      <c r="AI193" s="291">
        <f t="shared" si="17"/>
        <v>3.873213016270795E-3</v>
      </c>
      <c r="AJ193" s="261" t="e">
        <f t="shared" si="18"/>
        <v>#NUM!</v>
      </c>
    </row>
    <row r="194" spans="32:36" x14ac:dyDescent="0.2">
      <c r="AF194" s="290">
        <f>_xll.qlCalendarAdvance(Calendar,AF193,"1d","mf",,Trigger)</f>
        <v>42220</v>
      </c>
      <c r="AG194" s="301">
        <f>_xll.qlDayCounterYearFraction(DayCounterON,SettlementDate,AF194,,,Trigger)</f>
        <v>0.75890410958904109</v>
      </c>
      <c r="AH194" s="291">
        <f t="shared" si="16"/>
        <v>3.7281964345528941E-3</v>
      </c>
      <c r="AI194" s="291">
        <f t="shared" si="17"/>
        <v>3.8747557458635386E-3</v>
      </c>
      <c r="AJ194" s="261" t="e">
        <f t="shared" si="18"/>
        <v>#NUM!</v>
      </c>
    </row>
    <row r="195" spans="32:36" x14ac:dyDescent="0.2">
      <c r="AF195" s="290">
        <f>_xll.qlCalendarAdvance(Calendar,AF194,"1d","mf",,Trigger)</f>
        <v>42221</v>
      </c>
      <c r="AG195" s="301">
        <f>_xll.qlDayCounterYearFraction(DayCounterON,SettlementDate,AF195,,,Trigger)</f>
        <v>0.76164383561643834</v>
      </c>
      <c r="AH195" s="291">
        <f t="shared" ref="AH195:AH257" si="19">$W$13</f>
        <v>3.7281964345528941E-3</v>
      </c>
      <c r="AI195" s="291">
        <f t="shared" si="17"/>
        <v>3.8762984754562822E-3</v>
      </c>
      <c r="AJ195" s="261" t="e">
        <f t="shared" si="18"/>
        <v>#NUM!</v>
      </c>
    </row>
    <row r="196" spans="32:36" x14ac:dyDescent="0.2">
      <c r="AF196" s="290">
        <f>_xll.qlCalendarAdvance(Calendar,AF195,"1d","mf",,Trigger)</f>
        <v>42222</v>
      </c>
      <c r="AG196" s="301">
        <f>_xll.qlDayCounterYearFraction(DayCounterON,SettlementDate,AF196,,,Trigger)</f>
        <v>0.76438356164383559</v>
      </c>
      <c r="AH196" s="291">
        <f t="shared" si="19"/>
        <v>3.7281964345528941E-3</v>
      </c>
      <c r="AI196" s="291">
        <f t="shared" si="17"/>
        <v>3.8778412050490259E-3</v>
      </c>
      <c r="AJ196" s="261" t="e">
        <f t="shared" si="18"/>
        <v>#NUM!</v>
      </c>
    </row>
    <row r="197" spans="32:36" x14ac:dyDescent="0.2">
      <c r="AF197" s="290">
        <f>_xll.qlCalendarAdvance(Calendar,AF196,"1d","mf",,Trigger)</f>
        <v>42223</v>
      </c>
      <c r="AG197" s="301">
        <f>_xll.qlDayCounterYearFraction(DayCounterON,SettlementDate,AF197,,,Trigger)</f>
        <v>0.76712328767123283</v>
      </c>
      <c r="AH197" s="291">
        <f t="shared" si="19"/>
        <v>3.7281964345528941E-3</v>
      </c>
      <c r="AI197" s="291">
        <f t="shared" si="17"/>
        <v>3.8793839346417695E-3</v>
      </c>
      <c r="AJ197" s="261" t="e">
        <f t="shared" si="18"/>
        <v>#NUM!</v>
      </c>
    </row>
    <row r="198" spans="32:36" x14ac:dyDescent="0.2">
      <c r="AF198" s="290">
        <f>_xll.qlCalendarAdvance(Calendar,AF197,"1d","mf",,Trigger)</f>
        <v>42226</v>
      </c>
      <c r="AG198" s="301">
        <f>_xll.qlDayCounterYearFraction(DayCounterON,SettlementDate,AF198,,,Trigger)</f>
        <v>0.77534246575342469</v>
      </c>
      <c r="AH198" s="291">
        <f t="shared" si="19"/>
        <v>3.7281964345528941E-3</v>
      </c>
      <c r="AI198" s="291">
        <f t="shared" si="17"/>
        <v>3.8840121234200004E-3</v>
      </c>
      <c r="AJ198" s="261" t="e">
        <f t="shared" si="18"/>
        <v>#NUM!</v>
      </c>
    </row>
    <row r="199" spans="32:36" x14ac:dyDescent="0.2">
      <c r="AF199" s="290">
        <f>_xll.qlCalendarAdvance(Calendar,AF198,"1d","mf",,Trigger)</f>
        <v>42227</v>
      </c>
      <c r="AG199" s="301">
        <f>_xll.qlDayCounterYearFraction(DayCounterON,SettlementDate,AF199,,,Trigger)</f>
        <v>0.77808219178082194</v>
      </c>
      <c r="AH199" s="291">
        <f t="shared" si="19"/>
        <v>3.7281964345528941E-3</v>
      </c>
      <c r="AI199" s="291">
        <f t="shared" si="17"/>
        <v>3.885554853012744E-3</v>
      </c>
      <c r="AJ199" s="261" t="e">
        <f t="shared" si="18"/>
        <v>#NUM!</v>
      </c>
    </row>
    <row r="200" spans="32:36" x14ac:dyDescent="0.2">
      <c r="AF200" s="290">
        <f>_xll.qlCalendarAdvance(Calendar,AF199,"1d","mf",,Trigger)</f>
        <v>42228</v>
      </c>
      <c r="AG200" s="301">
        <f>_xll.qlDayCounterYearFraction(DayCounterON,SettlementDate,AF200,,,Trigger)</f>
        <v>0.78082191780821919</v>
      </c>
      <c r="AH200" s="291">
        <f t="shared" si="19"/>
        <v>3.7281964345528941E-3</v>
      </c>
      <c r="AI200" s="291">
        <f t="shared" si="17"/>
        <v>3.8870975826054877E-3</v>
      </c>
      <c r="AJ200" s="261" t="e">
        <f t="shared" si="18"/>
        <v>#NUM!</v>
      </c>
    </row>
    <row r="201" spans="32:36" x14ac:dyDescent="0.2">
      <c r="AF201" s="290">
        <f>_xll.qlCalendarAdvance(Calendar,AF200,"1d","mf",,Trigger)</f>
        <v>42229</v>
      </c>
      <c r="AG201" s="301">
        <f>_xll.qlDayCounterYearFraction(DayCounterON,SettlementDate,AF201,,,Trigger)</f>
        <v>0.78356164383561644</v>
      </c>
      <c r="AH201" s="291">
        <f t="shared" si="19"/>
        <v>3.7281964345528941E-3</v>
      </c>
      <c r="AI201" s="291">
        <f t="shared" si="17"/>
        <v>3.8886403121982313E-3</v>
      </c>
      <c r="AJ201" s="261" t="e">
        <f t="shared" si="18"/>
        <v>#NUM!</v>
      </c>
    </row>
    <row r="202" spans="32:36" x14ac:dyDescent="0.2">
      <c r="AF202" s="290">
        <f>_xll.qlCalendarAdvance(Calendar,AF201,"1d","mf",,Trigger)</f>
        <v>42230</v>
      </c>
      <c r="AG202" s="301">
        <f>_xll.qlDayCounterYearFraction(DayCounterON,SettlementDate,AF202,,,Trigger)</f>
        <v>0.78630136986301369</v>
      </c>
      <c r="AH202" s="291">
        <f t="shared" si="19"/>
        <v>3.7281964345528941E-3</v>
      </c>
      <c r="AI202" s="291">
        <f t="shared" si="17"/>
        <v>3.8901830417909749E-3</v>
      </c>
      <c r="AJ202" s="261" t="e">
        <f t="shared" si="18"/>
        <v>#NUM!</v>
      </c>
    </row>
    <row r="203" spans="32:36" x14ac:dyDescent="0.2">
      <c r="AF203" s="290">
        <f>_xll.qlCalendarAdvance(Calendar,AF202,"1d","mf",,Trigger)</f>
        <v>42233</v>
      </c>
      <c r="AG203" s="301">
        <f>_xll.qlDayCounterYearFraction(DayCounterON,SettlementDate,AF203,,,Trigger)</f>
        <v>0.79452054794520544</v>
      </c>
      <c r="AH203" s="291">
        <f t="shared" si="19"/>
        <v>3.7281964345528941E-3</v>
      </c>
      <c r="AI203" s="291">
        <f t="shared" si="17"/>
        <v>3.8948112305692058E-3</v>
      </c>
      <c r="AJ203" s="261" t="e">
        <f t="shared" si="18"/>
        <v>#NUM!</v>
      </c>
    </row>
    <row r="204" spans="32:36" x14ac:dyDescent="0.2">
      <c r="AF204" s="290">
        <f>_xll.qlCalendarAdvance(Calendar,AF203,"1d","mf",,Trigger)</f>
        <v>42234</v>
      </c>
      <c r="AG204" s="301">
        <f>_xll.qlDayCounterYearFraction(DayCounterON,SettlementDate,AF204,,,Trigger)</f>
        <v>0.79726027397260268</v>
      </c>
      <c r="AH204" s="291">
        <f t="shared" si="19"/>
        <v>3.7281964345528941E-3</v>
      </c>
      <c r="AI204" s="291">
        <f t="shared" ref="AI204:AI257" si="20">$W$10+$W$9*AG204</f>
        <v>3.8963539601619495E-3</v>
      </c>
      <c r="AJ204" s="261" t="e">
        <f t="shared" ref="AJ204:AJ257" si="21">($W$5+$W$4*AG204+$W$3*AG204^2)</f>
        <v>#NUM!</v>
      </c>
    </row>
    <row r="205" spans="32:36" x14ac:dyDescent="0.2">
      <c r="AF205" s="290">
        <f>_xll.qlCalendarAdvance(Calendar,AF204,"1d","mf",,Trigger)</f>
        <v>42235</v>
      </c>
      <c r="AG205" s="301">
        <f>_xll.qlDayCounterYearFraction(DayCounterON,SettlementDate,AF205,,,Trigger)</f>
        <v>0.8</v>
      </c>
      <c r="AH205" s="291">
        <f t="shared" si="19"/>
        <v>3.7281964345528941E-3</v>
      </c>
      <c r="AI205" s="291">
        <f t="shared" si="20"/>
        <v>3.8978966897546931E-3</v>
      </c>
      <c r="AJ205" s="261" t="e">
        <f t="shared" si="21"/>
        <v>#NUM!</v>
      </c>
    </row>
    <row r="206" spans="32:36" x14ac:dyDescent="0.2">
      <c r="AF206" s="290">
        <f>_xll.qlCalendarAdvance(Calendar,AF205,"1d","mf",,Trigger)</f>
        <v>42236</v>
      </c>
      <c r="AG206" s="301">
        <f>_xll.qlDayCounterYearFraction(DayCounterON,SettlementDate,AF206,,,Trigger)</f>
        <v>0.80273972602739729</v>
      </c>
      <c r="AH206" s="291">
        <f t="shared" si="19"/>
        <v>3.7281964345528941E-3</v>
      </c>
      <c r="AI206" s="291">
        <f t="shared" si="20"/>
        <v>3.8994394193474372E-3</v>
      </c>
      <c r="AJ206" s="261" t="e">
        <f t="shared" si="21"/>
        <v>#NUM!</v>
      </c>
    </row>
    <row r="207" spans="32:36" x14ac:dyDescent="0.2">
      <c r="AF207" s="290">
        <f>_xll.qlCalendarAdvance(Calendar,AF206,"1d","mf",,Trigger)</f>
        <v>42237</v>
      </c>
      <c r="AG207" s="301">
        <f>_xll.qlDayCounterYearFraction(DayCounterON,SettlementDate,AF207,,,Trigger)</f>
        <v>0.80547945205479454</v>
      </c>
      <c r="AH207" s="291">
        <f t="shared" si="19"/>
        <v>3.7281964345528941E-3</v>
      </c>
      <c r="AI207" s="291">
        <f t="shared" si="20"/>
        <v>3.9009821489401804E-3</v>
      </c>
      <c r="AJ207" s="261" t="e">
        <f t="shared" si="21"/>
        <v>#NUM!</v>
      </c>
    </row>
    <row r="208" spans="32:36" x14ac:dyDescent="0.2">
      <c r="AF208" s="290">
        <f>_xll.qlCalendarAdvance(Calendar,AF207,"1d","mf",,Trigger)</f>
        <v>42240</v>
      </c>
      <c r="AG208" s="301">
        <f>_xll.qlDayCounterYearFraction(DayCounterON,SettlementDate,AF208,,,Trigger)</f>
        <v>0.81369863013698629</v>
      </c>
      <c r="AH208" s="291">
        <f t="shared" si="19"/>
        <v>3.7281964345528941E-3</v>
      </c>
      <c r="AI208" s="291">
        <f t="shared" si="20"/>
        <v>3.9056103377184113E-3</v>
      </c>
      <c r="AJ208" s="261" t="e">
        <f t="shared" si="21"/>
        <v>#NUM!</v>
      </c>
    </row>
    <row r="209" spans="32:36" x14ac:dyDescent="0.2">
      <c r="AF209" s="290">
        <f>_xll.qlCalendarAdvance(Calendar,AF208,"1d","mf",,Trigger)</f>
        <v>42241</v>
      </c>
      <c r="AG209" s="301">
        <f>_xll.qlDayCounterYearFraction(DayCounterON,SettlementDate,AF209,,,Trigger)</f>
        <v>0.81643835616438354</v>
      </c>
      <c r="AH209" s="291">
        <f t="shared" si="19"/>
        <v>3.7281964345528941E-3</v>
      </c>
      <c r="AI209" s="291">
        <f t="shared" si="20"/>
        <v>3.9071530673111549E-3</v>
      </c>
      <c r="AJ209" s="261" t="e">
        <f t="shared" si="21"/>
        <v>#NUM!</v>
      </c>
    </row>
    <row r="210" spans="32:36" x14ac:dyDescent="0.2">
      <c r="AF210" s="290">
        <f>_xll.qlCalendarAdvance(Calendar,AF209,"1d","mf",,Trigger)</f>
        <v>42242</v>
      </c>
      <c r="AG210" s="301">
        <f>_xll.qlDayCounterYearFraction(DayCounterON,SettlementDate,AF210,,,Trigger)</f>
        <v>0.81917808219178079</v>
      </c>
      <c r="AH210" s="291">
        <f t="shared" si="19"/>
        <v>3.7281964345528941E-3</v>
      </c>
      <c r="AI210" s="291">
        <f t="shared" si="20"/>
        <v>3.908695796903899E-3</v>
      </c>
      <c r="AJ210" s="261" t="e">
        <f t="shared" si="21"/>
        <v>#NUM!</v>
      </c>
    </row>
    <row r="211" spans="32:36" x14ac:dyDescent="0.2">
      <c r="AF211" s="290">
        <f>_xll.qlCalendarAdvance(Calendar,AF210,"1d","mf",,Trigger)</f>
        <v>42243</v>
      </c>
      <c r="AG211" s="301">
        <f>_xll.qlDayCounterYearFraction(DayCounterON,SettlementDate,AF211,,,Trigger)</f>
        <v>0.82191780821917804</v>
      </c>
      <c r="AH211" s="291">
        <f t="shared" si="19"/>
        <v>3.7281964345528941E-3</v>
      </c>
      <c r="AI211" s="291">
        <f t="shared" si="20"/>
        <v>3.9102385264966422E-3</v>
      </c>
      <c r="AJ211" s="261" t="e">
        <f t="shared" si="21"/>
        <v>#NUM!</v>
      </c>
    </row>
    <row r="212" spans="32:36" x14ac:dyDescent="0.2">
      <c r="AF212" s="290">
        <f>_xll.qlCalendarAdvance(Calendar,AF211,"1d","mf",,Trigger)</f>
        <v>42244</v>
      </c>
      <c r="AG212" s="301">
        <f>_xll.qlDayCounterYearFraction(DayCounterON,SettlementDate,AF212,,,Trigger)</f>
        <v>0.8246575342465754</v>
      </c>
      <c r="AH212" s="291">
        <f t="shared" si="19"/>
        <v>3.7281964345528941E-3</v>
      </c>
      <c r="AI212" s="291">
        <f t="shared" si="20"/>
        <v>3.9117812560893863E-3</v>
      </c>
      <c r="AJ212" s="261" t="e">
        <f t="shared" si="21"/>
        <v>#NUM!</v>
      </c>
    </row>
    <row r="213" spans="32:36" x14ac:dyDescent="0.2">
      <c r="AF213" s="290">
        <f>_xll.qlCalendarAdvance(Calendar,AF212,"1d","mf",,Trigger)</f>
        <v>42247</v>
      </c>
      <c r="AG213" s="301">
        <f>_xll.qlDayCounterYearFraction(DayCounterON,SettlementDate,AF213,,,Trigger)</f>
        <v>0.83287671232876714</v>
      </c>
      <c r="AH213" s="291">
        <f t="shared" si="19"/>
        <v>3.7281964345528941E-3</v>
      </c>
      <c r="AI213" s="291">
        <f t="shared" si="20"/>
        <v>3.9164094448676167E-3</v>
      </c>
      <c r="AJ213" s="261" t="e">
        <f t="shared" si="21"/>
        <v>#NUM!</v>
      </c>
    </row>
    <row r="214" spans="32:36" x14ac:dyDescent="0.2">
      <c r="AF214" s="290">
        <f>_xll.qlCalendarAdvance(Calendar,AF213,"1d","mf",,Trigger)</f>
        <v>42248</v>
      </c>
      <c r="AG214" s="301">
        <f>_xll.qlDayCounterYearFraction(DayCounterON,SettlementDate,AF214,,,Trigger)</f>
        <v>0.83561643835616439</v>
      </c>
      <c r="AH214" s="291">
        <f t="shared" si="19"/>
        <v>3.7281964345528941E-3</v>
      </c>
      <c r="AI214" s="291">
        <f t="shared" si="20"/>
        <v>3.9179521744603608E-3</v>
      </c>
      <c r="AJ214" s="261" t="e">
        <f t="shared" si="21"/>
        <v>#NUM!</v>
      </c>
    </row>
    <row r="215" spans="32:36" x14ac:dyDescent="0.2">
      <c r="AF215" s="290">
        <f>_xll.qlCalendarAdvance(Calendar,AF214,"1d","mf",,Trigger)</f>
        <v>42249</v>
      </c>
      <c r="AG215" s="301">
        <f>_xll.qlDayCounterYearFraction(DayCounterON,SettlementDate,AF215,,,Trigger)</f>
        <v>0.83835616438356164</v>
      </c>
      <c r="AH215" s="291">
        <f t="shared" si="19"/>
        <v>3.7281964345528941E-3</v>
      </c>
      <c r="AI215" s="291">
        <f t="shared" si="20"/>
        <v>3.919494904053104E-3</v>
      </c>
      <c r="AJ215" s="261" t="e">
        <f t="shared" si="21"/>
        <v>#NUM!</v>
      </c>
    </row>
    <row r="216" spans="32:36" x14ac:dyDescent="0.2">
      <c r="AF216" s="290">
        <f>_xll.qlCalendarAdvance(Calendar,AF215,"1d","mf",,Trigger)</f>
        <v>42250</v>
      </c>
      <c r="AG216" s="301">
        <f>_xll.qlDayCounterYearFraction(DayCounterON,SettlementDate,AF216,,,Trigger)</f>
        <v>0.84109589041095889</v>
      </c>
      <c r="AH216" s="291">
        <f t="shared" si="19"/>
        <v>3.7281964345528941E-3</v>
      </c>
      <c r="AI216" s="291">
        <f t="shared" si="20"/>
        <v>3.9210376336458481E-3</v>
      </c>
      <c r="AJ216" s="261" t="e">
        <f t="shared" si="21"/>
        <v>#NUM!</v>
      </c>
    </row>
    <row r="217" spans="32:36" x14ac:dyDescent="0.2">
      <c r="AF217" s="290">
        <f>_xll.qlCalendarAdvance(Calendar,AF216,"1d","mf",,Trigger)</f>
        <v>42251</v>
      </c>
      <c r="AG217" s="301">
        <f>_xll.qlDayCounterYearFraction(DayCounterON,SettlementDate,AF217,,,Trigger)</f>
        <v>0.84383561643835614</v>
      </c>
      <c r="AH217" s="291">
        <f t="shared" si="19"/>
        <v>3.7281964345528941E-3</v>
      </c>
      <c r="AI217" s="291">
        <f t="shared" si="20"/>
        <v>3.9225803632385913E-3</v>
      </c>
      <c r="AJ217" s="261" t="e">
        <f t="shared" si="21"/>
        <v>#NUM!</v>
      </c>
    </row>
    <row r="218" spans="32:36" x14ac:dyDescent="0.2">
      <c r="AF218" s="290">
        <f>_xll.qlCalendarAdvance(Calendar,AF217,"1d","mf",,Trigger)</f>
        <v>42254</v>
      </c>
      <c r="AG218" s="301">
        <f>_xll.qlDayCounterYearFraction(DayCounterON,SettlementDate,AF218,,,Trigger)</f>
        <v>0.852054794520548</v>
      </c>
      <c r="AH218" s="291">
        <f t="shared" si="19"/>
        <v>3.7281964345528941E-3</v>
      </c>
      <c r="AI218" s="291">
        <f t="shared" si="20"/>
        <v>3.9272085520168226E-3</v>
      </c>
      <c r="AJ218" s="261" t="e">
        <f t="shared" si="21"/>
        <v>#NUM!</v>
      </c>
    </row>
    <row r="219" spans="32:36" x14ac:dyDescent="0.2">
      <c r="AF219" s="290">
        <f>_xll.qlCalendarAdvance(Calendar,AF218,"1d","mf",,Trigger)</f>
        <v>42255</v>
      </c>
      <c r="AG219" s="301">
        <f>_xll.qlDayCounterYearFraction(DayCounterON,SettlementDate,AF219,,,Trigger)</f>
        <v>0.85479452054794525</v>
      </c>
      <c r="AH219" s="291">
        <f t="shared" si="19"/>
        <v>3.7281964345528941E-3</v>
      </c>
      <c r="AI219" s="291">
        <f t="shared" si="20"/>
        <v>3.9287512816095658E-3</v>
      </c>
      <c r="AJ219" s="261" t="e">
        <f t="shared" si="21"/>
        <v>#NUM!</v>
      </c>
    </row>
    <row r="220" spans="32:36" x14ac:dyDescent="0.2">
      <c r="AF220" s="290">
        <f>_xll.qlCalendarAdvance(Calendar,AF219,"1d","mf",,Trigger)</f>
        <v>42256</v>
      </c>
      <c r="AG220" s="301">
        <f>_xll.qlDayCounterYearFraction(DayCounterON,SettlementDate,AF220,,,Trigger)</f>
        <v>0.8575342465753425</v>
      </c>
      <c r="AH220" s="291">
        <f t="shared" si="19"/>
        <v>3.7281964345528941E-3</v>
      </c>
      <c r="AI220" s="291">
        <f t="shared" si="20"/>
        <v>3.9302940112023099E-3</v>
      </c>
      <c r="AJ220" s="261" t="e">
        <f t="shared" si="21"/>
        <v>#NUM!</v>
      </c>
    </row>
    <row r="221" spans="32:36" x14ac:dyDescent="0.2">
      <c r="AF221" s="290">
        <f>_xll.qlCalendarAdvance(Calendar,AF220,"1d","mf",,Trigger)</f>
        <v>42257</v>
      </c>
      <c r="AG221" s="301">
        <f>_xll.qlDayCounterYearFraction(DayCounterON,SettlementDate,AF221,,,Trigger)</f>
        <v>0.86027397260273974</v>
      </c>
      <c r="AH221" s="291">
        <f t="shared" si="19"/>
        <v>3.7281964345528941E-3</v>
      </c>
      <c r="AI221" s="291">
        <f t="shared" si="20"/>
        <v>3.9318367407950531E-3</v>
      </c>
      <c r="AJ221" s="261" t="e">
        <f t="shared" si="21"/>
        <v>#NUM!</v>
      </c>
    </row>
    <row r="222" spans="32:36" x14ac:dyDescent="0.2">
      <c r="AF222" s="290">
        <f>_xll.qlCalendarAdvance(Calendar,AF221,"1d","mf",,Trigger)</f>
        <v>42258</v>
      </c>
      <c r="AG222" s="301">
        <f>_xll.qlDayCounterYearFraction(DayCounterON,SettlementDate,AF222,,,Trigger)</f>
        <v>0.86301369863013699</v>
      </c>
      <c r="AH222" s="291">
        <f t="shared" si="19"/>
        <v>3.7281964345528941E-3</v>
      </c>
      <c r="AI222" s="291">
        <f t="shared" si="20"/>
        <v>3.9333794703877972E-3</v>
      </c>
      <c r="AJ222" s="261" t="e">
        <f t="shared" si="21"/>
        <v>#NUM!</v>
      </c>
    </row>
    <row r="223" spans="32:36" x14ac:dyDescent="0.2">
      <c r="AF223" s="290">
        <f>_xll.qlCalendarAdvance(Calendar,AF222,"1d","mf",,Trigger)</f>
        <v>42261</v>
      </c>
      <c r="AG223" s="301">
        <f>_xll.qlDayCounterYearFraction(DayCounterON,SettlementDate,AF223,,,Trigger)</f>
        <v>0.87123287671232874</v>
      </c>
      <c r="AH223" s="291">
        <f t="shared" si="19"/>
        <v>3.7281964345528941E-3</v>
      </c>
      <c r="AI223" s="291">
        <f t="shared" si="20"/>
        <v>3.9380076591660276E-3</v>
      </c>
      <c r="AJ223" s="261" t="e">
        <f t="shared" si="21"/>
        <v>#NUM!</v>
      </c>
    </row>
    <row r="224" spans="32:36" x14ac:dyDescent="0.2">
      <c r="AF224" s="290">
        <f>_xll.qlCalendarAdvance(Calendar,AF223,"1d","mf",,Trigger)</f>
        <v>42262</v>
      </c>
      <c r="AG224" s="301">
        <f>_xll.qlDayCounterYearFraction(DayCounterON,SettlementDate,AF224,,,Trigger)</f>
        <v>0.87397260273972599</v>
      </c>
      <c r="AH224" s="291">
        <f t="shared" si="19"/>
        <v>3.7281964345528941E-3</v>
      </c>
      <c r="AI224" s="291">
        <f t="shared" si="20"/>
        <v>3.9395503887587717E-3</v>
      </c>
      <c r="AJ224" s="261" t="e">
        <f t="shared" si="21"/>
        <v>#NUM!</v>
      </c>
    </row>
    <row r="225" spans="32:36" x14ac:dyDescent="0.2">
      <c r="AF225" s="290">
        <f>_xll.qlCalendarAdvance(Calendar,AF224,"1d","mf",,Trigger)</f>
        <v>42263</v>
      </c>
      <c r="AG225" s="301">
        <f>_xll.qlDayCounterYearFraction(DayCounterON,SettlementDate,AF225,,,Trigger)</f>
        <v>0.87671232876712324</v>
      </c>
      <c r="AH225" s="291">
        <f t="shared" si="19"/>
        <v>3.7281964345528941E-3</v>
      </c>
      <c r="AI225" s="291">
        <f t="shared" si="20"/>
        <v>3.9410931183515149E-3</v>
      </c>
      <c r="AJ225" s="261" t="e">
        <f t="shared" si="21"/>
        <v>#NUM!</v>
      </c>
    </row>
    <row r="226" spans="32:36" x14ac:dyDescent="0.2">
      <c r="AF226" s="290">
        <f>_xll.qlCalendarAdvance(Calendar,AF225,"1d","mf",,Trigger)</f>
        <v>42264</v>
      </c>
      <c r="AG226" s="301">
        <f>_xll.qlDayCounterYearFraction(DayCounterON,SettlementDate,AF226,,,Trigger)</f>
        <v>0.8794520547945206</v>
      </c>
      <c r="AH226" s="291">
        <f t="shared" si="19"/>
        <v>3.7281964345528941E-3</v>
      </c>
      <c r="AI226" s="291">
        <f t="shared" si="20"/>
        <v>3.942635847944259E-3</v>
      </c>
      <c r="AJ226" s="261" t="e">
        <f t="shared" si="21"/>
        <v>#NUM!</v>
      </c>
    </row>
    <row r="227" spans="32:36" x14ac:dyDescent="0.2">
      <c r="AF227" s="290">
        <f>_xll.qlCalendarAdvance(Calendar,AF226,"1d","mf",,Trigger)</f>
        <v>42265</v>
      </c>
      <c r="AG227" s="301">
        <f>_xll.qlDayCounterYearFraction(DayCounterON,SettlementDate,AF227,,,Trigger)</f>
        <v>0.88219178082191785</v>
      </c>
      <c r="AH227" s="291">
        <f t="shared" si="19"/>
        <v>3.7281964345528941E-3</v>
      </c>
      <c r="AI227" s="291">
        <f t="shared" si="20"/>
        <v>3.9441785775370022E-3</v>
      </c>
      <c r="AJ227" s="261" t="e">
        <f t="shared" si="21"/>
        <v>#NUM!</v>
      </c>
    </row>
    <row r="228" spans="32:36" x14ac:dyDescent="0.2">
      <c r="AF228" s="290">
        <f>_xll.qlCalendarAdvance(Calendar,AF227,"1d","mf",,Trigger)</f>
        <v>42268</v>
      </c>
      <c r="AG228" s="301">
        <f>_xll.qlDayCounterYearFraction(DayCounterON,SettlementDate,AF228,,,Trigger)</f>
        <v>0.8904109589041096</v>
      </c>
      <c r="AH228" s="291">
        <f t="shared" si="19"/>
        <v>3.7281964345528941E-3</v>
      </c>
      <c r="AI228" s="291">
        <f t="shared" si="20"/>
        <v>3.9488067663152335E-3</v>
      </c>
      <c r="AJ228" s="261" t="e">
        <f t="shared" si="21"/>
        <v>#NUM!</v>
      </c>
    </row>
    <row r="229" spans="32:36" x14ac:dyDescent="0.2">
      <c r="AF229" s="290">
        <f>_xll.qlCalendarAdvance(Calendar,AF228,"1d","mf",,Trigger)</f>
        <v>42269</v>
      </c>
      <c r="AG229" s="301">
        <f>_xll.qlDayCounterYearFraction(DayCounterON,SettlementDate,AF229,,,Trigger)</f>
        <v>0.89315068493150684</v>
      </c>
      <c r="AH229" s="291">
        <f t="shared" si="19"/>
        <v>3.7281964345528941E-3</v>
      </c>
      <c r="AI229" s="291">
        <f t="shared" si="20"/>
        <v>3.9503494959079767E-3</v>
      </c>
      <c r="AJ229" s="261" t="e">
        <f t="shared" si="21"/>
        <v>#NUM!</v>
      </c>
    </row>
    <row r="230" spans="32:36" x14ac:dyDescent="0.2">
      <c r="AF230" s="290">
        <f>_xll.qlCalendarAdvance(Calendar,AF229,"1d","mf",,Trigger)</f>
        <v>42270</v>
      </c>
      <c r="AG230" s="301">
        <f>_xll.qlDayCounterYearFraction(DayCounterON,SettlementDate,AF230,,,Trigger)</f>
        <v>0.89589041095890409</v>
      </c>
      <c r="AH230" s="291">
        <f t="shared" si="19"/>
        <v>3.7281964345528941E-3</v>
      </c>
      <c r="AI230" s="291">
        <f t="shared" si="20"/>
        <v>3.9518922255007208E-3</v>
      </c>
      <c r="AJ230" s="261" t="e">
        <f t="shared" si="21"/>
        <v>#NUM!</v>
      </c>
    </row>
    <row r="231" spans="32:36" x14ac:dyDescent="0.2">
      <c r="AF231" s="290">
        <f>_xll.qlCalendarAdvance(Calendar,AF230,"1d","mf",,Trigger)</f>
        <v>42271</v>
      </c>
      <c r="AG231" s="301">
        <f>_xll.qlDayCounterYearFraction(DayCounterON,SettlementDate,AF231,,,Trigger)</f>
        <v>0.89863013698630134</v>
      </c>
      <c r="AH231" s="291">
        <f t="shared" si="19"/>
        <v>3.7281964345528941E-3</v>
      </c>
      <c r="AI231" s="291">
        <f t="shared" si="20"/>
        <v>3.953434955093464E-3</v>
      </c>
      <c r="AJ231" s="261" t="e">
        <f t="shared" si="21"/>
        <v>#NUM!</v>
      </c>
    </row>
    <row r="232" spans="32:36" x14ac:dyDescent="0.2">
      <c r="AF232" s="290">
        <f>_xll.qlCalendarAdvance(Calendar,AF231,"1d","mf",,Trigger)</f>
        <v>42272</v>
      </c>
      <c r="AG232" s="301">
        <f>_xll.qlDayCounterYearFraction(DayCounterON,SettlementDate,AF232,,,Trigger)</f>
        <v>0.90136986301369859</v>
      </c>
      <c r="AH232" s="291">
        <f t="shared" si="19"/>
        <v>3.7281964345528941E-3</v>
      </c>
      <c r="AI232" s="291">
        <f t="shared" si="20"/>
        <v>3.954977684686208E-3</v>
      </c>
      <c r="AJ232" s="261" t="e">
        <f t="shared" si="21"/>
        <v>#NUM!</v>
      </c>
    </row>
    <row r="233" spans="32:36" x14ac:dyDescent="0.2">
      <c r="AF233" s="290">
        <f>_xll.qlCalendarAdvance(Calendar,AF232,"1d","mf",,Trigger)</f>
        <v>42275</v>
      </c>
      <c r="AG233" s="301">
        <f>_xll.qlDayCounterYearFraction(DayCounterON,SettlementDate,AF233,,,Trigger)</f>
        <v>0.90958904109589045</v>
      </c>
      <c r="AH233" s="291">
        <f t="shared" si="19"/>
        <v>3.7281964345528941E-3</v>
      </c>
      <c r="AI233" s="291">
        <f t="shared" si="20"/>
        <v>3.9596058734644385E-3</v>
      </c>
      <c r="AJ233" s="261" t="e">
        <f t="shared" si="21"/>
        <v>#NUM!</v>
      </c>
    </row>
    <row r="234" spans="32:36" x14ac:dyDescent="0.2">
      <c r="AF234" s="290">
        <f>_xll.qlCalendarAdvance(Calendar,AF233,"1d","mf",,Trigger)</f>
        <v>42276</v>
      </c>
      <c r="AG234" s="301">
        <f>_xll.qlDayCounterYearFraction(DayCounterON,SettlementDate,AF234,,,Trigger)</f>
        <v>0.9123287671232877</v>
      </c>
      <c r="AH234" s="291">
        <f t="shared" si="19"/>
        <v>3.7281964345528941E-3</v>
      </c>
      <c r="AI234" s="291">
        <f t="shared" si="20"/>
        <v>3.9611486030571826E-3</v>
      </c>
      <c r="AJ234" s="261" t="e">
        <f t="shared" si="21"/>
        <v>#NUM!</v>
      </c>
    </row>
    <row r="235" spans="32:36" x14ac:dyDescent="0.2">
      <c r="AF235" s="290">
        <f>_xll.qlCalendarAdvance(Calendar,AF234,"1d","mf",,Trigger)</f>
        <v>42277</v>
      </c>
      <c r="AG235" s="301">
        <f>_xll.qlDayCounterYearFraction(DayCounterON,SettlementDate,AF235,,,Trigger)</f>
        <v>0.91506849315068495</v>
      </c>
      <c r="AH235" s="291">
        <f t="shared" si="19"/>
        <v>3.7281964345528941E-3</v>
      </c>
      <c r="AI235" s="291">
        <f t="shared" si="20"/>
        <v>3.9626913326499258E-3</v>
      </c>
      <c r="AJ235" s="261" t="e">
        <f t="shared" si="21"/>
        <v>#NUM!</v>
      </c>
    </row>
    <row r="236" spans="32:36" x14ac:dyDescent="0.2">
      <c r="AF236" s="290">
        <f>_xll.qlCalendarAdvance(Calendar,AF235,"1d","mf",,Trigger)</f>
        <v>42278</v>
      </c>
      <c r="AG236" s="301">
        <f>_xll.qlDayCounterYearFraction(DayCounterON,SettlementDate,AF236,,,Trigger)</f>
        <v>0.9178082191780822</v>
      </c>
      <c r="AH236" s="291">
        <f t="shared" si="19"/>
        <v>3.7281964345528941E-3</v>
      </c>
      <c r="AI236" s="291">
        <f t="shared" si="20"/>
        <v>3.9642340622426699E-3</v>
      </c>
      <c r="AJ236" s="261" t="e">
        <f t="shared" si="21"/>
        <v>#NUM!</v>
      </c>
    </row>
    <row r="237" spans="32:36" x14ac:dyDescent="0.2">
      <c r="AF237" s="290">
        <f>_xll.qlCalendarAdvance(Calendar,AF236,"1d","mf",,Trigger)</f>
        <v>42279</v>
      </c>
      <c r="AG237" s="301">
        <f>_xll.qlDayCounterYearFraction(DayCounterON,SettlementDate,AF237,,,Trigger)</f>
        <v>0.92054794520547945</v>
      </c>
      <c r="AH237" s="291">
        <f t="shared" si="19"/>
        <v>3.7281964345528941E-3</v>
      </c>
      <c r="AI237" s="291">
        <f t="shared" si="20"/>
        <v>3.9657767918354131E-3</v>
      </c>
      <c r="AJ237" s="261" t="e">
        <f t="shared" si="21"/>
        <v>#NUM!</v>
      </c>
    </row>
    <row r="238" spans="32:36" x14ac:dyDescent="0.2">
      <c r="AF238" s="290">
        <f>_xll.qlCalendarAdvance(Calendar,AF237,"1d","mf",,Trigger)</f>
        <v>42282</v>
      </c>
      <c r="AG238" s="301">
        <f>_xll.qlDayCounterYearFraction(DayCounterON,SettlementDate,AF238,,,Trigger)</f>
        <v>0.92876712328767119</v>
      </c>
      <c r="AH238" s="291">
        <f t="shared" si="19"/>
        <v>3.7281964345528941E-3</v>
      </c>
      <c r="AI238" s="291">
        <f t="shared" si="20"/>
        <v>3.9704049806136444E-3</v>
      </c>
      <c r="AJ238" s="261" t="e">
        <f t="shared" si="21"/>
        <v>#NUM!</v>
      </c>
    </row>
    <row r="239" spans="32:36" x14ac:dyDescent="0.2">
      <c r="AF239" s="290">
        <f>_xll.qlCalendarAdvance(Calendar,AF238,"1d","mf",,Trigger)</f>
        <v>42283</v>
      </c>
      <c r="AG239" s="301">
        <f>_xll.qlDayCounterYearFraction(DayCounterON,SettlementDate,AF239,,,Trigger)</f>
        <v>0.93150684931506844</v>
      </c>
      <c r="AH239" s="291">
        <f t="shared" si="19"/>
        <v>3.7281964345528941E-3</v>
      </c>
      <c r="AI239" s="291">
        <f t="shared" si="20"/>
        <v>3.9719477102063876E-3</v>
      </c>
      <c r="AJ239" s="261" t="e">
        <f t="shared" si="21"/>
        <v>#NUM!</v>
      </c>
    </row>
    <row r="240" spans="32:36" x14ac:dyDescent="0.2">
      <c r="AF240" s="290">
        <f>_xll.qlCalendarAdvance(Calendar,AF239,"1d","mf",,Trigger)</f>
        <v>42284</v>
      </c>
      <c r="AG240" s="301">
        <f>_xll.qlDayCounterYearFraction(DayCounterON,SettlementDate,AF240,,,Trigger)</f>
        <v>0.9342465753424658</v>
      </c>
      <c r="AH240" s="291">
        <f t="shared" si="19"/>
        <v>3.7281964345528941E-3</v>
      </c>
      <c r="AI240" s="291">
        <f t="shared" si="20"/>
        <v>3.9734904397991317E-3</v>
      </c>
      <c r="AJ240" s="261" t="e">
        <f t="shared" si="21"/>
        <v>#NUM!</v>
      </c>
    </row>
    <row r="241" spans="32:36" x14ac:dyDescent="0.2">
      <c r="AF241" s="290">
        <f>_xll.qlCalendarAdvance(Calendar,AF240,"1d","mf",,Trigger)</f>
        <v>42285</v>
      </c>
      <c r="AG241" s="301">
        <f>_xll.qlDayCounterYearFraction(DayCounterON,SettlementDate,AF241,,,Trigger)</f>
        <v>0.93698630136986305</v>
      </c>
      <c r="AH241" s="291">
        <f t="shared" si="19"/>
        <v>3.7281964345528941E-3</v>
      </c>
      <c r="AI241" s="291">
        <f t="shared" si="20"/>
        <v>3.9750331693918749E-3</v>
      </c>
      <c r="AJ241" s="261" t="e">
        <f t="shared" si="21"/>
        <v>#NUM!</v>
      </c>
    </row>
    <row r="242" spans="32:36" x14ac:dyDescent="0.2">
      <c r="AF242" s="290">
        <f>_xll.qlCalendarAdvance(Calendar,AF241,"1d","mf",,Trigger)</f>
        <v>42286</v>
      </c>
      <c r="AG242" s="301">
        <f>_xll.qlDayCounterYearFraction(DayCounterON,SettlementDate,AF242,,,Trigger)</f>
        <v>0.9397260273972603</v>
      </c>
      <c r="AH242" s="291">
        <f t="shared" si="19"/>
        <v>3.7281964345528941E-3</v>
      </c>
      <c r="AI242" s="291">
        <f t="shared" si="20"/>
        <v>3.9765758989846189E-3</v>
      </c>
      <c r="AJ242" s="261" t="e">
        <f t="shared" si="21"/>
        <v>#NUM!</v>
      </c>
    </row>
    <row r="243" spans="32:36" x14ac:dyDescent="0.2">
      <c r="AF243" s="290">
        <f>_xll.qlCalendarAdvance(Calendar,AF242,"1d","mf",,Trigger)</f>
        <v>42289</v>
      </c>
      <c r="AG243" s="301">
        <f>_xll.qlDayCounterYearFraction(DayCounterON,SettlementDate,AF243,,,Trigger)</f>
        <v>0.94794520547945205</v>
      </c>
      <c r="AH243" s="291">
        <f t="shared" si="19"/>
        <v>3.7281964345528941E-3</v>
      </c>
      <c r="AI243" s="291">
        <f t="shared" si="20"/>
        <v>3.9812040877628494E-3</v>
      </c>
      <c r="AJ243" s="261" t="e">
        <f t="shared" si="21"/>
        <v>#NUM!</v>
      </c>
    </row>
    <row r="244" spans="32:36" x14ac:dyDescent="0.2">
      <c r="AF244" s="290">
        <f>_xll.qlCalendarAdvance(Calendar,AF243,"1d","mf",,Trigger)</f>
        <v>42290</v>
      </c>
      <c r="AG244" s="301">
        <f>_xll.qlDayCounterYearFraction(DayCounterON,SettlementDate,AF244,,,Trigger)</f>
        <v>0.9506849315068493</v>
      </c>
      <c r="AH244" s="291">
        <f t="shared" si="19"/>
        <v>3.7281964345528941E-3</v>
      </c>
      <c r="AI244" s="291">
        <f t="shared" si="20"/>
        <v>3.9827468173555935E-3</v>
      </c>
      <c r="AJ244" s="261" t="e">
        <f t="shared" si="21"/>
        <v>#NUM!</v>
      </c>
    </row>
    <row r="245" spans="32:36" x14ac:dyDescent="0.2">
      <c r="AF245" s="290">
        <f>_xll.qlCalendarAdvance(Calendar,AF244,"1d","mf",,Trigger)</f>
        <v>42291</v>
      </c>
      <c r="AG245" s="301">
        <f>_xll.qlDayCounterYearFraction(DayCounterON,SettlementDate,AF245,,,Trigger)</f>
        <v>0.95342465753424654</v>
      </c>
      <c r="AH245" s="291">
        <f t="shared" si="19"/>
        <v>3.7281964345528941E-3</v>
      </c>
      <c r="AI245" s="291">
        <f t="shared" si="20"/>
        <v>3.9842895469483367E-3</v>
      </c>
      <c r="AJ245" s="261" t="e">
        <f t="shared" si="21"/>
        <v>#NUM!</v>
      </c>
    </row>
    <row r="246" spans="32:36" x14ac:dyDescent="0.2">
      <c r="AF246" s="290">
        <f>_xll.qlCalendarAdvance(Calendar,AF245,"1d","mf",,Trigger)</f>
        <v>42292</v>
      </c>
      <c r="AG246" s="301">
        <f>_xll.qlDayCounterYearFraction(DayCounterON,SettlementDate,AF246,,,Trigger)</f>
        <v>0.95616438356164379</v>
      </c>
      <c r="AH246" s="291">
        <f t="shared" si="19"/>
        <v>3.7281964345528941E-3</v>
      </c>
      <c r="AI246" s="291">
        <f t="shared" si="20"/>
        <v>3.9858322765410808E-3</v>
      </c>
      <c r="AJ246" s="261" t="e">
        <f t="shared" si="21"/>
        <v>#NUM!</v>
      </c>
    </row>
    <row r="247" spans="32:36" x14ac:dyDescent="0.2">
      <c r="AF247" s="290">
        <f>_xll.qlCalendarAdvance(Calendar,AF246,"1d","mf",,Trigger)</f>
        <v>42293</v>
      </c>
      <c r="AG247" s="301">
        <f>_xll.qlDayCounterYearFraction(DayCounterON,SettlementDate,AF247,,,Trigger)</f>
        <v>0.95890410958904104</v>
      </c>
      <c r="AH247" s="291">
        <f t="shared" si="19"/>
        <v>3.7281964345528941E-3</v>
      </c>
      <c r="AI247" s="291">
        <f t="shared" si="20"/>
        <v>3.987375006133824E-3</v>
      </c>
      <c r="AJ247" s="261" t="e">
        <f t="shared" si="21"/>
        <v>#NUM!</v>
      </c>
    </row>
    <row r="248" spans="32:36" x14ac:dyDescent="0.2">
      <c r="AF248" s="290">
        <f>_xll.qlCalendarAdvance(Calendar,AF247,"1d","mf",,Trigger)</f>
        <v>42296</v>
      </c>
      <c r="AG248" s="301">
        <f>_xll.qlDayCounterYearFraction(DayCounterON,SettlementDate,AF248,,,Trigger)</f>
        <v>0.9671232876712329</v>
      </c>
      <c r="AH248" s="291">
        <f t="shared" si="19"/>
        <v>3.7281964345528941E-3</v>
      </c>
      <c r="AI248" s="291">
        <f t="shared" si="20"/>
        <v>3.9920031949120553E-3</v>
      </c>
      <c r="AJ248" s="261" t="e">
        <f t="shared" si="21"/>
        <v>#NUM!</v>
      </c>
    </row>
    <row r="249" spans="32:36" x14ac:dyDescent="0.2">
      <c r="AF249" s="290">
        <f>_xll.qlCalendarAdvance(Calendar,AF248,"1d","mf",,Trigger)</f>
        <v>42297</v>
      </c>
      <c r="AG249" s="301">
        <f>_xll.qlDayCounterYearFraction(DayCounterON,SettlementDate,AF249,,,Trigger)</f>
        <v>0.96986301369863015</v>
      </c>
      <c r="AH249" s="291">
        <f t="shared" si="19"/>
        <v>3.7281964345528941E-3</v>
      </c>
      <c r="AI249" s="291">
        <f t="shared" si="20"/>
        <v>3.9935459245047985E-3</v>
      </c>
      <c r="AJ249" s="261" t="e">
        <f t="shared" si="21"/>
        <v>#NUM!</v>
      </c>
    </row>
    <row r="250" spans="32:36" x14ac:dyDescent="0.2">
      <c r="AF250" s="290">
        <f>_xll.qlCalendarAdvance(Calendar,AF249,"1d","mf",,Trigger)</f>
        <v>42298</v>
      </c>
      <c r="AG250" s="301">
        <f>_xll.qlDayCounterYearFraction(DayCounterON,SettlementDate,AF250,,,Trigger)</f>
        <v>0.9726027397260274</v>
      </c>
      <c r="AH250" s="291">
        <f t="shared" si="19"/>
        <v>3.7281964345528941E-3</v>
      </c>
      <c r="AI250" s="291">
        <f t="shared" si="20"/>
        <v>3.9950886540975426E-3</v>
      </c>
      <c r="AJ250" s="261" t="e">
        <f t="shared" si="21"/>
        <v>#NUM!</v>
      </c>
    </row>
    <row r="251" spans="32:36" x14ac:dyDescent="0.2">
      <c r="AF251" s="290">
        <f>_xll.qlCalendarAdvance(Calendar,AF250,"1d","mf",,Trigger)</f>
        <v>42299</v>
      </c>
      <c r="AG251" s="301">
        <f>_xll.qlDayCounterYearFraction(DayCounterON,SettlementDate,AF251,,,Trigger)</f>
        <v>0.97534246575342465</v>
      </c>
      <c r="AH251" s="291">
        <f t="shared" si="19"/>
        <v>3.7281964345528941E-3</v>
      </c>
      <c r="AI251" s="291">
        <f t="shared" si="20"/>
        <v>3.9966313836902866E-3</v>
      </c>
      <c r="AJ251" s="261" t="e">
        <f t="shared" si="21"/>
        <v>#NUM!</v>
      </c>
    </row>
    <row r="252" spans="32:36" x14ac:dyDescent="0.2">
      <c r="AF252" s="290">
        <f>_xll.qlCalendarAdvance(Calendar,AF251,"1d","mf",,Trigger)</f>
        <v>42300</v>
      </c>
      <c r="AG252" s="301">
        <f>_xll.qlDayCounterYearFraction(DayCounterON,SettlementDate,AF252,,,Trigger)</f>
        <v>0.9780821917808219</v>
      </c>
      <c r="AH252" s="291">
        <f t="shared" si="19"/>
        <v>3.7281964345528941E-3</v>
      </c>
      <c r="AI252" s="291">
        <f t="shared" si="20"/>
        <v>3.9981741132830298E-3</v>
      </c>
      <c r="AJ252" s="261" t="e">
        <f t="shared" si="21"/>
        <v>#NUM!</v>
      </c>
    </row>
    <row r="253" spans="32:36" x14ac:dyDescent="0.2">
      <c r="AF253" s="290">
        <f>_xll.qlCalendarAdvance(Calendar,AF252,"1d","mf",,Trigger)</f>
        <v>42303</v>
      </c>
      <c r="AG253" s="301">
        <f>_xll.qlDayCounterYearFraction(DayCounterON,SettlementDate,AF253,,,Trigger)</f>
        <v>0.98630136986301364</v>
      </c>
      <c r="AH253" s="291">
        <f t="shared" si="19"/>
        <v>3.7281964345528941E-3</v>
      </c>
      <c r="AI253" s="291">
        <f t="shared" si="20"/>
        <v>4.0028023020612612E-3</v>
      </c>
      <c r="AJ253" s="261" t="e">
        <f t="shared" si="21"/>
        <v>#NUM!</v>
      </c>
    </row>
    <row r="254" spans="32:36" x14ac:dyDescent="0.2">
      <c r="AF254" s="290">
        <f>_xll.qlCalendarAdvance(Calendar,AF253,"1d","mf",,Trigger)</f>
        <v>42304</v>
      </c>
      <c r="AG254" s="301">
        <f>_xll.qlDayCounterYearFraction(DayCounterON,SettlementDate,AF254,,,Trigger)</f>
        <v>0.989041095890411</v>
      </c>
      <c r="AH254" s="291">
        <f t="shared" si="19"/>
        <v>3.7281964345528941E-3</v>
      </c>
      <c r="AI254" s="291">
        <f t="shared" si="20"/>
        <v>4.0043450316540044E-3</v>
      </c>
      <c r="AJ254" s="261" t="e">
        <f t="shared" si="21"/>
        <v>#NUM!</v>
      </c>
    </row>
    <row r="255" spans="32:36" x14ac:dyDescent="0.2">
      <c r="AF255" s="290">
        <f>_xll.qlCalendarAdvance(Calendar,AF254,"1d","mf",,Trigger)</f>
        <v>42305</v>
      </c>
      <c r="AG255" s="301">
        <f>_xll.qlDayCounterYearFraction(DayCounterON,SettlementDate,AF255,,,Trigger)</f>
        <v>0.99178082191780825</v>
      </c>
      <c r="AH255" s="291">
        <f t="shared" si="19"/>
        <v>3.7281964345528941E-3</v>
      </c>
      <c r="AI255" s="291">
        <f t="shared" si="20"/>
        <v>4.0058877612467476E-3</v>
      </c>
      <c r="AJ255" s="261" t="e">
        <f t="shared" si="21"/>
        <v>#NUM!</v>
      </c>
    </row>
    <row r="256" spans="32:36" x14ac:dyDescent="0.2">
      <c r="AF256" s="290">
        <f>_xll.qlCalendarAdvance(Calendar,AF255,"1d","mf",,Trigger)</f>
        <v>42306</v>
      </c>
      <c r="AG256" s="301">
        <f>_xll.qlDayCounterYearFraction(DayCounterON,SettlementDate,AF256,,,Trigger)</f>
        <v>0.9945205479452055</v>
      </c>
      <c r="AH256" s="291">
        <f t="shared" si="19"/>
        <v>3.7281964345528941E-3</v>
      </c>
      <c r="AI256" s="291">
        <f t="shared" si="20"/>
        <v>4.0074304908394916E-3</v>
      </c>
      <c r="AJ256" s="261" t="e">
        <f t="shared" si="21"/>
        <v>#NUM!</v>
      </c>
    </row>
    <row r="257" spans="32:36" ht="12" thickBot="1" x14ac:dyDescent="0.25">
      <c r="AF257" s="292">
        <f>_xll.qlCalendarAdvance(Calendar,AF256,"1d","mf",,Trigger)</f>
        <v>42307</v>
      </c>
      <c r="AG257" s="303">
        <f>_xll.qlDayCounterYearFraction(DayCounterON,SettlementDate,AF257,,,Trigger)</f>
        <v>0.99726027397260275</v>
      </c>
      <c r="AH257" s="293">
        <f t="shared" si="19"/>
        <v>3.7281964345528941E-3</v>
      </c>
      <c r="AI257" s="293">
        <f t="shared" si="20"/>
        <v>4.0089732204322357E-3</v>
      </c>
      <c r="AJ257" s="266" t="e">
        <f t="shared" si="21"/>
        <v>#NUM!</v>
      </c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"FRA,FIX+FRA,INTERP+FRA"</formula1>
    </dataValidation>
    <dataValidation type="list" allowBlank="1" showInputMessage="1" showErrorMessage="1" sqref="D37">
      <formula1>"flat,linear,quadratic"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M10"/>
  <sheetViews>
    <sheetView topLeftCell="D1" workbookViewId="0">
      <selection activeCell="B1" sqref="B1:D1"/>
    </sheetView>
  </sheetViews>
  <sheetFormatPr defaultRowHeight="11.25" outlineLevelCol="1" x14ac:dyDescent="0.2"/>
  <cols>
    <col min="1" max="1" width="6.6640625" style="72" hidden="1" customWidth="1" outlineLevel="1"/>
    <col min="2" max="3" width="7" style="102" hidden="1" customWidth="1" outlineLevel="1"/>
    <col min="4" max="4" width="6" style="102" customWidth="1" collapsed="1"/>
    <col min="5" max="5" width="31.1640625" style="72" bestFit="1" customWidth="1"/>
    <col min="6" max="6" width="22.5" style="72" bestFit="1" customWidth="1"/>
    <col min="7" max="8" width="9.33203125" style="102" bestFit="1" customWidth="1"/>
    <col min="9" max="10" width="10.5" style="102" bestFit="1" customWidth="1"/>
    <col min="11" max="12" width="20.1640625" style="102" bestFit="1" customWidth="1"/>
    <col min="13" max="13" width="3.1640625" style="72" bestFit="1" customWidth="1"/>
    <col min="14" max="16384" width="9.33203125" style="72"/>
  </cols>
  <sheetData>
    <row r="1" spans="2:13" ht="22.5" x14ac:dyDescent="0.2">
      <c r="B1" s="443" t="s">
        <v>82</v>
      </c>
      <c r="C1" s="444"/>
      <c r="D1" s="444"/>
      <c r="E1" s="70" t="s">
        <v>83</v>
      </c>
      <c r="F1" s="70" t="s">
        <v>84</v>
      </c>
      <c r="G1" s="70" t="s">
        <v>85</v>
      </c>
      <c r="H1" s="70" t="s">
        <v>86</v>
      </c>
      <c r="I1" s="70" t="s">
        <v>87</v>
      </c>
      <c r="J1" s="70" t="s">
        <v>88</v>
      </c>
      <c r="K1" s="70" t="s">
        <v>89</v>
      </c>
      <c r="L1" s="71" t="s">
        <v>90</v>
      </c>
    </row>
    <row r="2" spans="2:13" x14ac:dyDescent="0.2">
      <c r="B2" s="73"/>
      <c r="C2" s="74" t="s">
        <v>31</v>
      </c>
      <c r="D2" s="75" t="s">
        <v>91</v>
      </c>
      <c r="E2" s="142" t="str">
        <f>Contribution!$D$40</f>
        <v>EUR1YD_SYNTH1Y_Quote#0000</v>
      </c>
      <c r="F2" s="142" t="str">
        <f>_xll.qlDepositRateHelper(,E2,$F$10,)</f>
        <v>obj_005a3#0000</v>
      </c>
      <c r="G2" s="76">
        <f>_xll.qlRateHelperQuoteValue(F2,InterestRatesTrigger)</f>
        <v>3.3999999999999998E-3</v>
      </c>
      <c r="H2" s="77" t="b">
        <v>1</v>
      </c>
      <c r="I2" s="77">
        <v>70</v>
      </c>
      <c r="J2" s="77">
        <v>1</v>
      </c>
      <c r="K2" s="78">
        <f>_xll.qlRateHelperEarliestDate($F2,InterestRatesTrigger)</f>
        <v>41943</v>
      </c>
      <c r="L2" s="79">
        <f>_xll.qlRateHelperLatestDate($F2,InterestRatesTrigger)</f>
        <v>42307</v>
      </c>
    </row>
    <row r="3" spans="2:13" ht="11.25" customHeight="1" x14ac:dyDescent="0.2">
      <c r="B3" s="80">
        <v>12</v>
      </c>
      <c r="C3" s="81" t="s">
        <v>92</v>
      </c>
      <c r="D3" s="81" t="s">
        <v>93</v>
      </c>
      <c r="E3" s="143" t="s">
        <v>94</v>
      </c>
      <c r="F3" s="143" t="str">
        <f>_xll.qlFraRateHelper(,E3,B3&amp;"M",$F$10)</f>
        <v>obj_005af#0000</v>
      </c>
      <c r="G3" s="82">
        <f>_xll.qlRateHelperQuoteValue(F3,InterestRatesTrigger)</f>
        <v>4.0500000000000006E-3</v>
      </c>
      <c r="H3" s="83" t="b">
        <v>1</v>
      </c>
      <c r="I3" s="83">
        <v>70</v>
      </c>
      <c r="J3" s="83">
        <v>1</v>
      </c>
      <c r="K3" s="84">
        <f>_xll.qlRateHelperEarliestDate($F3,InterestRatesTrigger)</f>
        <v>42307</v>
      </c>
      <c r="L3" s="85">
        <f>_xll.qlRateHelperLatestDate($F3,InterestRatesTrigger)</f>
        <v>42674</v>
      </c>
      <c r="M3" s="86"/>
    </row>
    <row r="4" spans="2:13" x14ac:dyDescent="0.2">
      <c r="B4" s="87" t="s">
        <v>95</v>
      </c>
      <c r="C4" s="88" t="s">
        <v>96</v>
      </c>
      <c r="D4" s="89" t="s">
        <v>97</v>
      </c>
      <c r="E4" s="144" t="s">
        <v>98</v>
      </c>
      <c r="F4" s="144" t="str">
        <f>_xll.qlSwapRateHelper2(,E4,D4,Calendar,"annual","mf","30/360 (Bond Basis)",$F$10,0,"0D",Discounting)</f>
        <v>obj_00573#0000</v>
      </c>
      <c r="G4" s="90">
        <f>_xll.qlRateHelperQuoteValue(F4,InterestRatesTrigger)</f>
        <v>4.3800000000000002E-3</v>
      </c>
      <c r="H4" s="91" t="b">
        <v>1</v>
      </c>
      <c r="I4" s="91">
        <v>50</v>
      </c>
      <c r="J4" s="91">
        <v>1</v>
      </c>
      <c r="K4" s="92">
        <f>_xll.qlRateHelperEarliestDate($F4,InterestRatesTrigger)</f>
        <v>41943</v>
      </c>
      <c r="L4" s="93">
        <f>_xll.qlRateHelperLatestDate($F4,InterestRatesTrigger)</f>
        <v>43039</v>
      </c>
    </row>
    <row r="5" spans="2:13" x14ac:dyDescent="0.2">
      <c r="B5" s="94" t="s">
        <v>95</v>
      </c>
      <c r="C5" s="95" t="s">
        <v>96</v>
      </c>
      <c r="D5" s="96" t="s">
        <v>99</v>
      </c>
      <c r="E5" s="145" t="s">
        <v>100</v>
      </c>
      <c r="F5" s="145" t="str">
        <f>_xll.qlSwapRateHelper2(,E5,D5,Calendar,"annual","mf","30/360 (Bond Basis)",$F$10,0,"0D",Discounting)</f>
        <v>obj_00572#0000</v>
      </c>
      <c r="G5" s="97">
        <f>_xll.qlRateHelperQuoteValue(F5,InterestRatesTrigger)</f>
        <v>5.2599999999999999E-3</v>
      </c>
      <c r="H5" s="98" t="b">
        <v>1</v>
      </c>
      <c r="I5" s="98">
        <v>50</v>
      </c>
      <c r="J5" s="98">
        <v>1</v>
      </c>
      <c r="K5" s="99">
        <f>_xll.qlRateHelperEarliestDate($F5,InterestRatesTrigger)</f>
        <v>41943</v>
      </c>
      <c r="L5" s="100">
        <f>_xll.qlRateHelperLatestDate($F5,InterestRatesTrigger)</f>
        <v>43404</v>
      </c>
    </row>
    <row r="6" spans="2:13" x14ac:dyDescent="0.2">
      <c r="B6" s="101" t="s">
        <v>95</v>
      </c>
      <c r="C6" s="74" t="s">
        <v>96</v>
      </c>
      <c r="D6" s="75" t="s">
        <v>101</v>
      </c>
      <c r="E6" s="142" t="s">
        <v>102</v>
      </c>
      <c r="F6" s="142" t="str">
        <f>_xll.qlSwapRateHelper2(,E6,D6,Calendar,"annual","mf","30/360 (Bond Basis)",$F$10,0,"0D",Discounting)</f>
        <v>obj_0056a#0000</v>
      </c>
      <c r="G6" s="76">
        <f>_xll.qlRateHelperQuoteValue(F6,InterestRatesTrigger)</f>
        <v>6.3400000000000001E-3</v>
      </c>
      <c r="H6" s="77" t="b">
        <v>1</v>
      </c>
      <c r="I6" s="77">
        <v>50</v>
      </c>
      <c r="J6" s="77">
        <v>1</v>
      </c>
      <c r="K6" s="78">
        <f>_xll.qlRateHelperEarliestDate($F6,InterestRatesTrigger)</f>
        <v>41943</v>
      </c>
      <c r="L6" s="79">
        <f>_xll.qlRateHelperLatestDate($F6,InterestRatesTrigger)</f>
        <v>43769</v>
      </c>
    </row>
    <row r="10" spans="2:13" x14ac:dyDescent="0.2">
      <c r="F10" s="72" t="str">
        <f>_xll.qlEuribor(,IborTenor,,,EvaluationDate)</f>
        <v>obj_00537#0000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D127"/>
  <sheetViews>
    <sheetView zoomScaleNormal="100" workbookViewId="0">
      <selection activeCell="N8" sqref="N8"/>
    </sheetView>
  </sheetViews>
  <sheetFormatPr defaultRowHeight="11.25" outlineLevelCol="1" x14ac:dyDescent="0.2"/>
  <cols>
    <col min="1" max="1" width="17.6640625" style="102" bestFit="1" customWidth="1"/>
    <col min="2" max="2" width="9.33203125" style="102" bestFit="1" customWidth="1"/>
    <col min="3" max="4" width="20.1640625" style="102" bestFit="1" customWidth="1"/>
    <col min="5" max="5" width="11.6640625" style="72" bestFit="1" customWidth="1"/>
    <col min="6" max="6" width="7.33203125" style="72" customWidth="1"/>
    <col min="7" max="7" width="20.1640625" style="72" customWidth="1" outlineLevel="1"/>
    <col min="8" max="8" width="17.6640625" style="72" customWidth="1" outlineLevel="1"/>
    <col min="9" max="10" width="20.1640625" style="72" customWidth="1"/>
    <col min="11" max="12" width="9.33203125" style="72" bestFit="1" customWidth="1"/>
    <col min="13" max="13" width="10.5" style="72" bestFit="1" customWidth="1"/>
    <col min="14" max="14" width="9.33203125" style="72" customWidth="1"/>
    <col min="15" max="15" width="17.6640625" style="72" bestFit="1" customWidth="1"/>
    <col min="16" max="16" width="9.33203125" style="72"/>
    <col min="17" max="17" width="2.83203125" style="72" customWidth="1"/>
    <col min="18" max="18" width="27.5" style="72" bestFit="1" customWidth="1"/>
    <col min="19" max="19" width="20.1640625" style="72" hidden="1" customWidth="1"/>
    <col min="20" max="20" width="20.1640625" style="72" bestFit="1" customWidth="1"/>
    <col min="21" max="21" width="20.1640625" style="72" customWidth="1"/>
    <col min="22" max="22" width="20.1640625" style="72" hidden="1" customWidth="1"/>
    <col min="23" max="23" width="10" style="72" bestFit="1" customWidth="1"/>
    <col min="24" max="24" width="9.33203125" style="72" customWidth="1"/>
    <col min="25" max="25" width="10" style="72" bestFit="1" customWidth="1"/>
    <col min="26" max="26" width="9.33203125" style="72"/>
    <col min="27" max="27" width="2.83203125" style="72" customWidth="1"/>
    <col min="28" max="16384" width="9.33203125" style="72"/>
  </cols>
  <sheetData>
    <row r="1" spans="1:30" ht="22.5" x14ac:dyDescent="0.2">
      <c r="A1" s="103" t="s">
        <v>103</v>
      </c>
      <c r="B1" s="70" t="s">
        <v>104</v>
      </c>
      <c r="C1" s="70" t="s">
        <v>89</v>
      </c>
      <c r="D1" s="71" t="s">
        <v>90</v>
      </c>
      <c r="E1" s="104" t="s">
        <v>104</v>
      </c>
      <c r="F1" s="104"/>
      <c r="G1" s="104" t="s">
        <v>105</v>
      </c>
      <c r="H1" s="104"/>
      <c r="I1" s="104" t="s">
        <v>106</v>
      </c>
      <c r="J1" s="104" t="s">
        <v>107</v>
      </c>
      <c r="K1" s="104" t="s">
        <v>108</v>
      </c>
      <c r="L1" s="104" t="s">
        <v>39</v>
      </c>
      <c r="M1" s="104" t="s">
        <v>109</v>
      </c>
      <c r="N1" s="104" t="s">
        <v>110</v>
      </c>
    </row>
    <row r="2" spans="1:30" x14ac:dyDescent="0.2">
      <c r="A2" s="105"/>
      <c r="B2" s="106"/>
      <c r="C2" s="107"/>
      <c r="D2" s="108">
        <f>SettlementDate</f>
        <v>41943</v>
      </c>
      <c r="E2" s="109">
        <f t="array" ref="E2:E127">_xll.qlPiecewiseYieldCurveData(YieldCurve,InterestRatesTrigger)</f>
        <v>1</v>
      </c>
      <c r="F2" s="72">
        <v>0</v>
      </c>
      <c r="G2" s="110">
        <f>_xll.qlInterestRateIndexFixingDate(IborIndex,I2)</f>
        <v>41941</v>
      </c>
      <c r="H2" s="72" t="str">
        <f>_xll.qlMakeDatedOIS(,I2,J2,OvernightIndex,0,"Act/360",0)</f>
        <v>obj_00a68#0000</v>
      </c>
      <c r="I2" s="110">
        <f>_xll.qlCalendarAdvance(Calendar,$D$2,F2&amp;"M","mf")</f>
        <v>41943</v>
      </c>
      <c r="J2" s="110">
        <f>_xll.qlInterestRateIndexMaturity(IborIndex,I2)</f>
        <v>42307</v>
      </c>
      <c r="K2" s="109">
        <f>_xll.qlIndexFixing(IborIndex,G2,TRUE,InterestRatesTrigger)</f>
        <v>3.3999999999998745E-3</v>
      </c>
      <c r="L2" s="109">
        <f>_xll.qlOvernightIndexedSwapFairRate(H2,Contribution!$P$25)</f>
        <v>-2.7712525051792284E-4</v>
      </c>
      <c r="M2" s="86">
        <f>ROUND(K2-L2,6)</f>
        <v>3.6770000000000001E-3</v>
      </c>
      <c r="N2" s="109"/>
      <c r="O2" s="72" t="str">
        <f>_xll.qlSimpleQuote(,,,,EvaluationDate)</f>
        <v>obj_00539#0000</v>
      </c>
      <c r="P2" s="109">
        <f>_xll.qlSimpleQuoteSetValue(O2,M2)</f>
        <v>0</v>
      </c>
      <c r="AB2" s="86"/>
      <c r="AC2" s="86"/>
      <c r="AD2" s="245"/>
    </row>
    <row r="3" spans="1:30" x14ac:dyDescent="0.2">
      <c r="A3" s="111" t="str">
        <f>RateHelpersFra!F2</f>
        <v>obj_005a3#0000</v>
      </c>
      <c r="B3" s="112">
        <f>_xll.qlRateHelperRate($A3,InterestRatesTrigger)</f>
        <v>3.3999999999999998E-3</v>
      </c>
      <c r="C3" s="113">
        <f>_xll.qlRateHelperEarliestDate($A3)</f>
        <v>41943</v>
      </c>
      <c r="D3" s="108">
        <f>_xll.qlRateHelperLatestDate($A3)</f>
        <v>42307</v>
      </c>
      <c r="E3" s="109">
        <v>0.99657400004872143</v>
      </c>
      <c r="F3" s="72">
        <v>12</v>
      </c>
      <c r="G3" s="110">
        <f>_xll.qlInterestRateIndexFixingDate(IborIndex,I3)</f>
        <v>42305</v>
      </c>
      <c r="H3" s="72" t="str">
        <f>_xll.qlMakeDatedOIS(,I3,J3,OvernightIndex,0,"Act/360",0)</f>
        <v>obj_00a71#0000</v>
      </c>
      <c r="I3" s="110">
        <f>_xll.qlCalendarAdvance(Calendar,$D$2,F3&amp;"M","mf")</f>
        <v>42307</v>
      </c>
      <c r="J3" s="110">
        <f>_xll.qlInterestRateIndexMaturity(IborIndex,I3)</f>
        <v>42674</v>
      </c>
      <c r="K3" s="109">
        <f>_xll.qlIndexFixing(IborIndex,G3,TRUE,InterestRatesTrigger)</f>
        <v>4.0499999999997968E-3</v>
      </c>
      <c r="L3" s="109">
        <f>_xll.qlOvernightIndexedSwapFairRate(H3,Contribution!$P$25)</f>
        <v>-1.8326870206095884E-4</v>
      </c>
      <c r="M3" s="86">
        <f>ROUND(K3-L3,6)</f>
        <v>4.2329999999999998E-3</v>
      </c>
      <c r="N3" s="109"/>
      <c r="O3" s="72" t="str">
        <f>_xll.qlSimpleQuote(,,,,EvaluationDate)</f>
        <v>obj_00555#0000</v>
      </c>
      <c r="P3" s="109">
        <f>_xll.qlSimpleQuoteSetValue(O3,M3)</f>
        <v>0</v>
      </c>
      <c r="AB3" s="86"/>
      <c r="AC3" s="86"/>
      <c r="AD3" s="245"/>
    </row>
    <row r="4" spans="1:30" x14ac:dyDescent="0.2">
      <c r="A4" s="111" t="str">
        <f>RateHelpersFra!F3</f>
        <v>obj_005af#0000</v>
      </c>
      <c r="B4" s="112">
        <f>_xll.qlRateHelperRate($A4,InterestRatesTrigger)</f>
        <v>4.0500000000000006E-3</v>
      </c>
      <c r="C4" s="113">
        <f>_xll.qlRateHelperEarliestDate($A4)</f>
        <v>42307</v>
      </c>
      <c r="D4" s="108">
        <f>_xll.qlRateHelperLatestDate($A4)</f>
        <v>42674</v>
      </c>
      <c r="E4" s="109">
        <v>0.99247631346948439</v>
      </c>
      <c r="F4" s="72">
        <v>24</v>
      </c>
      <c r="G4" s="110">
        <f>_xll.qlInterestRateIndexFixingDate(IborIndex,I4)</f>
        <v>42670</v>
      </c>
      <c r="H4" s="72" t="str">
        <f>_xll.qlMakeDatedOIS(,I4,J4,OvernightIndex,0,"Act/360",0)</f>
        <v>obj_00a5b#0000</v>
      </c>
      <c r="I4" s="110">
        <f>_xll.qlCalendarAdvance(Calendar,$D$2,F4&amp;"M","mf")</f>
        <v>42674</v>
      </c>
      <c r="J4" s="110">
        <f>_xll.qlInterestRateIndexMaturity(IborIndex,I4)</f>
        <v>43039</v>
      </c>
      <c r="K4" s="109">
        <f>_xll.qlIndexFixing(IborIndex,G4,TRUE,InterestRatesTrigger)</f>
        <v>5.4981093195406892E-3</v>
      </c>
      <c r="L4" s="109">
        <f>_xll.qlOvernightIndexedSwapFairRate(H4,Contribution!$P$25)</f>
        <v>9.7181061500209724E-4</v>
      </c>
      <c r="M4" s="86">
        <f>ROUND(K4-L4,6)</f>
        <v>4.5259999999999996E-3</v>
      </c>
      <c r="N4" s="109"/>
      <c r="O4" s="72" t="str">
        <f>_xll.qlSimpleQuote(,,,,EvaluationDate)</f>
        <v>obj_0054f#0000</v>
      </c>
      <c r="P4" s="109">
        <f>_xll.qlSimpleQuoteSetValue(O4,M4)</f>
        <v>0</v>
      </c>
      <c r="AB4" s="86"/>
      <c r="AC4" s="86"/>
      <c r="AD4" s="245"/>
    </row>
    <row r="5" spans="1:30" x14ac:dyDescent="0.2">
      <c r="A5" s="111" t="str">
        <f>RateHelpersFra!F4</f>
        <v>obj_00573#0000</v>
      </c>
      <c r="B5" s="112">
        <f>_xll.qlRateHelperRate($A5,InterestRatesTrigger)</f>
        <v>4.3800000000000002E-3</v>
      </c>
      <c r="C5" s="113">
        <f>_xll.qlRateHelperEarliestDate($A5)</f>
        <v>41943</v>
      </c>
      <c r="D5" s="108">
        <f>_xll.qlRateHelperLatestDate($A5)</f>
        <v>43039</v>
      </c>
      <c r="E5" s="109">
        <v>0.98697445207205015</v>
      </c>
      <c r="F5" s="72">
        <v>36</v>
      </c>
      <c r="G5" s="110">
        <f>_xll.qlInterestRateIndexFixingDate(IborIndex,I5)</f>
        <v>43035</v>
      </c>
      <c r="H5" s="72" t="str">
        <f>_xll.qlMakeDatedOIS(,I5,J5,OvernightIndex,0,"Act/360",0)</f>
        <v>obj_00a52#0000</v>
      </c>
      <c r="I5" s="110">
        <f>_xll.qlCalendarAdvance(Calendar,$D$2,F5&amp;"M","mf")</f>
        <v>43039</v>
      </c>
      <c r="J5" s="110">
        <f>_xll.qlInterestRateIndexMaturity(IborIndex,I5)</f>
        <v>43404</v>
      </c>
      <c r="K5" s="109">
        <f>_xll.qlIndexFixing(IborIndex,G5,TRUE,InterestRatesTrigger)</f>
        <v>7.8010932579867867E-3</v>
      </c>
      <c r="L5" s="109">
        <f>_xll.qlOvernightIndexedSwapFairRate(H5,Contribution!$P$25)</f>
        <v>2.9393014776979602E-3</v>
      </c>
      <c r="M5" s="86">
        <f>ROUND(K5-L5,6)</f>
        <v>4.862E-3</v>
      </c>
      <c r="N5" s="109"/>
      <c r="O5" s="72" t="str">
        <f>_xll.qlSimpleQuote(,,,,EvaluationDate)</f>
        <v>obj_00536#0000</v>
      </c>
      <c r="P5" s="109">
        <f>_xll.qlSimpleQuoteSetValue(O5,M5)</f>
        <v>0</v>
      </c>
      <c r="AB5" s="86"/>
      <c r="AC5" s="86"/>
      <c r="AD5" s="245"/>
    </row>
    <row r="6" spans="1:30" x14ac:dyDescent="0.2">
      <c r="A6" s="111" t="str">
        <f>RateHelpersFra!F5</f>
        <v>obj_00572#0000</v>
      </c>
      <c r="B6" s="112">
        <f>_xll.qlRateHelperRate($A6,InterestRatesTrigger)</f>
        <v>5.2599999999999999E-3</v>
      </c>
      <c r="C6" s="113">
        <f>_xll.qlRateHelperEarliestDate($A6)</f>
        <v>41943</v>
      </c>
      <c r="D6" s="108">
        <f>_xll.qlRateHelperLatestDate($A6)</f>
        <v>43404</v>
      </c>
      <c r="E6" s="109">
        <v>0.97922929497859335</v>
      </c>
      <c r="F6" s="72">
        <v>48</v>
      </c>
      <c r="G6" s="110">
        <f>_xll.qlInterestRateIndexFixingDate(IborIndex,I6)</f>
        <v>43402</v>
      </c>
      <c r="H6" s="72" t="str">
        <f>_xll.qlMakeDatedOIS(,I6,J6,OvernightIndex,0,"Act/360",0)</f>
        <v>obj_00a5e#0000</v>
      </c>
      <c r="I6" s="110">
        <f>_xll.qlCalendarAdvance(Calendar,$D$2,F6&amp;"M","mf")</f>
        <v>43404</v>
      </c>
      <c r="J6" s="110">
        <f>_xll.qlInterestRateIndexMaturity(IborIndex,I6)</f>
        <v>43769</v>
      </c>
      <c r="K6" s="109">
        <f>_xll.qlIndexFixing(IborIndex,G6,TRUE,InterestRatesTrigger)</f>
        <v>1.0548756898309997E-2</v>
      </c>
      <c r="L6" s="109">
        <f>_xll.qlOvernightIndexedSwapFairRate(H6,Contribution!$P$25)</f>
        <v>5.3918790455402031E-3</v>
      </c>
      <c r="M6" s="86">
        <f>ROUND(K6-L6,6)</f>
        <v>5.1570000000000001E-3</v>
      </c>
      <c r="N6" s="109"/>
      <c r="O6" s="72" t="str">
        <f>_xll.qlSimpleQuote(,,,,EvaluationDate)</f>
        <v>obj_0055d#0000</v>
      </c>
      <c r="P6" s="109">
        <f>_xll.qlSimpleQuoteSetValue(O6,M6)</f>
        <v>0</v>
      </c>
      <c r="AB6" s="86"/>
      <c r="AC6" s="86"/>
      <c r="AD6" s="245"/>
    </row>
    <row r="7" spans="1:30" x14ac:dyDescent="0.2">
      <c r="A7" s="111" t="str">
        <f>RateHelpersFra!F6</f>
        <v>obj_0056a#0000</v>
      </c>
      <c r="B7" s="112">
        <f>_xll.qlRateHelperRate($A7,InterestRatesTrigger)</f>
        <v>6.3400000000000001E-3</v>
      </c>
      <c r="C7" s="113">
        <f>_xll.qlRateHelperEarliestDate($A7)</f>
        <v>41943</v>
      </c>
      <c r="D7" s="108">
        <f>_xll.qlRateHelperLatestDate($A7)</f>
        <v>43769</v>
      </c>
      <c r="E7" s="109">
        <v>0.96886700329288855</v>
      </c>
      <c r="G7" s="110"/>
      <c r="I7" s="110"/>
      <c r="J7" s="110"/>
      <c r="K7" s="109"/>
      <c r="L7" s="109"/>
      <c r="M7" s="86"/>
      <c r="AB7" s="86"/>
      <c r="AC7" s="86"/>
      <c r="AD7" s="245"/>
    </row>
    <row r="8" spans="1:30" x14ac:dyDescent="0.2">
      <c r="A8" s="111"/>
      <c r="B8" s="112"/>
      <c r="C8" s="113"/>
      <c r="D8" s="108"/>
      <c r="E8" s="109" t="e">
        <v>#N/A</v>
      </c>
      <c r="F8" s="250">
        <v>0</v>
      </c>
      <c r="G8" s="251">
        <f>_xll.qlInterestRateIndexFixingDate(IborIndex,I8)</f>
        <v>41941</v>
      </c>
      <c r="H8" s="250" t="str">
        <f>_xll.qlMakeDatedOIS(,I8,J8,OvernightIndex,0,"Act/360",0)</f>
        <v>obj_00a56#0000</v>
      </c>
      <c r="I8" s="251">
        <f>_xll.qlCalendarAdvance(Calendar,$D$2,F8&amp;"M","mf")</f>
        <v>41943</v>
      </c>
      <c r="J8" s="251">
        <f>_xll.qlInterestRateIndexMaturity(IborIndex,I8)</f>
        <v>42307</v>
      </c>
      <c r="K8" s="250"/>
      <c r="L8" s="252">
        <f>_xll.qlOvernightIndexedSwapFairRate(H8,_xll.ohTrigger($P$2:$P$6))</f>
        <v>-2.7712525051792284E-4</v>
      </c>
      <c r="M8" s="253">
        <f>_xll.qlInterpolationInterpolate(BasisInterpolator,I8,,L8)</f>
        <v>3.6770000000000001E-3</v>
      </c>
      <c r="N8" s="252">
        <f>L8+M8</f>
        <v>3.3998747494820773E-3</v>
      </c>
      <c r="AB8" s="86"/>
      <c r="AC8" s="86"/>
      <c r="AD8" s="245"/>
    </row>
    <row r="9" spans="1:30" x14ac:dyDescent="0.2">
      <c r="A9" s="111"/>
      <c r="B9" s="112"/>
      <c r="C9" s="113"/>
      <c r="D9" s="108"/>
      <c r="E9" s="109" t="e">
        <v>#N/A</v>
      </c>
      <c r="F9" s="72">
        <v>1</v>
      </c>
      <c r="G9" s="110">
        <f>_xll.qlInterestRateIndexFixingDate(IborIndex,I9)</f>
        <v>41969</v>
      </c>
      <c r="H9" s="72" t="str">
        <f>_xll.qlMakeDatedOIS(,I9,J9,OvernightIndex,0,"Act/360",0)</f>
        <v>obj_00a6f#0000</v>
      </c>
      <c r="I9" s="110">
        <f>_xll.qlCalendarAdvance(Calendar,$D$2,F9&amp;"M","mf")</f>
        <v>41971</v>
      </c>
      <c r="J9" s="110">
        <f>_xll.qlInterestRateIndexMaturity(IborIndex,I9)</f>
        <v>42338</v>
      </c>
      <c r="L9" s="109">
        <f>_xll.qlOvernightIndexedSwapFairRate(H9,_xll.ohTrigger($P$2:$P$6))</f>
        <v>-3.2554684706907695E-4</v>
      </c>
      <c r="M9" s="86">
        <f>_xll.qlInterpolationInterpolate(BasisInterpolator,I9,,L9)</f>
        <v>3.7254838749638418E-3</v>
      </c>
      <c r="N9" s="109">
        <f>L9+M9</f>
        <v>3.3999370278947646E-3</v>
      </c>
      <c r="O9" s="245"/>
      <c r="AB9" s="86"/>
      <c r="AC9" s="86"/>
      <c r="AD9" s="245"/>
    </row>
    <row r="10" spans="1:30" x14ac:dyDescent="0.2">
      <c r="A10" s="111"/>
      <c r="B10" s="112"/>
      <c r="C10" s="113"/>
      <c r="D10" s="108"/>
      <c r="E10" s="109" t="e">
        <v>#N/A</v>
      </c>
      <c r="F10" s="72">
        <v>2</v>
      </c>
      <c r="G10" s="110">
        <f>_xll.qlInterestRateIndexFixingDate(IborIndex,I10)</f>
        <v>42002</v>
      </c>
      <c r="H10" s="72" t="str">
        <f>_xll.qlMakeDatedOIS(,I10,J10,OvernightIndex,0,"Act/360",0)</f>
        <v>obj_00a4f#0000</v>
      </c>
      <c r="I10" s="110">
        <f>_xll.qlCalendarAdvance(Calendar,$D$2,F10&amp;"M","mf")</f>
        <v>42004</v>
      </c>
      <c r="J10" s="110">
        <f>_xll.qlInterestRateIndexMaturity(IborIndex,I10)</f>
        <v>42369</v>
      </c>
      <c r="L10" s="109">
        <f>_xll.qlOvernightIndexedSwapFairRate(H10,_xll.ohTrigger($P$2:$P$6))</f>
        <v>-3.6036434773888755E-4</v>
      </c>
      <c r="M10" s="86">
        <f>_xll.qlInterpolationInterpolate(BasisInterpolator,I10,,L10)</f>
        <v>3.782347971869228E-3</v>
      </c>
      <c r="N10" s="109">
        <f t="shared" ref="N10:N56" si="0">L10+M10</f>
        <v>3.4219836241303403E-3</v>
      </c>
      <c r="O10" s="245"/>
      <c r="AB10" s="86"/>
      <c r="AC10" s="86"/>
      <c r="AD10" s="245"/>
    </row>
    <row r="11" spans="1:30" x14ac:dyDescent="0.2">
      <c r="A11" s="111"/>
      <c r="B11" s="112"/>
      <c r="C11" s="113"/>
      <c r="D11" s="108"/>
      <c r="E11" s="109" t="e">
        <v>#N/A</v>
      </c>
      <c r="F11" s="72">
        <v>3</v>
      </c>
      <c r="G11" s="110">
        <f>_xll.qlInterestRateIndexFixingDate(IborIndex,I11)</f>
        <v>42032</v>
      </c>
      <c r="H11" s="72" t="str">
        <f>_xll.qlMakeDatedOIS(,I11,J11,OvernightIndex,0,"Act/360",0)</f>
        <v>obj_00a43#0000</v>
      </c>
      <c r="I11" s="110">
        <f>_xll.qlCalendarAdvance(Calendar,$D$2,F11&amp;"M","mf")</f>
        <v>42034</v>
      </c>
      <c r="J11" s="110">
        <f>_xll.qlInterestRateIndexMaturity(IborIndex,I11)</f>
        <v>42398</v>
      </c>
      <c r="L11" s="109">
        <f>_xll.qlOvernightIndexedSwapFairRate(H11,_xll.ohTrigger($P$2:$P$6))</f>
        <v>-3.4550060516470453E-4</v>
      </c>
      <c r="M11" s="86">
        <f>_xll.qlInterpolationInterpolate(BasisInterpolator,I11,,L11)</f>
        <v>3.8335154482359935E-3</v>
      </c>
      <c r="N11" s="109">
        <f t="shared" si="0"/>
        <v>3.4880148430712888E-3</v>
      </c>
      <c r="O11" s="245"/>
      <c r="AB11" s="86"/>
      <c r="AC11" s="86"/>
      <c r="AD11" s="245"/>
    </row>
    <row r="12" spans="1:30" x14ac:dyDescent="0.2">
      <c r="A12" s="111"/>
      <c r="B12" s="112"/>
      <c r="C12" s="113"/>
      <c r="D12" s="108"/>
      <c r="E12" s="109" t="e">
        <v>#N/A</v>
      </c>
      <c r="F12" s="72">
        <v>4</v>
      </c>
      <c r="G12" s="110">
        <f>_xll.qlInterestRateIndexFixingDate(IborIndex,I12)</f>
        <v>42060</v>
      </c>
      <c r="H12" s="72" t="str">
        <f>_xll.qlMakeDatedOIS(,I12,J12,OvernightIndex,0,"Act/360",0)</f>
        <v>obj_00a41#0000</v>
      </c>
      <c r="I12" s="110">
        <f>_xll.qlCalendarAdvance(Calendar,$D$2,F12&amp;"M","mf")</f>
        <v>42062</v>
      </c>
      <c r="J12" s="110">
        <f>_xll.qlInterestRateIndexMaturity(IborIndex,I12)</f>
        <v>42429</v>
      </c>
      <c r="L12" s="109">
        <f>_xll.qlOvernightIndexedSwapFairRate(H12,_xll.ohTrigger($P$2:$P$6))</f>
        <v>-3.8100949131877285E-4</v>
      </c>
      <c r="M12" s="86">
        <f>_xll.qlInterpolationInterpolate(BasisInterpolator,I12,,L12)</f>
        <v>3.8805897960045121E-3</v>
      </c>
      <c r="N12" s="109">
        <f t="shared" si="0"/>
        <v>3.4995803046857393E-3</v>
      </c>
      <c r="O12" s="245"/>
      <c r="AB12" s="86"/>
      <c r="AC12" s="86"/>
      <c r="AD12" s="245"/>
    </row>
    <row r="13" spans="1:30" x14ac:dyDescent="0.2">
      <c r="A13" s="111"/>
      <c r="B13" s="112"/>
      <c r="C13" s="113"/>
      <c r="D13" s="108"/>
      <c r="E13" s="109" t="e">
        <v>#N/A</v>
      </c>
      <c r="F13" s="72">
        <v>5</v>
      </c>
      <c r="G13" s="110">
        <f>_xll.qlInterestRateIndexFixingDate(IborIndex,I13)</f>
        <v>42090</v>
      </c>
      <c r="H13" s="72" t="str">
        <f>_xll.qlMakeDatedOIS(,I13,J13,OvernightIndex,0,"Act/360",0)</f>
        <v>obj_00a48#0000</v>
      </c>
      <c r="I13" s="110">
        <f>_xll.qlCalendarAdvance(Calendar,$D$2,F13&amp;"M","mf")</f>
        <v>42094</v>
      </c>
      <c r="J13" s="110">
        <f>_xll.qlInterestRateIndexMaturity(IborIndex,I13)</f>
        <v>42460</v>
      </c>
      <c r="L13" s="109">
        <f>_xll.qlOvernightIndexedSwapFairRate(H13,_xll.ohTrigger($P$2:$P$6))</f>
        <v>-4.2278016036384757E-4</v>
      </c>
      <c r="M13" s="86">
        <f>_xll.qlInterpolationInterpolate(BasisInterpolator,I13,,L13)</f>
        <v>3.9333150259437035E-3</v>
      </c>
      <c r="N13" s="109">
        <f t="shared" si="0"/>
        <v>3.5105348655798561E-3</v>
      </c>
      <c r="O13" s="245"/>
      <c r="AB13" s="86"/>
      <c r="AC13" s="86"/>
      <c r="AD13" s="245"/>
    </row>
    <row r="14" spans="1:30" x14ac:dyDescent="0.2">
      <c r="A14" s="111"/>
      <c r="B14" s="112"/>
      <c r="C14" s="113"/>
      <c r="D14" s="108"/>
      <c r="E14" s="109" t="e">
        <v>#N/A</v>
      </c>
      <c r="F14" s="72">
        <v>6</v>
      </c>
      <c r="G14" s="110">
        <f>_xll.qlInterestRateIndexFixingDate(IborIndex,I14)</f>
        <v>42122</v>
      </c>
      <c r="H14" s="72" t="str">
        <f>_xll.qlMakeDatedOIS(,I14,J14,OvernightIndex,0,"Act/360",0)</f>
        <v>obj_00a49#0000</v>
      </c>
      <c r="I14" s="110">
        <f>_xll.qlCalendarAdvance(Calendar,$D$2,F14&amp;"M","mf")</f>
        <v>42124</v>
      </c>
      <c r="J14" s="110">
        <f>_xll.qlInterestRateIndexMaturity(IborIndex,I14)</f>
        <v>42489</v>
      </c>
      <c r="L14" s="109">
        <f>_xll.qlOvernightIndexedSwapFairRate(H14,_xll.ohTrigger($P$2:$P$6))</f>
        <v>-4.3392696786619816E-4</v>
      </c>
      <c r="M14" s="86">
        <f>_xll.qlInterpolationInterpolate(BasisInterpolator,I14,,L14)</f>
        <v>3.9814450728240906E-3</v>
      </c>
      <c r="N14" s="109">
        <f t="shared" si="0"/>
        <v>3.5475181049578926E-3</v>
      </c>
      <c r="O14" s="245"/>
      <c r="AB14" s="86"/>
      <c r="AC14" s="86"/>
      <c r="AD14" s="245"/>
    </row>
    <row r="15" spans="1:30" x14ac:dyDescent="0.2">
      <c r="A15" s="111"/>
      <c r="B15" s="112"/>
      <c r="C15" s="113"/>
      <c r="D15" s="108"/>
      <c r="E15" s="109" t="e">
        <v>#N/A</v>
      </c>
      <c r="F15" s="72">
        <v>7</v>
      </c>
      <c r="G15" s="110">
        <f>_xll.qlInterestRateIndexFixingDate(IborIndex,I15)</f>
        <v>42151</v>
      </c>
      <c r="H15" s="72" t="str">
        <f>_xll.qlMakeDatedOIS(,I15,J15,OvernightIndex,0,"Act/360",0)</f>
        <v>obj_00a54#0000</v>
      </c>
      <c r="I15" s="110">
        <f>_xll.qlCalendarAdvance(Calendar,$D$2,F15&amp;"M","mf")</f>
        <v>42153</v>
      </c>
      <c r="J15" s="110">
        <f>_xll.qlInterestRateIndexMaturity(IborIndex,I15)</f>
        <v>42521</v>
      </c>
      <c r="L15" s="109">
        <f>_xll.qlOvernightIndexedSwapFairRate(H15,_xll.ohTrigger($P$2:$P$6))</f>
        <v>-4.1543798593945567E-4</v>
      </c>
      <c r="M15" s="86">
        <f>_xll.qlInterpolationInterpolate(BasisInterpolator,I15,,L15)</f>
        <v>4.0265337902755868E-3</v>
      </c>
      <c r="N15" s="109">
        <f t="shared" si="0"/>
        <v>3.611095804336131E-3</v>
      </c>
      <c r="O15" s="245"/>
      <c r="AB15" s="86"/>
      <c r="AC15" s="86"/>
      <c r="AD15" s="245"/>
    </row>
    <row r="16" spans="1:30" x14ac:dyDescent="0.2">
      <c r="A16" s="111"/>
      <c r="B16" s="112"/>
      <c r="C16" s="113"/>
      <c r="D16" s="108"/>
      <c r="E16" s="109" t="e">
        <v>#N/A</v>
      </c>
      <c r="F16" s="72">
        <v>8</v>
      </c>
      <c r="G16" s="110">
        <f>_xll.qlInterestRateIndexFixingDate(IborIndex,I16)</f>
        <v>42181</v>
      </c>
      <c r="H16" s="72" t="str">
        <f>_xll.qlMakeDatedOIS(,I16,J16,OvernightIndex,0,"Act/360",0)</f>
        <v>obj_00a50#0000</v>
      </c>
      <c r="I16" s="110">
        <f>_xll.qlCalendarAdvance(Calendar,$D$2,F16&amp;"M","mf")</f>
        <v>42185</v>
      </c>
      <c r="J16" s="110">
        <f>_xll.qlInterestRateIndexMaturity(IborIndex,I16)</f>
        <v>42551</v>
      </c>
      <c r="L16" s="109">
        <f>_xll.qlOvernightIndexedSwapFairRate(H16,_xll.ohTrigger($P$2:$P$6))</f>
        <v>-3.8768302147120209E-4</v>
      </c>
      <c r="M16" s="86">
        <f>_xll.qlInterpolationInterpolate(BasisInterpolator,I16,,L16)</f>
        <v>4.0743722080417988E-3</v>
      </c>
      <c r="N16" s="109">
        <f t="shared" si="0"/>
        <v>3.6866891865705966E-3</v>
      </c>
      <c r="O16" s="245"/>
      <c r="AB16" s="86"/>
      <c r="AC16" s="86"/>
      <c r="AD16" s="245"/>
    </row>
    <row r="17" spans="1:30" x14ac:dyDescent="0.2">
      <c r="A17" s="111"/>
      <c r="B17" s="112"/>
      <c r="C17" s="113"/>
      <c r="D17" s="108"/>
      <c r="E17" s="109" t="e">
        <v>#N/A</v>
      </c>
      <c r="F17" s="72">
        <v>9</v>
      </c>
      <c r="G17" s="110">
        <f>_xll.qlInterestRateIndexFixingDate(IborIndex,I17)</f>
        <v>42214</v>
      </c>
      <c r="H17" s="72" t="str">
        <f>_xll.qlMakeDatedOIS(,I17,J17,OvernightIndex,0,"Act/360",0)</f>
        <v>obj_00a69#0000</v>
      </c>
      <c r="I17" s="110">
        <f>_xll.qlCalendarAdvance(Calendar,$D$2,F17&amp;"M","mf")</f>
        <v>42216</v>
      </c>
      <c r="J17" s="110">
        <f>_xll.qlInterestRateIndexMaturity(IborIndex,I17)</f>
        <v>42580</v>
      </c>
      <c r="L17" s="109">
        <f>_xll.qlOvernightIndexedSwapFairRate(H17,_xll.ohTrigger($P$2:$P$6))</f>
        <v>-3.4748980045923127E-4</v>
      </c>
      <c r="M17" s="86">
        <f>_xll.qlInterpolationInterpolate(BasisInterpolator,I17,,L17)</f>
        <v>4.1185216275303905E-3</v>
      </c>
      <c r="N17" s="109">
        <f t="shared" si="0"/>
        <v>3.7710318270711592E-3</v>
      </c>
      <c r="O17" s="245"/>
      <c r="AB17" s="86"/>
      <c r="AC17" s="86"/>
      <c r="AD17" s="245"/>
    </row>
    <row r="18" spans="1:30" x14ac:dyDescent="0.2">
      <c r="A18" s="111"/>
      <c r="B18" s="112"/>
      <c r="C18" s="113"/>
      <c r="D18" s="108"/>
      <c r="E18" s="109" t="e">
        <v>#N/A</v>
      </c>
      <c r="F18" s="72">
        <v>10</v>
      </c>
      <c r="G18" s="110">
        <f>_xll.qlInterestRateIndexFixingDate(IborIndex,I18)</f>
        <v>42243</v>
      </c>
      <c r="H18" s="72" t="str">
        <f>_xll.qlMakeDatedOIS(,I18,J18,OvernightIndex,0,"Act/360",0)</f>
        <v>obj_00a3e#0000</v>
      </c>
      <c r="I18" s="110">
        <f>_xll.qlCalendarAdvance(Calendar,$D$2,F18&amp;"M","mf")</f>
        <v>42247</v>
      </c>
      <c r="J18" s="110">
        <f>_xll.qlInterestRateIndexMaturity(IborIndex,I18)</f>
        <v>42613</v>
      </c>
      <c r="L18" s="109">
        <f>_xll.qlOvernightIndexedSwapFairRate(H18,_xll.ohTrigger($P$2:$P$6))</f>
        <v>-3.0100706739002596E-4</v>
      </c>
      <c r="M18" s="86">
        <f>_xll.qlInterpolationInterpolate(BasisInterpolator,I18,,L18)</f>
        <v>4.1602318712061883E-3</v>
      </c>
      <c r="N18" s="109">
        <f t="shared" si="0"/>
        <v>3.8592248038161621E-3</v>
      </c>
      <c r="O18" s="245"/>
      <c r="AB18" s="86"/>
      <c r="AC18" s="86"/>
      <c r="AD18" s="245"/>
    </row>
    <row r="19" spans="1:30" x14ac:dyDescent="0.2">
      <c r="A19" s="111"/>
      <c r="B19" s="112"/>
      <c r="C19" s="113"/>
      <c r="D19" s="108"/>
      <c r="E19" s="109" t="e">
        <v>#N/A</v>
      </c>
      <c r="F19" s="72">
        <v>11</v>
      </c>
      <c r="G19" s="110">
        <f>_xll.qlInterestRateIndexFixingDate(IborIndex,I19)</f>
        <v>42275</v>
      </c>
      <c r="H19" s="72" t="str">
        <f>_xll.qlMakeDatedOIS(,I19,J19,OvernightIndex,0,"Act/360",0)</f>
        <v>obj_00a3d#0000</v>
      </c>
      <c r="I19" s="110">
        <f>_xll.qlCalendarAdvance(Calendar,$D$2,F19&amp;"M","mf")</f>
        <v>42277</v>
      </c>
      <c r="J19" s="110">
        <f>_xll.qlInterestRateIndexMaturity(IborIndex,I19)</f>
        <v>42643</v>
      </c>
      <c r="L19" s="109">
        <f>_xll.qlOvernightIndexedSwapFairRate(H19,_xll.ohTrigger($P$2:$P$6))</f>
        <v>-2.4679437176817646E-4</v>
      </c>
      <c r="M19" s="86">
        <f>_xll.qlInterpolationInterpolate(BasisInterpolator,I19,,L19)</f>
        <v>4.1980133205183146E-3</v>
      </c>
      <c r="N19" s="109">
        <f t="shared" si="0"/>
        <v>3.9512189487501377E-3</v>
      </c>
      <c r="O19" s="245"/>
      <c r="AB19" s="86"/>
      <c r="AC19" s="86"/>
      <c r="AD19" s="245"/>
    </row>
    <row r="20" spans="1:30" x14ac:dyDescent="0.2">
      <c r="A20" s="111"/>
      <c r="B20" s="112"/>
      <c r="C20" s="113"/>
      <c r="D20" s="108"/>
      <c r="E20" s="109" t="e">
        <v>#N/A</v>
      </c>
      <c r="F20" s="246">
        <v>12</v>
      </c>
      <c r="G20" s="247">
        <f>_xll.qlInterestRateIndexFixingDate(IborIndex,I20)</f>
        <v>42305</v>
      </c>
      <c r="H20" s="246" t="str">
        <f>_xll.qlMakeDatedOIS(,I20,J20,OvernightIndex,0,"Act/360",0)</f>
        <v>obj_00a6e#0000</v>
      </c>
      <c r="I20" s="247">
        <f>_xll.qlCalendarAdvance(Calendar,$D$2,F20&amp;"M","mf")</f>
        <v>42307</v>
      </c>
      <c r="J20" s="247">
        <f>_xll.qlInterestRateIndexMaturity(IborIndex,I20)</f>
        <v>42674</v>
      </c>
      <c r="K20" s="246"/>
      <c r="L20" s="248">
        <f>_xll.qlOvernightIndexedSwapFairRate(H20,_xll.ohTrigger($P$2:$P$6))</f>
        <v>-1.8326870206095884E-4</v>
      </c>
      <c r="M20" s="249">
        <f>_xll.qlInterpolationInterpolate(BasisInterpolator,I20,,L20)</f>
        <v>4.2329999999999998E-3</v>
      </c>
      <c r="N20" s="248">
        <f t="shared" ref="N20" si="1">L20+M20</f>
        <v>4.0497312979390406E-3</v>
      </c>
      <c r="O20" s="245"/>
      <c r="AB20" s="86"/>
      <c r="AC20" s="86"/>
      <c r="AD20" s="245"/>
    </row>
    <row r="21" spans="1:30" x14ac:dyDescent="0.2">
      <c r="A21" s="111"/>
      <c r="B21" s="112"/>
      <c r="C21" s="113"/>
      <c r="D21" s="108"/>
      <c r="E21" s="109" t="e">
        <v>#N/A</v>
      </c>
      <c r="F21" s="72">
        <v>13</v>
      </c>
      <c r="G21" s="110">
        <f>_xll.qlInterestRateIndexFixingDate(IborIndex,I21)</f>
        <v>42334</v>
      </c>
      <c r="H21" s="72" t="str">
        <f>_xll.qlMakeDatedOIS(,I21,J21,OvernightIndex,0,"Act/360",0)</f>
        <v>obj_00a57#0000</v>
      </c>
      <c r="I21" s="110">
        <f>_xll.qlCalendarAdvance(Calendar,$D$2,F21&amp;"M","mf")</f>
        <v>42338</v>
      </c>
      <c r="J21" s="110">
        <f>_xll.qlInterestRateIndexMaturity(IborIndex,I21)</f>
        <v>42704</v>
      </c>
      <c r="L21" s="109">
        <f>_xll.qlOvernightIndexedSwapFairRate(H21,_xll.ohTrigger($P$2:$P$6))</f>
        <v>-1.1715340536224474E-4</v>
      </c>
      <c r="M21" s="86">
        <f>_xll.qlInterpolationInterpolate(BasisInterpolator,I21,,L21)</f>
        <v>4.2660632670120232E-3</v>
      </c>
      <c r="N21" s="109">
        <f t="shared" si="0"/>
        <v>4.1489098616497785E-3</v>
      </c>
      <c r="O21" s="245"/>
      <c r="AB21" s="86"/>
      <c r="AC21" s="86"/>
      <c r="AD21" s="245"/>
    </row>
    <row r="22" spans="1:30" x14ac:dyDescent="0.2">
      <c r="A22" s="111"/>
      <c r="B22" s="112"/>
      <c r="C22" s="113"/>
      <c r="D22" s="108"/>
      <c r="E22" s="109" t="e">
        <v>#N/A</v>
      </c>
      <c r="F22" s="72">
        <v>14</v>
      </c>
      <c r="G22" s="110">
        <f>_xll.qlInterestRateIndexFixingDate(IborIndex,I22)</f>
        <v>42367</v>
      </c>
      <c r="H22" s="72" t="str">
        <f>_xll.qlMakeDatedOIS(,I22,J22,OvernightIndex,0,"Act/360",0)</f>
        <v>obj_00a70#0000</v>
      </c>
      <c r="I22" s="110">
        <f>_xll.qlCalendarAdvance(Calendar,$D$2,F22&amp;"M","mf")</f>
        <v>42369</v>
      </c>
      <c r="J22" s="110">
        <f>_xll.qlInterestRateIndexMaturity(IborIndex,I22)</f>
        <v>42734</v>
      </c>
      <c r="L22" s="109">
        <f>_xll.qlOvernightIndexedSwapFairRate(H22,_xll.ohTrigger($P$2:$P$6))</f>
        <v>-5.4513967389298365E-5</v>
      </c>
      <c r="M22" s="86">
        <f>_xll.qlInterpolationInterpolate(BasisInterpolator,I22,,L22)</f>
        <v>4.2962757682274717E-3</v>
      </c>
      <c r="N22" s="109">
        <f t="shared" si="0"/>
        <v>4.2417618008381737E-3</v>
      </c>
      <c r="O22" s="245"/>
      <c r="AB22" s="86"/>
      <c r="AC22" s="86"/>
      <c r="AD22" s="245"/>
    </row>
    <row r="23" spans="1:30" x14ac:dyDescent="0.2">
      <c r="A23" s="111"/>
      <c r="B23" s="112"/>
      <c r="C23" s="113"/>
      <c r="D23" s="108"/>
      <c r="E23" s="109" t="e">
        <v>#N/A</v>
      </c>
      <c r="F23" s="72">
        <v>15</v>
      </c>
      <c r="G23" s="110">
        <f>_xll.qlInterestRateIndexFixingDate(IborIndex,I23)</f>
        <v>42396</v>
      </c>
      <c r="H23" s="72" t="str">
        <f>_xll.qlMakeDatedOIS(,I23,J23,OvernightIndex,0,"Act/360",0)</f>
        <v>obj_00a58#0000</v>
      </c>
      <c r="I23" s="110">
        <f>_xll.qlCalendarAdvance(Calendar,$D$2,F23&amp;"M","mf")</f>
        <v>42398</v>
      </c>
      <c r="J23" s="110">
        <f>_xll.qlInterestRateIndexMaturity(IborIndex,I23)</f>
        <v>42766</v>
      </c>
      <c r="L23" s="109">
        <f>_xll.qlOvernightIndexedSwapFairRate(H23,_xll.ohTrigger($P$2:$P$6))</f>
        <v>-1.3877727507378886E-5</v>
      </c>
      <c r="M23" s="86">
        <f>_xll.qlInterpolationInterpolate(BasisInterpolator,I23,,L23)</f>
        <v>4.3223138938269564E-3</v>
      </c>
      <c r="N23" s="109">
        <f t="shared" si="0"/>
        <v>4.3084361663195776E-3</v>
      </c>
      <c r="O23" s="245"/>
      <c r="AB23" s="86"/>
      <c r="AC23" s="86"/>
      <c r="AD23" s="245"/>
    </row>
    <row r="24" spans="1:30" x14ac:dyDescent="0.2">
      <c r="A24" s="111"/>
      <c r="B24" s="112"/>
      <c r="C24" s="113"/>
      <c r="D24" s="108"/>
      <c r="E24" s="109" t="e">
        <v>#N/A</v>
      </c>
      <c r="F24" s="72">
        <v>16</v>
      </c>
      <c r="G24" s="110">
        <f>_xll.qlInterestRateIndexFixingDate(IborIndex,I24)</f>
        <v>42425</v>
      </c>
      <c r="H24" s="72" t="str">
        <f>_xll.qlMakeDatedOIS(,I24,J24,OvernightIndex,0,"Act/360",0)</f>
        <v>obj_00a44#0000</v>
      </c>
      <c r="I24" s="110">
        <f>_xll.qlCalendarAdvance(Calendar,$D$2,F24&amp;"M","mf")</f>
        <v>42429</v>
      </c>
      <c r="J24" s="110">
        <f>_xll.qlInterestRateIndexMaturity(IborIndex,I24)</f>
        <v>42794</v>
      </c>
      <c r="L24" s="109">
        <f>_xll.qlOvernightIndexedSwapFairRate(H24,_xll.ohTrigger($P$2:$P$6))</f>
        <v>7.3644817443004252E-5</v>
      </c>
      <c r="M24" s="86">
        <f>_xll.qlInterpolationInterpolate(BasisInterpolator,I24,,L24)</f>
        <v>4.3481492722039963E-3</v>
      </c>
      <c r="N24" s="109">
        <f t="shared" si="0"/>
        <v>4.4217940896470005E-3</v>
      </c>
      <c r="O24" s="245"/>
      <c r="AB24" s="86"/>
      <c r="AC24" s="86"/>
      <c r="AD24" s="245"/>
    </row>
    <row r="25" spans="1:30" x14ac:dyDescent="0.2">
      <c r="A25" s="111"/>
      <c r="B25" s="112"/>
      <c r="C25" s="113"/>
      <c r="D25" s="108"/>
      <c r="E25" s="109" t="e">
        <v>#N/A</v>
      </c>
      <c r="F25" s="72">
        <v>17</v>
      </c>
      <c r="G25" s="110">
        <f>_xll.qlInterestRateIndexFixingDate(IborIndex,I25)</f>
        <v>42458</v>
      </c>
      <c r="H25" s="72" t="str">
        <f>_xll.qlMakeDatedOIS(,I25,J25,OvernightIndex,0,"Act/360",0)</f>
        <v>obj_00a4a#0000</v>
      </c>
      <c r="I25" s="110">
        <f>_xll.qlCalendarAdvance(Calendar,$D$2,F25&amp;"M","mf")</f>
        <v>42460</v>
      </c>
      <c r="J25" s="110">
        <f>_xll.qlInterestRateIndexMaturity(IborIndex,I25)</f>
        <v>42825</v>
      </c>
      <c r="L25" s="109">
        <f>_xll.qlOvernightIndexedSwapFairRate(H25,_xll.ohTrigger($P$2:$P$6))</f>
        <v>1.7855494149424225E-4</v>
      </c>
      <c r="M25" s="86">
        <f>_xll.qlInterpolationInterpolate(BasisInterpolator,I25,,L25)</f>
        <v>4.37231238944459E-3</v>
      </c>
      <c r="N25" s="109">
        <f t="shared" si="0"/>
        <v>4.550867330938832E-3</v>
      </c>
      <c r="O25" s="245"/>
      <c r="AB25" s="86"/>
      <c r="AC25" s="86"/>
      <c r="AD25" s="245"/>
    </row>
    <row r="26" spans="1:30" x14ac:dyDescent="0.2">
      <c r="A26" s="111"/>
      <c r="B26" s="112"/>
      <c r="C26" s="113"/>
      <c r="D26" s="108"/>
      <c r="E26" s="109" t="e">
        <v>#N/A</v>
      </c>
      <c r="F26" s="72">
        <v>18</v>
      </c>
      <c r="G26" s="110">
        <f>_xll.qlInterestRateIndexFixingDate(IborIndex,I26)</f>
        <v>42487</v>
      </c>
      <c r="H26" s="72" t="str">
        <f>_xll.qlMakeDatedOIS(,I26,J26,OvernightIndex,0,"Act/360",0)</f>
        <v>obj_00a5a#0000</v>
      </c>
      <c r="I26" s="110">
        <f>_xll.qlCalendarAdvance(Calendar,$D$2,F26&amp;"M","mf")</f>
        <v>42489</v>
      </c>
      <c r="J26" s="110">
        <f>_xll.qlInterestRateIndexMaturity(IborIndex,I26)</f>
        <v>42853</v>
      </c>
      <c r="L26" s="109">
        <f>_xll.qlOvernightIndexedSwapFairRate(H26,_xll.ohTrigger($P$2:$P$6))</f>
        <v>2.7671508291430484E-4</v>
      </c>
      <c r="M26" s="86">
        <f>_xll.qlInterpolationInterpolate(BasisInterpolator,I26,,L26)</f>
        <v>4.3937583223915434E-3</v>
      </c>
      <c r="N26" s="109">
        <f t="shared" si="0"/>
        <v>4.6704734053058484E-3</v>
      </c>
      <c r="O26" s="245"/>
      <c r="AB26" s="86"/>
      <c r="AC26" s="86"/>
      <c r="AD26" s="245"/>
    </row>
    <row r="27" spans="1:30" x14ac:dyDescent="0.2">
      <c r="A27" s="111"/>
      <c r="B27" s="112"/>
      <c r="C27" s="113"/>
      <c r="D27" s="108"/>
      <c r="E27" s="109" t="e">
        <v>#N/A</v>
      </c>
      <c r="F27" s="72">
        <v>19</v>
      </c>
      <c r="G27" s="110">
        <f>_xll.qlInterestRateIndexFixingDate(IborIndex,I27)</f>
        <v>42517</v>
      </c>
      <c r="H27" s="72" t="str">
        <f>_xll.qlMakeDatedOIS(,I27,J27,OvernightIndex,0,"Act/360",0)</f>
        <v>obj_00a3c#0000</v>
      </c>
      <c r="I27" s="110">
        <f>_xll.qlCalendarAdvance(Calendar,$D$2,F27&amp;"M","mf")</f>
        <v>42521</v>
      </c>
      <c r="J27" s="110">
        <f>_xll.qlInterestRateIndexMaturity(IborIndex,I27)</f>
        <v>42886</v>
      </c>
      <c r="L27" s="109">
        <f>_xll.qlOvernightIndexedSwapFairRate(H27,_xll.ohTrigger($P$2:$P$6))</f>
        <v>3.8441708893874826E-4</v>
      </c>
      <c r="M27" s="86">
        <f>_xll.qlInterpolationInterpolate(BasisInterpolator,I27,,L27)</f>
        <v>4.4165267544359638E-3</v>
      </c>
      <c r="N27" s="109">
        <f t="shared" si="0"/>
        <v>4.8009438433747123E-3</v>
      </c>
      <c r="O27" s="245"/>
      <c r="AB27" s="86"/>
      <c r="AC27" s="86"/>
      <c r="AD27" s="245"/>
    </row>
    <row r="28" spans="1:30" x14ac:dyDescent="0.2">
      <c r="A28" s="111"/>
      <c r="B28" s="112"/>
      <c r="C28" s="113"/>
      <c r="D28" s="108"/>
      <c r="E28" s="109" t="e">
        <v>#N/A</v>
      </c>
      <c r="F28" s="72">
        <v>20</v>
      </c>
      <c r="G28" s="110">
        <f>_xll.qlInterestRateIndexFixingDate(IborIndex,I28)</f>
        <v>42549</v>
      </c>
      <c r="H28" s="72" t="str">
        <f>_xll.qlMakeDatedOIS(,I28,J28,OvernightIndex,0,"Act/360",0)</f>
        <v>obj_00a5f#0000</v>
      </c>
      <c r="I28" s="110">
        <f>_xll.qlCalendarAdvance(Calendar,$D$2,F28&amp;"M","mf")</f>
        <v>42551</v>
      </c>
      <c r="J28" s="110">
        <f>_xll.qlInterestRateIndexMaturity(IborIndex,I28)</f>
        <v>42916</v>
      </c>
      <c r="L28" s="109">
        <f>_xll.qlOvernightIndexedSwapFairRate(H28,_xll.ohTrigger($P$2:$P$6))</f>
        <v>4.8433822910994235E-4</v>
      </c>
      <c r="M28" s="86">
        <f>_xll.qlInterpolationInterpolate(BasisInterpolator,I28,,L28)</f>
        <v>4.4373985082426758E-3</v>
      </c>
      <c r="N28" s="109">
        <f t="shared" si="0"/>
        <v>4.9217367373526177E-3</v>
      </c>
      <c r="O28" s="245"/>
      <c r="AB28" s="86"/>
      <c r="AC28" s="86"/>
      <c r="AD28" s="245"/>
    </row>
    <row r="29" spans="1:30" x14ac:dyDescent="0.2">
      <c r="A29" s="111"/>
      <c r="B29" s="112"/>
      <c r="C29" s="113"/>
      <c r="D29" s="108"/>
      <c r="E29" s="109" t="e">
        <v>#N/A</v>
      </c>
      <c r="F29" s="72">
        <v>21</v>
      </c>
      <c r="G29" s="110">
        <f>_xll.qlInterestRateIndexFixingDate(IborIndex,I29)</f>
        <v>42578</v>
      </c>
      <c r="H29" s="72" t="str">
        <f>_xll.qlMakeDatedOIS(,I29,J29,OvernightIndex,0,"Act/360",0)</f>
        <v>obj_00a55#0000</v>
      </c>
      <c r="I29" s="110">
        <f>_xll.qlCalendarAdvance(Calendar,$D$2,F29&amp;"M","mf")</f>
        <v>42580</v>
      </c>
      <c r="J29" s="110">
        <f>_xll.qlInterestRateIndexMaturity(IborIndex,I29)</f>
        <v>42947</v>
      </c>
      <c r="L29" s="109">
        <f>_xll.qlOvernightIndexedSwapFairRate(H29,_xll.ohTrigger($P$2:$P$6))</f>
        <v>5.9111551768439277E-4</v>
      </c>
      <c r="M29" s="86">
        <f>_xll.qlInterpolationInterpolate(BasisInterpolator,I29,,L29)</f>
        <v>4.4574885376089815E-3</v>
      </c>
      <c r="N29" s="109">
        <f t="shared" si="0"/>
        <v>5.048604055293374E-3</v>
      </c>
      <c r="O29" s="245"/>
      <c r="AB29" s="86"/>
      <c r="AC29" s="86"/>
      <c r="AD29" s="245"/>
    </row>
    <row r="30" spans="1:30" x14ac:dyDescent="0.2">
      <c r="A30" s="111"/>
      <c r="B30" s="112"/>
      <c r="C30" s="113"/>
      <c r="D30" s="108"/>
      <c r="E30" s="109" t="e">
        <v>#N/A</v>
      </c>
      <c r="F30" s="72">
        <v>22</v>
      </c>
      <c r="G30" s="110">
        <f>_xll.qlInterestRateIndexFixingDate(IborIndex,I30)</f>
        <v>42611</v>
      </c>
      <c r="H30" s="72" t="str">
        <f>_xll.qlMakeDatedOIS(,I30,J30,OvernightIndex,0,"Act/360",0)</f>
        <v>obj_00a60#0000</v>
      </c>
      <c r="I30" s="110">
        <f>_xll.qlCalendarAdvance(Calendar,$D$2,F30&amp;"M","mf")</f>
        <v>42613</v>
      </c>
      <c r="J30" s="110">
        <f>_xll.qlInterestRateIndexMaturity(IborIndex,I30)</f>
        <v>42978</v>
      </c>
      <c r="L30" s="109">
        <f>_xll.qlOvernightIndexedSwapFairRate(H30,_xll.ohTrigger($P$2:$P$6))</f>
        <v>7.1363606424344609E-4</v>
      </c>
      <c r="M30" s="86">
        <f>_xll.qlInterpolationInterpolate(BasisInterpolator,I30,,L30)</f>
        <v>4.4806695426704698E-3</v>
      </c>
      <c r="N30" s="109">
        <f t="shared" si="0"/>
        <v>5.1943056069139156E-3</v>
      </c>
      <c r="O30" s="245"/>
      <c r="AB30" s="86"/>
      <c r="AC30" s="86"/>
      <c r="AD30" s="245"/>
    </row>
    <row r="31" spans="1:30" x14ac:dyDescent="0.2">
      <c r="A31" s="111"/>
      <c r="B31" s="112"/>
      <c r="C31" s="113"/>
      <c r="D31" s="108"/>
      <c r="E31" s="109" t="e">
        <v>#N/A</v>
      </c>
      <c r="F31" s="72">
        <v>23</v>
      </c>
      <c r="G31" s="110">
        <f>_xll.qlInterestRateIndexFixingDate(IborIndex,I31)</f>
        <v>42641</v>
      </c>
      <c r="H31" s="72" t="str">
        <f>_xll.qlMakeDatedOIS(,I31,J31,OvernightIndex,0,"Act/360",0)</f>
        <v>obj_00a4c#0000</v>
      </c>
      <c r="I31" s="110">
        <f>_xll.qlCalendarAdvance(Calendar,$D$2,F31&amp;"M","mf")</f>
        <v>42643</v>
      </c>
      <c r="J31" s="110">
        <f>_xll.qlInterestRateIndexMaturity(IborIndex,I31)</f>
        <v>43007</v>
      </c>
      <c r="L31" s="109">
        <f>_xll.qlOvernightIndexedSwapFairRate(H31,_xll.ohTrigger($P$2:$P$6))</f>
        <v>8.3453098325254036E-4</v>
      </c>
      <c r="M31" s="86">
        <f>_xll.qlInterpolationInterpolate(BasisInterpolator,I31,,L31)</f>
        <v>4.5024292662070786E-3</v>
      </c>
      <c r="N31" s="109">
        <f t="shared" si="0"/>
        <v>5.3369602494596187E-3</v>
      </c>
      <c r="O31" s="245"/>
      <c r="AB31" s="86"/>
      <c r="AC31" s="86"/>
      <c r="AD31" s="245"/>
    </row>
    <row r="32" spans="1:30" x14ac:dyDescent="0.2">
      <c r="A32" s="111"/>
      <c r="B32" s="112"/>
      <c r="C32" s="113"/>
      <c r="D32" s="108"/>
      <c r="E32" s="109" t="e">
        <v>#N/A</v>
      </c>
      <c r="F32" s="250">
        <v>24</v>
      </c>
      <c r="G32" s="251">
        <f>_xll.qlInterestRateIndexFixingDate(IborIndex,I32)</f>
        <v>42670</v>
      </c>
      <c r="H32" s="250" t="str">
        <f>_xll.qlMakeDatedOIS(,I32,J32,OvernightIndex,0,"Act/360",0)</f>
        <v>obj_00a42#0000</v>
      </c>
      <c r="I32" s="251">
        <f>_xll.qlCalendarAdvance(Calendar,$D$2,F32&amp;"M","mf")</f>
        <v>42674</v>
      </c>
      <c r="J32" s="251">
        <f>_xll.qlInterestRateIndexMaturity(IborIndex,I32)</f>
        <v>43039</v>
      </c>
      <c r="K32" s="250"/>
      <c r="L32" s="252">
        <f>_xll.qlOvernightIndexedSwapFairRate(H32,_xll.ohTrigger($P$2:$P$6))</f>
        <v>9.7181061500209724E-4</v>
      </c>
      <c r="M32" s="253">
        <f>_xll.qlInterpolationInterpolate(BasisInterpolator,I32,,L32)</f>
        <v>4.5259999999999996E-3</v>
      </c>
      <c r="N32" s="252">
        <f t="shared" ref="N32" si="2">L32+M32</f>
        <v>5.4978106150020967E-3</v>
      </c>
      <c r="O32" s="245"/>
      <c r="AB32" s="86"/>
      <c r="AC32" s="86"/>
      <c r="AD32" s="245"/>
    </row>
    <row r="33" spans="1:30" x14ac:dyDescent="0.2">
      <c r="A33" s="111"/>
      <c r="B33" s="112"/>
      <c r="C33" s="113"/>
      <c r="D33" s="108"/>
      <c r="E33" s="109" t="e">
        <v>#N/A</v>
      </c>
      <c r="F33" s="72">
        <v>25</v>
      </c>
      <c r="G33" s="110">
        <f>_xll.qlInterestRateIndexFixingDate(IborIndex,I33)</f>
        <v>42702</v>
      </c>
      <c r="H33" s="72" t="str">
        <f>_xll.qlMakeDatedOIS(,I33,J33,OvernightIndex,0,"Act/360",0)</f>
        <v>obj_00a63#0000</v>
      </c>
      <c r="I33" s="110">
        <f>_xll.qlCalendarAdvance(Calendar,$D$2,F33&amp;"M","mf")</f>
        <v>42704</v>
      </c>
      <c r="J33" s="110">
        <f>_xll.qlInterestRateIndexMaturity(IborIndex,I33)</f>
        <v>43069</v>
      </c>
      <c r="L33" s="109">
        <f>_xll.qlOvernightIndexedSwapFairRate(H33,_xll.ohTrigger($P$2:$P$6))</f>
        <v>1.1088434282893677E-3</v>
      </c>
      <c r="M33" s="86">
        <f>_xll.qlInterpolationInterpolate(BasisInterpolator,I33,,L33)</f>
        <v>4.550144683877066E-3</v>
      </c>
      <c r="N33" s="109">
        <f t="shared" si="0"/>
        <v>5.6589881121664335E-3</v>
      </c>
      <c r="O33" s="245"/>
      <c r="AB33" s="86"/>
      <c r="AC33" s="86"/>
      <c r="AD33" s="245"/>
    </row>
    <row r="34" spans="1:30" x14ac:dyDescent="0.2">
      <c r="A34" s="111"/>
      <c r="B34" s="112"/>
      <c r="C34" s="113"/>
      <c r="D34" s="108"/>
      <c r="E34" s="109" t="e">
        <v>#N/A</v>
      </c>
      <c r="F34" s="72">
        <v>26</v>
      </c>
      <c r="G34" s="110">
        <f>_xll.qlInterestRateIndexFixingDate(IborIndex,I34)</f>
        <v>42732</v>
      </c>
      <c r="H34" s="72" t="str">
        <f>_xll.qlMakeDatedOIS(,I34,J34,OvernightIndex,0,"Act/360",0)</f>
        <v>obj_00a5d#0000</v>
      </c>
      <c r="I34" s="110">
        <f>_xll.qlCalendarAdvance(Calendar,$D$2,F34&amp;"M","mf")</f>
        <v>42734</v>
      </c>
      <c r="J34" s="110">
        <f>_xll.qlInterestRateIndexMaturity(IborIndex,I34)</f>
        <v>43098</v>
      </c>
      <c r="L34" s="109">
        <f>_xll.qlOvernightIndexedSwapFairRate(H34,_xll.ohTrigger($P$2:$P$6))</f>
        <v>1.248698870802493E-3</v>
      </c>
      <c r="M34" s="86">
        <f>_xll.qlInterpolationInterpolate(BasisInterpolator,I34,,L34)</f>
        <v>4.5755162138841543E-3</v>
      </c>
      <c r="N34" s="109">
        <f t="shared" si="0"/>
        <v>5.8242150846866472E-3</v>
      </c>
      <c r="O34" s="245"/>
      <c r="AB34" s="86"/>
      <c r="AC34" s="86"/>
      <c r="AD34" s="245"/>
    </row>
    <row r="35" spans="1:30" x14ac:dyDescent="0.2">
      <c r="A35" s="111"/>
      <c r="B35" s="112"/>
      <c r="C35" s="113"/>
      <c r="D35" s="108"/>
      <c r="E35" s="109" t="e">
        <v>#N/A</v>
      </c>
      <c r="F35" s="72">
        <v>27</v>
      </c>
      <c r="G35" s="110">
        <f>_xll.qlInterestRateIndexFixingDate(IborIndex,I35)</f>
        <v>42762</v>
      </c>
      <c r="H35" s="72" t="str">
        <f>_xll.qlMakeDatedOIS(,I35,J35,OvernightIndex,0,"Act/360",0)</f>
        <v>obj_00a3f#0000</v>
      </c>
      <c r="I35" s="110">
        <f>_xll.qlCalendarAdvance(Calendar,$D$2,F35&amp;"M","mf")</f>
        <v>42766</v>
      </c>
      <c r="J35" s="110">
        <f>_xll.qlInterestRateIndexMaturity(IborIndex,I35)</f>
        <v>43131</v>
      </c>
      <c r="L35" s="109">
        <f>_xll.qlOvernightIndexedSwapFairRate(H35,_xll.ohTrigger($P$2:$P$6))</f>
        <v>1.4089044137071737E-3</v>
      </c>
      <c r="M35" s="86">
        <f>_xll.qlInterpolationInterpolate(BasisInterpolator,I35,,L35)</f>
        <v>4.6037302766864805E-3</v>
      </c>
      <c r="N35" s="109">
        <f t="shared" si="0"/>
        <v>6.0126346903936539E-3</v>
      </c>
      <c r="O35" s="245"/>
      <c r="AB35" s="86"/>
      <c r="AC35" s="86"/>
      <c r="AD35" s="245"/>
    </row>
    <row r="36" spans="1:30" x14ac:dyDescent="0.2">
      <c r="A36" s="111"/>
      <c r="B36" s="112"/>
      <c r="C36" s="113"/>
      <c r="D36" s="108"/>
      <c r="E36" s="109" t="e">
        <v>#N/A</v>
      </c>
      <c r="F36" s="72">
        <v>28</v>
      </c>
      <c r="G36" s="110">
        <f>_xll.qlInterestRateIndexFixingDate(IborIndex,I36)</f>
        <v>42790</v>
      </c>
      <c r="H36" s="72" t="str">
        <f>_xll.qlMakeDatedOIS(,I36,J36,OvernightIndex,0,"Act/360",0)</f>
        <v>obj_00a4b#0000</v>
      </c>
      <c r="I36" s="110">
        <f>_xll.qlCalendarAdvance(Calendar,$D$2,F36&amp;"M","mf")</f>
        <v>42794</v>
      </c>
      <c r="J36" s="110">
        <f>_xll.qlInterestRateIndexMaturity(IborIndex,I36)</f>
        <v>43159</v>
      </c>
      <c r="L36" s="109">
        <f>_xll.qlOvernightIndexedSwapFairRate(H36,_xll.ohTrigger($P$2:$P$6))</f>
        <v>1.5513108346685623E-3</v>
      </c>
      <c r="M36" s="86">
        <f>_xll.qlInterpolationInterpolate(BasisInterpolator,I36,,L36)</f>
        <v>4.6292256674728138E-3</v>
      </c>
      <c r="N36" s="109">
        <f t="shared" si="0"/>
        <v>6.1805365021413757E-3</v>
      </c>
      <c r="O36" s="245"/>
      <c r="AB36" s="86"/>
      <c r="AC36" s="86"/>
      <c r="AD36" s="245"/>
    </row>
    <row r="37" spans="1:30" x14ac:dyDescent="0.2">
      <c r="A37" s="111"/>
      <c r="B37" s="112"/>
      <c r="C37" s="113"/>
      <c r="D37" s="108"/>
      <c r="E37" s="109" t="e">
        <v>#N/A</v>
      </c>
      <c r="F37" s="72">
        <v>29</v>
      </c>
      <c r="G37" s="110">
        <f>_xll.qlInterestRateIndexFixingDate(IborIndex,I37)</f>
        <v>42823</v>
      </c>
      <c r="H37" s="72" t="str">
        <f>_xll.qlMakeDatedOIS(,I37,J37,OvernightIndex,0,"Act/360",0)</f>
        <v>obj_00a66#0000</v>
      </c>
      <c r="I37" s="110">
        <f>_xll.qlCalendarAdvance(Calendar,$D$2,F37&amp;"M","mf")</f>
        <v>42825</v>
      </c>
      <c r="J37" s="110">
        <f>_xll.qlInterestRateIndexMaturity(IborIndex,I37)</f>
        <v>43188</v>
      </c>
      <c r="L37" s="109">
        <f>_xll.qlOvernightIndexedSwapFairRate(H37,_xll.ohTrigger($P$2:$P$6))</f>
        <v>1.7079647950212226E-3</v>
      </c>
      <c r="M37" s="86">
        <f>_xll.qlInterpolationInterpolate(BasisInterpolator,I37,,L37)</f>
        <v>4.6581490343074157E-3</v>
      </c>
      <c r="N37" s="109">
        <f t="shared" si="0"/>
        <v>6.3661138293286384E-3</v>
      </c>
      <c r="O37" s="245"/>
      <c r="AB37" s="86"/>
      <c r="AC37" s="86"/>
      <c r="AD37" s="245"/>
    </row>
    <row r="38" spans="1:30" x14ac:dyDescent="0.2">
      <c r="A38" s="111"/>
      <c r="B38" s="112"/>
      <c r="C38" s="113"/>
      <c r="D38" s="108"/>
      <c r="E38" s="109" t="e">
        <v>#N/A</v>
      </c>
      <c r="F38" s="72">
        <v>30</v>
      </c>
      <c r="G38" s="110">
        <f>_xll.qlInterestRateIndexFixingDate(IborIndex,I38)</f>
        <v>42851</v>
      </c>
      <c r="H38" s="72" t="str">
        <f>_xll.qlMakeDatedOIS(,I38,J38,OvernightIndex,0,"Act/360",0)</f>
        <v>obj_00a5c#0000</v>
      </c>
      <c r="I38" s="110">
        <f>_xll.qlCalendarAdvance(Calendar,$D$2,F38&amp;"M","mf")</f>
        <v>42853</v>
      </c>
      <c r="J38" s="110">
        <f>_xll.qlInterestRateIndexMaturity(IborIndex,I38)</f>
        <v>43220</v>
      </c>
      <c r="L38" s="109">
        <f>_xll.qlOvernightIndexedSwapFairRate(H38,_xll.ohTrigger($P$2:$P$6))</f>
        <v>1.8697393805436071E-3</v>
      </c>
      <c r="M38" s="86">
        <f>_xll.qlInterpolationInterpolate(BasisInterpolator,I38,,L38)</f>
        <v>4.6847439115149242E-3</v>
      </c>
      <c r="N38" s="109">
        <f t="shared" si="0"/>
        <v>6.5544832920585317E-3</v>
      </c>
      <c r="O38" s="245"/>
      <c r="AB38" s="86"/>
      <c r="AC38" s="86"/>
      <c r="AD38" s="245"/>
    </row>
    <row r="39" spans="1:30" x14ac:dyDescent="0.2">
      <c r="A39" s="111"/>
      <c r="B39" s="112"/>
      <c r="C39" s="113"/>
      <c r="D39" s="108"/>
      <c r="E39" s="109" t="e">
        <v>#N/A</v>
      </c>
      <c r="F39" s="72">
        <v>31</v>
      </c>
      <c r="G39" s="110">
        <f>_xll.qlInterestRateIndexFixingDate(IborIndex,I39)</f>
        <v>42884</v>
      </c>
      <c r="H39" s="72" t="str">
        <f>_xll.qlMakeDatedOIS(,I39,J39,OvernightIndex,0,"Act/360",0)</f>
        <v>obj_00a47#0000</v>
      </c>
      <c r="I39" s="110">
        <f>_xll.qlCalendarAdvance(Calendar,$D$2,F39&amp;"M","mf")</f>
        <v>42886</v>
      </c>
      <c r="J39" s="110">
        <f>_xll.qlInterestRateIndexMaturity(IborIndex,I39)</f>
        <v>43251</v>
      </c>
      <c r="L39" s="109">
        <f>_xll.qlOvernightIndexedSwapFairRate(H39,_xll.ohTrigger($P$2:$P$6))</f>
        <v>2.0457436417778653E-3</v>
      </c>
      <c r="M39" s="86">
        <f>_xll.qlInterpolationInterpolate(BasisInterpolator,I39,,L39)</f>
        <v>4.7164571449647289E-3</v>
      </c>
      <c r="N39" s="109">
        <f t="shared" si="0"/>
        <v>6.7622007867425941E-3</v>
      </c>
      <c r="O39" s="245"/>
      <c r="AB39" s="86"/>
      <c r="AC39" s="86"/>
      <c r="AD39" s="245"/>
    </row>
    <row r="40" spans="1:30" x14ac:dyDescent="0.2">
      <c r="A40" s="111"/>
      <c r="B40" s="112"/>
      <c r="C40" s="113"/>
      <c r="D40" s="108"/>
      <c r="E40" s="109" t="e">
        <v>#N/A</v>
      </c>
      <c r="F40" s="72">
        <v>32</v>
      </c>
      <c r="G40" s="110">
        <f>_xll.qlInterestRateIndexFixingDate(IborIndex,I40)</f>
        <v>42914</v>
      </c>
      <c r="H40" s="72" t="str">
        <f>_xll.qlMakeDatedOIS(,I40,J40,OvernightIndex,0,"Act/360",0)</f>
        <v>obj_00a64#0000</v>
      </c>
      <c r="I40" s="110">
        <f>_xll.qlCalendarAdvance(Calendar,$D$2,F40&amp;"M","mf")</f>
        <v>42916</v>
      </c>
      <c r="J40" s="110">
        <f>_xll.qlInterestRateIndexMaturity(IborIndex,I40)</f>
        <v>43280</v>
      </c>
      <c r="L40" s="109">
        <f>_xll.qlOvernightIndexedSwapFairRate(H40,_xll.ohTrigger($P$2:$P$6))</f>
        <v>2.2118048154316831E-3</v>
      </c>
      <c r="M40" s="86">
        <f>_xll.qlInterpolationInterpolate(BasisInterpolator,I40,,L40)</f>
        <v>4.745444518776668E-3</v>
      </c>
      <c r="N40" s="109">
        <f t="shared" si="0"/>
        <v>6.9572493342083506E-3</v>
      </c>
      <c r="O40" s="245"/>
      <c r="AB40" s="86"/>
      <c r="AC40" s="86"/>
      <c r="AD40" s="245"/>
    </row>
    <row r="41" spans="1:30" x14ac:dyDescent="0.2">
      <c r="A41" s="111"/>
      <c r="B41" s="112"/>
      <c r="C41" s="113"/>
      <c r="D41" s="108"/>
      <c r="E41" s="109" t="e">
        <v>#N/A</v>
      </c>
      <c r="F41" s="72">
        <v>33</v>
      </c>
      <c r="G41" s="110">
        <f>_xll.qlInterestRateIndexFixingDate(IborIndex,I41)</f>
        <v>42943</v>
      </c>
      <c r="H41" s="72" t="str">
        <f>_xll.qlMakeDatedOIS(,I41,J41,OvernightIndex,0,"Act/360",0)</f>
        <v>obj_00a51#0000</v>
      </c>
      <c r="I41" s="110">
        <f>_xll.qlCalendarAdvance(Calendar,$D$2,F41&amp;"M","mf")</f>
        <v>42947</v>
      </c>
      <c r="J41" s="110">
        <f>_xll.qlInterestRateIndexMaturity(IborIndex,I41)</f>
        <v>43312</v>
      </c>
      <c r="L41" s="109">
        <f>_xll.qlOvernightIndexedSwapFairRate(H41,_xll.ohTrigger($P$2:$P$6))</f>
        <v>2.3929012864605552E-3</v>
      </c>
      <c r="M41" s="86">
        <f>_xll.qlInterpolationInterpolate(BasisInterpolator,I41,,L41)</f>
        <v>4.7753594848227747E-3</v>
      </c>
      <c r="N41" s="109">
        <f t="shared" si="0"/>
        <v>7.1682607712833298E-3</v>
      </c>
      <c r="O41" s="245"/>
      <c r="AB41" s="86"/>
      <c r="AC41" s="86"/>
      <c r="AD41" s="245"/>
    </row>
    <row r="42" spans="1:30" x14ac:dyDescent="0.2">
      <c r="A42" s="111"/>
      <c r="B42" s="112"/>
      <c r="C42" s="113"/>
      <c r="D42" s="108"/>
      <c r="E42" s="109" t="e">
        <v>#N/A</v>
      </c>
      <c r="F42" s="72">
        <v>34</v>
      </c>
      <c r="G42" s="110">
        <f>_xll.qlInterestRateIndexFixingDate(IborIndex,I42)</f>
        <v>42976</v>
      </c>
      <c r="H42" s="72" t="str">
        <f>_xll.qlMakeDatedOIS(,I42,J42,OvernightIndex,0,"Act/360",0)</f>
        <v>obj_00a4e#0000</v>
      </c>
      <c r="I42" s="110">
        <f>_xll.qlCalendarAdvance(Calendar,$D$2,F42&amp;"M","mf")</f>
        <v>42978</v>
      </c>
      <c r="J42" s="110">
        <f>_xll.qlInterestRateIndexMaturity(IborIndex,I42)</f>
        <v>43343</v>
      </c>
      <c r="L42" s="109">
        <f>_xll.qlOvernightIndexedSwapFairRate(H42,_xll.ohTrigger($P$2:$P$6))</f>
        <v>2.5742686246740328E-3</v>
      </c>
      <c r="M42" s="86">
        <f>_xll.qlInterpolationInterpolate(BasisInterpolator,I42,,L42)</f>
        <v>4.8050402902757782E-3</v>
      </c>
      <c r="N42" s="109">
        <f t="shared" si="0"/>
        <v>7.3793089149498114E-3</v>
      </c>
      <c r="O42" s="245"/>
      <c r="AB42" s="86"/>
      <c r="AC42" s="86"/>
      <c r="AD42" s="245"/>
    </row>
    <row r="43" spans="1:30" x14ac:dyDescent="0.2">
      <c r="A43" s="111"/>
      <c r="B43" s="112"/>
      <c r="C43" s="113"/>
      <c r="D43" s="108"/>
      <c r="E43" s="109" t="e">
        <v>#N/A</v>
      </c>
      <c r="F43" s="72">
        <v>35</v>
      </c>
      <c r="G43" s="110">
        <f>_xll.qlInterestRateIndexFixingDate(IborIndex,I43)</f>
        <v>43005</v>
      </c>
      <c r="H43" s="72" t="str">
        <f>_xll.qlMakeDatedOIS(,I43,J43,OvernightIndex,0,"Act/360",0)</f>
        <v>obj_00a65#0000</v>
      </c>
      <c r="I43" s="110">
        <f>_xll.qlCalendarAdvance(Calendar,$D$2,F43&amp;"M","mf")</f>
        <v>43007</v>
      </c>
      <c r="J43" s="110">
        <f>_xll.qlInterestRateIndexMaturity(IborIndex,I43)</f>
        <v>43371</v>
      </c>
      <c r="L43" s="109">
        <f>_xll.qlOvernightIndexedSwapFairRate(H43,_xll.ohTrigger($P$2:$P$6))</f>
        <v>2.7434900286628446E-3</v>
      </c>
      <c r="M43" s="86">
        <f>_xll.qlInterpolationInterpolate(BasisInterpolator,I43,,L43)</f>
        <v>4.8324197152287349E-3</v>
      </c>
      <c r="N43" s="109">
        <f t="shared" si="0"/>
        <v>7.575909743891579E-3</v>
      </c>
      <c r="O43" s="245"/>
      <c r="AB43" s="86"/>
      <c r="AC43" s="86"/>
      <c r="AD43" s="245"/>
    </row>
    <row r="44" spans="1:30" x14ac:dyDescent="0.2">
      <c r="A44" s="111"/>
      <c r="B44" s="112"/>
      <c r="C44" s="113"/>
      <c r="D44" s="108"/>
      <c r="E44" s="109" t="e">
        <v>#N/A</v>
      </c>
      <c r="F44" s="250">
        <v>36</v>
      </c>
      <c r="G44" s="251">
        <f>_xll.qlInterestRateIndexFixingDate(IborIndex,I44)</f>
        <v>43035</v>
      </c>
      <c r="H44" s="250" t="str">
        <f>_xll.qlMakeDatedOIS(,I44,J44,OvernightIndex,0,"Act/360",0)</f>
        <v>obj_00a6d#0000</v>
      </c>
      <c r="I44" s="251">
        <f>_xll.qlCalendarAdvance(Calendar,$D$2,F44&amp;"M","mf")</f>
        <v>43039</v>
      </c>
      <c r="J44" s="251">
        <f>_xll.qlInterestRateIndexMaturity(IborIndex,I44)</f>
        <v>43404</v>
      </c>
      <c r="K44" s="250"/>
      <c r="L44" s="252">
        <f>_xll.qlOvernightIndexedSwapFairRate(H44,_xll.ohTrigger($P$2:$P$6))</f>
        <v>2.9393014776979602E-3</v>
      </c>
      <c r="M44" s="253">
        <f>_xll.qlInterpolationInterpolate(BasisInterpolator,I44,,L44)</f>
        <v>4.862E-3</v>
      </c>
      <c r="N44" s="252">
        <f t="shared" ref="N44" si="3">L44+M44</f>
        <v>7.8013014776979603E-3</v>
      </c>
      <c r="O44" s="245"/>
      <c r="AB44" s="86"/>
      <c r="AC44" s="86"/>
      <c r="AD44" s="245"/>
    </row>
    <row r="45" spans="1:30" x14ac:dyDescent="0.2">
      <c r="A45" s="111"/>
      <c r="B45" s="112"/>
      <c r="C45" s="113"/>
      <c r="D45" s="108"/>
      <c r="E45" s="86" t="e">
        <v>#N/A</v>
      </c>
      <c r="F45" s="72">
        <v>37</v>
      </c>
      <c r="G45" s="110">
        <f>_xll.qlInterestRateIndexFixingDate(IborIndex,I45)</f>
        <v>43067</v>
      </c>
      <c r="H45" s="72" t="str">
        <f>_xll.qlMakeDatedOIS(,I45,J45,OvernightIndex,0,"Act/360",0)</f>
        <v>obj_00a45#0000</v>
      </c>
      <c r="I45" s="110">
        <f>_xll.qlCalendarAdvance(Calendar,$D$2,F45&amp;"M","mf")</f>
        <v>43069</v>
      </c>
      <c r="J45" s="110">
        <f>_xll.qlInterestRateIndexMaturity(IborIndex,I45)</f>
        <v>43434</v>
      </c>
      <c r="L45" s="109">
        <f>_xll.qlOvernightIndexedSwapFairRate(H45,_xll.ohTrigger($P$2:$P$6))</f>
        <v>3.1222733969278786E-3</v>
      </c>
      <c r="M45" s="86">
        <f>_xll.qlInterpolationInterpolate(BasisInterpolator,I45,,L45)</f>
        <v>4.8889835085300978E-3</v>
      </c>
      <c r="N45" s="109">
        <f t="shared" si="0"/>
        <v>8.0112569054579773E-3</v>
      </c>
      <c r="O45" s="245"/>
      <c r="AB45" s="86"/>
      <c r="AC45" s="86"/>
      <c r="AD45" s="245"/>
    </row>
    <row r="46" spans="1:30" x14ac:dyDescent="0.2">
      <c r="A46" s="111"/>
      <c r="B46" s="112"/>
      <c r="C46" s="113"/>
      <c r="D46" s="108"/>
      <c r="E46" s="86" t="e">
        <v>#N/A</v>
      </c>
      <c r="F46" s="72">
        <v>38</v>
      </c>
      <c r="G46" s="110">
        <f>_xll.qlInterestRateIndexFixingDate(IborIndex,I46)</f>
        <v>43096</v>
      </c>
      <c r="H46" s="72" t="str">
        <f>_xll.qlMakeDatedOIS(,I46,J46,OvernightIndex,0,"Act/360",0)</f>
        <v>obj_00a53#0000</v>
      </c>
      <c r="I46" s="110">
        <f>_xll.qlCalendarAdvance(Calendar,$D$2,F46&amp;"M","mf")</f>
        <v>43098</v>
      </c>
      <c r="J46" s="110">
        <f>_xll.qlInterestRateIndexMaturity(IborIndex,I46)</f>
        <v>43465</v>
      </c>
      <c r="L46" s="109">
        <f>_xll.qlOvernightIndexedSwapFairRate(H46,_xll.ohTrigger($P$2:$P$6))</f>
        <v>3.3078187963237961E-3</v>
      </c>
      <c r="M46" s="86">
        <f>_xll.qlInterpolationInterpolate(BasisInterpolator,I46,,L46)</f>
        <v>4.9143979164503237E-3</v>
      </c>
      <c r="N46" s="109">
        <f t="shared" si="0"/>
        <v>8.2222167127741202E-3</v>
      </c>
      <c r="O46" s="245"/>
      <c r="AB46" s="86"/>
      <c r="AC46" s="86"/>
      <c r="AD46" s="245"/>
    </row>
    <row r="47" spans="1:30" x14ac:dyDescent="0.2">
      <c r="A47" s="111"/>
      <c r="B47" s="112"/>
      <c r="C47" s="113"/>
      <c r="D47" s="108"/>
      <c r="E47" s="86" t="e">
        <v>#N/A</v>
      </c>
      <c r="F47" s="72">
        <v>39</v>
      </c>
      <c r="G47" s="110">
        <f>_xll.qlInterestRateIndexFixingDate(IborIndex,I47)</f>
        <v>43129</v>
      </c>
      <c r="H47" s="72" t="str">
        <f>_xll.qlMakeDatedOIS(,I47,J47,OvernightIndex,0,"Act/360",0)</f>
        <v>obj_00a4d#0000</v>
      </c>
      <c r="I47" s="110">
        <f>_xll.qlCalendarAdvance(Calendar,$D$2,F47&amp;"M","mf")</f>
        <v>43131</v>
      </c>
      <c r="J47" s="110">
        <f>_xll.qlInterestRateIndexMaturity(IborIndex,I47)</f>
        <v>43496</v>
      </c>
      <c r="L47" s="109">
        <f>_xll.qlOvernightIndexedSwapFairRate(H47,_xll.ohTrigger($P$2:$P$6))</f>
        <v>3.5082900950869416E-3</v>
      </c>
      <c r="M47" s="86">
        <f>_xll.qlInterpolationInterpolate(BasisInterpolator,I47,,L47)</f>
        <v>4.942590228249103E-3</v>
      </c>
      <c r="N47" s="109">
        <f t="shared" si="0"/>
        <v>8.4508803233360446E-3</v>
      </c>
      <c r="O47" s="245"/>
      <c r="AB47" s="86"/>
      <c r="AC47" s="86"/>
      <c r="AD47" s="245"/>
    </row>
    <row r="48" spans="1:30" x14ac:dyDescent="0.2">
      <c r="A48" s="111"/>
      <c r="B48" s="112"/>
      <c r="C48" s="113"/>
      <c r="D48" s="108"/>
      <c r="E48" s="86" t="e">
        <v>#N/A</v>
      </c>
      <c r="F48" s="72">
        <v>40</v>
      </c>
      <c r="G48" s="110">
        <f>_xll.qlInterestRateIndexFixingDate(IborIndex,I48)</f>
        <v>43157</v>
      </c>
      <c r="H48" s="72" t="str">
        <f>_xll.qlMakeDatedOIS(,I48,J48,OvernightIndex,0,"Act/360",0)</f>
        <v>obj_00a6a#0000</v>
      </c>
      <c r="I48" s="110">
        <f>_xll.qlCalendarAdvance(Calendar,$D$2,F48&amp;"M","mf")</f>
        <v>43159</v>
      </c>
      <c r="J48" s="110">
        <f>_xll.qlInterestRateIndexMaturity(IborIndex,I48)</f>
        <v>43524</v>
      </c>
      <c r="L48" s="109">
        <f>_xll.qlOvernightIndexedSwapFairRate(H48,_xll.ohTrigger($P$2:$P$6))</f>
        <v>3.6866201845653823E-3</v>
      </c>
      <c r="M48" s="86">
        <f>_xll.qlInterpolationInterpolate(BasisInterpolator,I48,,L48)</f>
        <v>4.965963438510872E-3</v>
      </c>
      <c r="N48" s="109">
        <f t="shared" si="0"/>
        <v>8.6525836230762539E-3</v>
      </c>
      <c r="O48" s="245"/>
      <c r="AB48" s="86"/>
      <c r="AC48" s="86"/>
      <c r="AD48" s="245"/>
    </row>
    <row r="49" spans="1:30" x14ac:dyDescent="0.2">
      <c r="A49" s="111"/>
      <c r="B49" s="112"/>
      <c r="C49" s="113"/>
      <c r="D49" s="108"/>
      <c r="E49" s="86" t="e">
        <v>#N/A</v>
      </c>
      <c r="F49" s="72">
        <v>41</v>
      </c>
      <c r="G49" s="110">
        <f>_xll.qlInterestRateIndexFixingDate(IborIndex,I49)</f>
        <v>43186</v>
      </c>
      <c r="H49" s="72" t="str">
        <f>_xll.qlMakeDatedOIS(,I49,J49,OvernightIndex,0,"Act/360",0)</f>
        <v>obj_00a6b#0000</v>
      </c>
      <c r="I49" s="110">
        <f>_xll.qlCalendarAdvance(Calendar,$D$2,F49&amp;"M","mf")</f>
        <v>43188</v>
      </c>
      <c r="J49" s="110">
        <f>_xll.qlInterestRateIndexMaturity(IborIndex,I49)</f>
        <v>43553</v>
      </c>
      <c r="L49" s="109">
        <f>_xll.qlOvernightIndexedSwapFairRate(H49,_xll.ohTrigger($P$2:$P$6))</f>
        <v>3.8742822197084768E-3</v>
      </c>
      <c r="M49" s="86">
        <f>_xll.qlInterpolationInterpolate(BasisInterpolator,I49,,L49)</f>
        <v>4.9896993769272743E-3</v>
      </c>
      <c r="N49" s="109">
        <f t="shared" si="0"/>
        <v>8.8639815966357512E-3</v>
      </c>
      <c r="O49" s="245"/>
      <c r="AB49" s="86"/>
      <c r="AC49" s="86"/>
      <c r="AD49" s="245"/>
    </row>
    <row r="50" spans="1:30" x14ac:dyDescent="0.2">
      <c r="A50" s="111"/>
      <c r="B50" s="112"/>
      <c r="C50" s="113"/>
      <c r="D50" s="108"/>
      <c r="E50" s="86" t="e">
        <v>#N/A</v>
      </c>
      <c r="F50" s="72">
        <v>42</v>
      </c>
      <c r="G50" s="110">
        <f>_xll.qlInterestRateIndexFixingDate(IborIndex,I50)</f>
        <v>43216</v>
      </c>
      <c r="H50" s="72" t="str">
        <f>_xll.qlMakeDatedOIS(,I50,J50,OvernightIndex,0,"Act/360",0)</f>
        <v>obj_00a46#0000</v>
      </c>
      <c r="I50" s="110">
        <f>_xll.qlCalendarAdvance(Calendar,$D$2,F50&amp;"M","mf")</f>
        <v>43220</v>
      </c>
      <c r="J50" s="110">
        <f>_xll.qlInterestRateIndexMaturity(IborIndex,I50)</f>
        <v>43585</v>
      </c>
      <c r="L50" s="109">
        <f>_xll.qlOvernightIndexedSwapFairRate(H50,_xll.ohTrigger($P$2:$P$6))</f>
        <v>4.085156472020234E-3</v>
      </c>
      <c r="M50" s="86">
        <f>_xll.qlInterpolationInterpolate(BasisInterpolator,I50,,L50)</f>
        <v>5.0154009337434122E-3</v>
      </c>
      <c r="N50" s="109">
        <f t="shared" si="0"/>
        <v>9.1005574057636471E-3</v>
      </c>
      <c r="O50" s="245"/>
      <c r="AB50" s="86"/>
      <c r="AC50" s="86"/>
      <c r="AD50" s="245"/>
    </row>
    <row r="51" spans="1:30" x14ac:dyDescent="0.2">
      <c r="A51" s="111"/>
      <c r="B51" s="112"/>
      <c r="C51" s="113"/>
      <c r="D51" s="108"/>
      <c r="E51" s="86" t="e">
        <v>#N/A</v>
      </c>
      <c r="F51" s="72">
        <v>43</v>
      </c>
      <c r="G51" s="110">
        <f>_xll.qlInterestRateIndexFixingDate(IborIndex,I51)</f>
        <v>43249</v>
      </c>
      <c r="H51" s="72" t="str">
        <f>_xll.qlMakeDatedOIS(,I51,J51,OvernightIndex,0,"Act/360",0)</f>
        <v>obj_00a59#0000</v>
      </c>
      <c r="I51" s="110">
        <f>_xll.qlCalendarAdvance(Calendar,$D$2,F51&amp;"M","mf")</f>
        <v>43251</v>
      </c>
      <c r="J51" s="110">
        <f>_xll.qlInterestRateIndexMaturity(IborIndex,I51)</f>
        <v>43616</v>
      </c>
      <c r="L51" s="109">
        <f>_xll.qlOvernightIndexedSwapFairRate(H51,_xll.ohTrigger($P$2:$P$6))</f>
        <v>4.2935522372907452E-3</v>
      </c>
      <c r="M51" s="86">
        <f>_xll.qlInterpolationInterpolate(BasisInterpolator,I51,,L51)</f>
        <v>5.0398791445600702E-3</v>
      </c>
      <c r="N51" s="109">
        <f t="shared" si="0"/>
        <v>9.3334313818508145E-3</v>
      </c>
      <c r="O51" s="245"/>
    </row>
    <row r="52" spans="1:30" x14ac:dyDescent="0.2">
      <c r="A52" s="111"/>
      <c r="B52" s="112"/>
      <c r="C52" s="113"/>
      <c r="D52" s="108"/>
      <c r="E52" s="86" t="e">
        <v>#N/A</v>
      </c>
      <c r="F52" s="72">
        <v>44</v>
      </c>
      <c r="G52" s="110">
        <f>_xll.qlInterestRateIndexFixingDate(IborIndex,I52)</f>
        <v>43278</v>
      </c>
      <c r="H52" s="72" t="str">
        <f>_xll.qlMakeDatedOIS(,I52,J52,OvernightIndex,0,"Act/360",0)</f>
        <v>obj_00a40#0000</v>
      </c>
      <c r="I52" s="110">
        <f>_xll.qlCalendarAdvance(Calendar,$D$2,F52&amp;"M","mf")</f>
        <v>43280</v>
      </c>
      <c r="J52" s="110">
        <f>_xll.qlInterestRateIndexMaturity(IborIndex,I52)</f>
        <v>43644</v>
      </c>
      <c r="L52" s="109">
        <f>_xll.qlOvernightIndexedSwapFairRate(H52,_xll.ohTrigger($P$2:$P$6))</f>
        <v>4.4887986435960918E-3</v>
      </c>
      <c r="M52" s="86">
        <f>_xll.qlInterpolationInterpolate(BasisInterpolator,I52,,L52)</f>
        <v>5.0624660472290278E-3</v>
      </c>
      <c r="N52" s="109">
        <f t="shared" si="0"/>
        <v>9.5512646908251196E-3</v>
      </c>
      <c r="O52" s="245"/>
    </row>
    <row r="53" spans="1:30" x14ac:dyDescent="0.2">
      <c r="A53" s="111"/>
      <c r="B53" s="112"/>
      <c r="C53" s="113"/>
      <c r="D53" s="108"/>
      <c r="E53" s="86" t="e">
        <v>#N/A</v>
      </c>
      <c r="F53" s="72">
        <v>45</v>
      </c>
      <c r="G53" s="110">
        <f>_xll.qlInterestRateIndexFixingDate(IborIndex,I53)</f>
        <v>43308</v>
      </c>
      <c r="H53" s="72" t="str">
        <f>_xll.qlMakeDatedOIS(,I53,J53,OvernightIndex,0,"Act/360",0)</f>
        <v>obj_00a61#0000</v>
      </c>
      <c r="I53" s="110">
        <f>_xll.qlCalendarAdvance(Calendar,$D$2,F53&amp;"M","mf")</f>
        <v>43312</v>
      </c>
      <c r="J53" s="110">
        <f>_xll.qlInterestRateIndexMaturity(IborIndex,I53)</f>
        <v>43677</v>
      </c>
      <c r="L53" s="109">
        <f>_xll.qlOvernightIndexedSwapFairRate(H53,_xll.ohTrigger($P$2:$P$6))</f>
        <v>4.7166393427407159E-3</v>
      </c>
      <c r="M53" s="86">
        <f>_xll.qlInterpolationInterpolate(BasisInterpolator,I53,,L53)</f>
        <v>5.0871093014260814E-3</v>
      </c>
      <c r="N53" s="109">
        <f t="shared" si="0"/>
        <v>9.8037486441667973E-3</v>
      </c>
      <c r="O53" s="245"/>
    </row>
    <row r="54" spans="1:30" x14ac:dyDescent="0.2">
      <c r="A54" s="111"/>
      <c r="B54" s="112"/>
      <c r="C54" s="113"/>
      <c r="D54" s="108"/>
      <c r="E54" s="86" t="e">
        <v>#N/A</v>
      </c>
      <c r="F54" s="72">
        <v>46</v>
      </c>
      <c r="G54" s="110">
        <f>_xll.qlInterestRateIndexFixingDate(IborIndex,I54)</f>
        <v>43341</v>
      </c>
      <c r="H54" s="72" t="str">
        <f>_xll.qlMakeDatedOIS(,I54,J54,OvernightIndex,0,"Act/360",0)</f>
        <v>obj_00a67#0000</v>
      </c>
      <c r="I54" s="110">
        <f>_xll.qlCalendarAdvance(Calendar,$D$2,F54&amp;"M","mf")</f>
        <v>43343</v>
      </c>
      <c r="J54" s="110">
        <f>_xll.qlInterestRateIndexMaturity(IborIndex,I54)</f>
        <v>43707</v>
      </c>
      <c r="L54" s="109">
        <f>_xll.qlOvernightIndexedSwapFairRate(H54,_xll.ohTrigger($P$2:$P$6))</f>
        <v>4.9350393037565395E-3</v>
      </c>
      <c r="M54" s="86">
        <f>_xll.qlInterpolationInterpolate(BasisInterpolator,I54,,L54)</f>
        <v>5.1107719878523234E-3</v>
      </c>
      <c r="N54" s="109">
        <f t="shared" si="0"/>
        <v>1.0045811291608864E-2</v>
      </c>
      <c r="O54" s="245"/>
    </row>
    <row r="55" spans="1:30" x14ac:dyDescent="0.2">
      <c r="A55" s="111"/>
      <c r="B55" s="112"/>
      <c r="C55" s="113"/>
      <c r="D55" s="108"/>
      <c r="E55" s="86" t="e">
        <v>#N/A</v>
      </c>
      <c r="F55" s="72">
        <v>47</v>
      </c>
      <c r="G55" s="110">
        <f>_xll.qlInterestRateIndexFixingDate(IborIndex,I55)</f>
        <v>43369</v>
      </c>
      <c r="H55" s="72" t="str">
        <f>_xll.qlMakeDatedOIS(,I55,J55,OvernightIndex,0,"Act/360",0)</f>
        <v>obj_00a62#0000</v>
      </c>
      <c r="I55" s="110">
        <f>_xll.qlCalendarAdvance(Calendar,$D$2,F55&amp;"M","mf")</f>
        <v>43371</v>
      </c>
      <c r="J55" s="110">
        <f>_xll.qlInterestRateIndexMaturity(IborIndex,I55)</f>
        <v>43738</v>
      </c>
      <c r="L55" s="109">
        <f>_xll.qlOvernightIndexedSwapFairRate(H55,_xll.ohTrigger($P$2:$P$6))</f>
        <v>5.1519823632295699E-3</v>
      </c>
      <c r="M55" s="86">
        <f>_xll.qlInterpolationInterpolate(BasisInterpolator,I55,,L55)</f>
        <v>5.1320251941768015E-3</v>
      </c>
      <c r="N55" s="109">
        <f t="shared" si="0"/>
        <v>1.0284007557406372E-2</v>
      </c>
      <c r="O55" s="245"/>
    </row>
    <row r="56" spans="1:30" x14ac:dyDescent="0.2">
      <c r="A56" s="111"/>
      <c r="B56" s="112"/>
      <c r="C56" s="113"/>
      <c r="D56" s="108"/>
      <c r="E56" s="86" t="e">
        <v>#N/A</v>
      </c>
      <c r="F56" s="250">
        <v>48</v>
      </c>
      <c r="G56" s="251">
        <f>_xll.qlInterestRateIndexFixingDate(IborIndex,I56)</f>
        <v>43402</v>
      </c>
      <c r="H56" s="250" t="str">
        <f>_xll.qlMakeDatedOIS(,I56,J56,OvernightIndex,0,"Act/360",0)</f>
        <v>obj_00a6c#0000</v>
      </c>
      <c r="I56" s="251">
        <f>_xll.qlCalendarAdvance(Calendar,$D$2,F56&amp;"M","mf")</f>
        <v>43404</v>
      </c>
      <c r="J56" s="251">
        <f>_xll.qlInterestRateIndexMaturity(IborIndex,I56)</f>
        <v>43769</v>
      </c>
      <c r="K56" s="250"/>
      <c r="L56" s="252">
        <f>_xll.qlOvernightIndexedSwapFairRate(H56,_xll.ohTrigger($P$2:$P$6))</f>
        <v>5.3918790455402031E-3</v>
      </c>
      <c r="M56" s="253">
        <f>_xll.qlInterpolationInterpolate(BasisInterpolator,I56,,L56)</f>
        <v>5.1570000000000001E-3</v>
      </c>
      <c r="N56" s="252">
        <f t="shared" si="0"/>
        <v>1.0548879045540204E-2</v>
      </c>
      <c r="O56" s="245"/>
    </row>
    <row r="57" spans="1:30" x14ac:dyDescent="0.2">
      <c r="A57" s="111"/>
      <c r="B57" s="112"/>
      <c r="C57" s="113"/>
      <c r="D57" s="108"/>
      <c r="E57" s="86" t="e">
        <v>#N/A</v>
      </c>
    </row>
    <row r="58" spans="1:30" x14ac:dyDescent="0.2">
      <c r="A58" s="111"/>
      <c r="B58" s="112"/>
      <c r="C58" s="113"/>
      <c r="D58" s="108"/>
      <c r="E58" s="86" t="e">
        <v>#N/A</v>
      </c>
    </row>
    <row r="59" spans="1:30" x14ac:dyDescent="0.2">
      <c r="A59" s="111"/>
      <c r="B59" s="112"/>
      <c r="C59" s="113"/>
      <c r="D59" s="108"/>
      <c r="E59" s="86" t="e">
        <v>#N/A</v>
      </c>
    </row>
    <row r="60" spans="1:30" x14ac:dyDescent="0.2">
      <c r="A60" s="111"/>
      <c r="B60" s="112"/>
      <c r="C60" s="113"/>
      <c r="D60" s="108"/>
      <c r="E60" s="86" t="e">
        <v>#N/A</v>
      </c>
    </row>
    <row r="61" spans="1:30" x14ac:dyDescent="0.2">
      <c r="A61" s="111"/>
      <c r="B61" s="112"/>
      <c r="C61" s="113"/>
      <c r="D61" s="108"/>
      <c r="E61" s="86" t="e">
        <v>#N/A</v>
      </c>
    </row>
    <row r="62" spans="1:30" x14ac:dyDescent="0.2">
      <c r="A62" s="111"/>
      <c r="B62" s="112"/>
      <c r="C62" s="113"/>
      <c r="D62" s="108"/>
      <c r="E62" s="86" t="e">
        <v>#N/A</v>
      </c>
    </row>
    <row r="63" spans="1:30" x14ac:dyDescent="0.2">
      <c r="A63" s="111"/>
      <c r="B63" s="112"/>
      <c r="C63" s="113"/>
      <c r="D63" s="108"/>
      <c r="E63" s="86" t="e">
        <v>#N/A</v>
      </c>
    </row>
    <row r="64" spans="1:30" x14ac:dyDescent="0.2">
      <c r="A64" s="111"/>
      <c r="B64" s="112"/>
      <c r="C64" s="113"/>
      <c r="D64" s="108"/>
      <c r="E64" s="86" t="e">
        <v>#N/A</v>
      </c>
    </row>
    <row r="65" spans="1:5" x14ac:dyDescent="0.2">
      <c r="A65" s="111"/>
      <c r="B65" s="112"/>
      <c r="C65" s="113"/>
      <c r="D65" s="108"/>
      <c r="E65" s="86" t="e">
        <v>#N/A</v>
      </c>
    </row>
    <row r="66" spans="1:5" x14ac:dyDescent="0.2">
      <c r="A66" s="111"/>
      <c r="B66" s="112"/>
      <c r="C66" s="113"/>
      <c r="D66" s="108"/>
      <c r="E66" s="86" t="e">
        <v>#N/A</v>
      </c>
    </row>
    <row r="67" spans="1:5" x14ac:dyDescent="0.2">
      <c r="A67" s="111"/>
      <c r="B67" s="112"/>
      <c r="C67" s="113"/>
      <c r="D67" s="108"/>
      <c r="E67" s="86" t="e">
        <v>#N/A</v>
      </c>
    </row>
    <row r="68" spans="1:5" x14ac:dyDescent="0.2">
      <c r="A68" s="111"/>
      <c r="B68" s="112"/>
      <c r="C68" s="113"/>
      <c r="D68" s="108"/>
      <c r="E68" s="86" t="e">
        <v>#N/A</v>
      </c>
    </row>
    <row r="69" spans="1:5" x14ac:dyDescent="0.2">
      <c r="A69" s="111"/>
      <c r="B69" s="112"/>
      <c r="C69" s="113"/>
      <c r="D69" s="108"/>
      <c r="E69" s="86" t="e">
        <v>#N/A</v>
      </c>
    </row>
    <row r="70" spans="1:5" x14ac:dyDescent="0.2">
      <c r="A70" s="111"/>
      <c r="B70" s="112"/>
      <c r="C70" s="113"/>
      <c r="D70" s="108"/>
      <c r="E70" s="86" t="e">
        <v>#N/A</v>
      </c>
    </row>
    <row r="71" spans="1:5" x14ac:dyDescent="0.2">
      <c r="A71" s="111"/>
      <c r="B71" s="112"/>
      <c r="C71" s="113"/>
      <c r="D71" s="108"/>
      <c r="E71" s="86" t="e">
        <v>#N/A</v>
      </c>
    </row>
    <row r="72" spans="1:5" x14ac:dyDescent="0.2">
      <c r="A72" s="111"/>
      <c r="B72" s="112"/>
      <c r="C72" s="113"/>
      <c r="D72" s="108"/>
      <c r="E72" s="86" t="e">
        <v>#N/A</v>
      </c>
    </row>
    <row r="73" spans="1:5" x14ac:dyDescent="0.2">
      <c r="A73" s="111"/>
      <c r="B73" s="112"/>
      <c r="C73" s="113"/>
      <c r="D73" s="108"/>
      <c r="E73" s="86" t="e">
        <v>#N/A</v>
      </c>
    </row>
    <row r="74" spans="1:5" x14ac:dyDescent="0.2">
      <c r="A74" s="111"/>
      <c r="B74" s="112"/>
      <c r="C74" s="113"/>
      <c r="D74" s="108"/>
      <c r="E74" s="86" t="e">
        <v>#N/A</v>
      </c>
    </row>
    <row r="75" spans="1:5" x14ac:dyDescent="0.2">
      <c r="A75" s="111"/>
      <c r="B75" s="112"/>
      <c r="C75" s="113"/>
      <c r="D75" s="108"/>
      <c r="E75" s="86" t="e">
        <v>#N/A</v>
      </c>
    </row>
    <row r="76" spans="1:5" x14ac:dyDescent="0.2">
      <c r="A76" s="111"/>
      <c r="B76" s="112"/>
      <c r="C76" s="113"/>
      <c r="D76" s="108"/>
      <c r="E76" s="86" t="e">
        <v>#N/A</v>
      </c>
    </row>
    <row r="77" spans="1:5" x14ac:dyDescent="0.2">
      <c r="A77" s="111"/>
      <c r="B77" s="112"/>
      <c r="C77" s="113"/>
      <c r="D77" s="108"/>
      <c r="E77" s="86" t="e">
        <v>#N/A</v>
      </c>
    </row>
    <row r="78" spans="1:5" x14ac:dyDescent="0.2">
      <c r="A78" s="111"/>
      <c r="B78" s="112"/>
      <c r="C78" s="113"/>
      <c r="D78" s="108"/>
      <c r="E78" s="86" t="e">
        <v>#N/A</v>
      </c>
    </row>
    <row r="79" spans="1:5" x14ac:dyDescent="0.2">
      <c r="A79" s="111"/>
      <c r="B79" s="112"/>
      <c r="C79" s="113"/>
      <c r="D79" s="108"/>
      <c r="E79" s="86" t="e">
        <v>#N/A</v>
      </c>
    </row>
    <row r="80" spans="1:5" x14ac:dyDescent="0.2">
      <c r="A80" s="111"/>
      <c r="B80" s="112"/>
      <c r="C80" s="113"/>
      <c r="D80" s="108"/>
      <c r="E80" s="86" t="e">
        <v>#N/A</v>
      </c>
    </row>
    <row r="81" spans="1:5" x14ac:dyDescent="0.2">
      <c r="A81" s="111"/>
      <c r="B81" s="112"/>
      <c r="C81" s="113"/>
      <c r="D81" s="108"/>
      <c r="E81" s="86" t="e">
        <v>#N/A</v>
      </c>
    </row>
    <row r="82" spans="1:5" x14ac:dyDescent="0.2">
      <c r="A82" s="111"/>
      <c r="B82" s="112"/>
      <c r="C82" s="113"/>
      <c r="D82" s="108"/>
      <c r="E82" s="86" t="e">
        <v>#N/A</v>
      </c>
    </row>
    <row r="83" spans="1:5" x14ac:dyDescent="0.2">
      <c r="A83" s="111"/>
      <c r="B83" s="112"/>
      <c r="C83" s="113"/>
      <c r="D83" s="108"/>
      <c r="E83" s="86" t="e">
        <v>#N/A</v>
      </c>
    </row>
    <row r="84" spans="1:5" x14ac:dyDescent="0.2">
      <c r="A84" s="111"/>
      <c r="B84" s="112"/>
      <c r="C84" s="113"/>
      <c r="D84" s="108"/>
      <c r="E84" s="86" t="e">
        <v>#N/A</v>
      </c>
    </row>
    <row r="85" spans="1:5" x14ac:dyDescent="0.2">
      <c r="A85" s="111"/>
      <c r="B85" s="112"/>
      <c r="C85" s="113"/>
      <c r="D85" s="108"/>
      <c r="E85" s="86" t="e">
        <v>#N/A</v>
      </c>
    </row>
    <row r="86" spans="1:5" x14ac:dyDescent="0.2">
      <c r="A86" s="111"/>
      <c r="B86" s="112"/>
      <c r="C86" s="113"/>
      <c r="D86" s="108"/>
      <c r="E86" s="86" t="e">
        <v>#N/A</v>
      </c>
    </row>
    <row r="87" spans="1:5" x14ac:dyDescent="0.2">
      <c r="A87" s="111"/>
      <c r="B87" s="112"/>
      <c r="C87" s="113"/>
      <c r="D87" s="108"/>
      <c r="E87" s="86" t="e">
        <v>#N/A</v>
      </c>
    </row>
    <row r="88" spans="1:5" x14ac:dyDescent="0.2">
      <c r="A88" s="111"/>
      <c r="B88" s="112"/>
      <c r="C88" s="113"/>
      <c r="D88" s="108"/>
      <c r="E88" s="86" t="e">
        <v>#N/A</v>
      </c>
    </row>
    <row r="89" spans="1:5" x14ac:dyDescent="0.2">
      <c r="A89" s="111"/>
      <c r="B89" s="112"/>
      <c r="C89" s="113"/>
      <c r="D89" s="108"/>
      <c r="E89" s="86" t="e">
        <v>#N/A</v>
      </c>
    </row>
    <row r="90" spans="1:5" x14ac:dyDescent="0.2">
      <c r="A90" s="111"/>
      <c r="B90" s="112"/>
      <c r="C90" s="113"/>
      <c r="D90" s="108"/>
      <c r="E90" s="86" t="e">
        <v>#N/A</v>
      </c>
    </row>
    <row r="91" spans="1:5" x14ac:dyDescent="0.2">
      <c r="A91" s="111"/>
      <c r="B91" s="112"/>
      <c r="C91" s="113"/>
      <c r="D91" s="108"/>
      <c r="E91" s="86" t="e">
        <v>#N/A</v>
      </c>
    </row>
    <row r="92" spans="1:5" x14ac:dyDescent="0.2">
      <c r="A92" s="111"/>
      <c r="B92" s="112"/>
      <c r="C92" s="113"/>
      <c r="D92" s="108"/>
      <c r="E92" s="86" t="e">
        <v>#N/A</v>
      </c>
    </row>
    <row r="93" spans="1:5" x14ac:dyDescent="0.2">
      <c r="A93" s="111"/>
      <c r="B93" s="112"/>
      <c r="C93" s="113"/>
      <c r="D93" s="108"/>
      <c r="E93" s="86" t="e">
        <v>#N/A</v>
      </c>
    </row>
    <row r="94" spans="1:5" x14ac:dyDescent="0.2">
      <c r="A94" s="111"/>
      <c r="B94" s="112"/>
      <c r="C94" s="113"/>
      <c r="D94" s="108"/>
      <c r="E94" s="86" t="e">
        <v>#N/A</v>
      </c>
    </row>
    <row r="95" spans="1:5" x14ac:dyDescent="0.2">
      <c r="A95" s="111"/>
      <c r="B95" s="112"/>
      <c r="C95" s="113"/>
      <c r="D95" s="108"/>
      <c r="E95" s="86" t="e">
        <v>#N/A</v>
      </c>
    </row>
    <row r="96" spans="1:5" x14ac:dyDescent="0.2">
      <c r="A96" s="111"/>
      <c r="B96" s="112"/>
      <c r="C96" s="113"/>
      <c r="D96" s="108"/>
      <c r="E96" s="86" t="e">
        <v>#N/A</v>
      </c>
    </row>
    <row r="97" spans="1:5" x14ac:dyDescent="0.2">
      <c r="A97" s="111"/>
      <c r="B97" s="112"/>
      <c r="C97" s="113"/>
      <c r="D97" s="108"/>
      <c r="E97" s="86" t="e">
        <v>#N/A</v>
      </c>
    </row>
    <row r="98" spans="1:5" x14ac:dyDescent="0.2">
      <c r="A98" s="111"/>
      <c r="B98" s="112"/>
      <c r="C98" s="113"/>
      <c r="D98" s="108"/>
      <c r="E98" s="86" t="e">
        <v>#N/A</v>
      </c>
    </row>
    <row r="99" spans="1:5" x14ac:dyDescent="0.2">
      <c r="A99" s="111"/>
      <c r="B99" s="112"/>
      <c r="C99" s="113"/>
      <c r="D99" s="108"/>
      <c r="E99" s="86" t="e">
        <v>#N/A</v>
      </c>
    </row>
    <row r="100" spans="1:5" x14ac:dyDescent="0.2">
      <c r="A100" s="111"/>
      <c r="B100" s="112"/>
      <c r="C100" s="113"/>
      <c r="D100" s="108"/>
      <c r="E100" s="86" t="e">
        <v>#N/A</v>
      </c>
    </row>
    <row r="101" spans="1:5" x14ac:dyDescent="0.2">
      <c r="A101" s="111"/>
      <c r="B101" s="112"/>
      <c r="C101" s="113"/>
      <c r="D101" s="108"/>
      <c r="E101" s="86" t="e">
        <v>#N/A</v>
      </c>
    </row>
    <row r="102" spans="1:5" x14ac:dyDescent="0.2">
      <c r="A102" s="111"/>
      <c r="B102" s="112"/>
      <c r="C102" s="113"/>
      <c r="D102" s="108"/>
      <c r="E102" s="86" t="e">
        <v>#N/A</v>
      </c>
    </row>
    <row r="103" spans="1:5" x14ac:dyDescent="0.2">
      <c r="A103" s="111"/>
      <c r="B103" s="112"/>
      <c r="C103" s="113"/>
      <c r="D103" s="108"/>
      <c r="E103" s="86" t="e">
        <v>#N/A</v>
      </c>
    </row>
    <row r="104" spans="1:5" x14ac:dyDescent="0.2">
      <c r="A104" s="111"/>
      <c r="B104" s="112"/>
      <c r="C104" s="113"/>
      <c r="D104" s="108"/>
      <c r="E104" s="86" t="e">
        <v>#N/A</v>
      </c>
    </row>
    <row r="105" spans="1:5" x14ac:dyDescent="0.2">
      <c r="A105" s="111"/>
      <c r="B105" s="112"/>
      <c r="C105" s="113"/>
      <c r="D105" s="108"/>
      <c r="E105" s="86" t="e">
        <v>#N/A</v>
      </c>
    </row>
    <row r="106" spans="1:5" x14ac:dyDescent="0.2">
      <c r="A106" s="111"/>
      <c r="B106" s="112"/>
      <c r="C106" s="113"/>
      <c r="D106" s="108"/>
      <c r="E106" s="86" t="e">
        <v>#N/A</v>
      </c>
    </row>
    <row r="107" spans="1:5" x14ac:dyDescent="0.2">
      <c r="A107" s="111"/>
      <c r="B107" s="112"/>
      <c r="C107" s="113"/>
      <c r="D107" s="108"/>
      <c r="E107" s="86" t="e">
        <v>#N/A</v>
      </c>
    </row>
    <row r="108" spans="1:5" x14ac:dyDescent="0.2">
      <c r="A108" s="111"/>
      <c r="B108" s="112"/>
      <c r="C108" s="113"/>
      <c r="D108" s="108"/>
      <c r="E108" s="86" t="e">
        <v>#N/A</v>
      </c>
    </row>
    <row r="109" spans="1:5" x14ac:dyDescent="0.2">
      <c r="A109" s="111"/>
      <c r="B109" s="112"/>
      <c r="C109" s="113"/>
      <c r="D109" s="108"/>
      <c r="E109" s="86" t="e">
        <v>#N/A</v>
      </c>
    </row>
    <row r="110" spans="1:5" x14ac:dyDescent="0.2">
      <c r="A110" s="111"/>
      <c r="B110" s="112"/>
      <c r="C110" s="113"/>
      <c r="D110" s="108"/>
      <c r="E110" s="86" t="e">
        <v>#N/A</v>
      </c>
    </row>
    <row r="111" spans="1:5" x14ac:dyDescent="0.2">
      <c r="A111" s="111"/>
      <c r="B111" s="112"/>
      <c r="C111" s="113"/>
      <c r="D111" s="108"/>
      <c r="E111" s="86" t="e">
        <v>#N/A</v>
      </c>
    </row>
    <row r="112" spans="1:5" x14ac:dyDescent="0.2">
      <c r="A112" s="111"/>
      <c r="B112" s="112"/>
      <c r="C112" s="113"/>
      <c r="D112" s="108"/>
      <c r="E112" s="86" t="e">
        <v>#N/A</v>
      </c>
    </row>
    <row r="113" spans="1:5" x14ac:dyDescent="0.2">
      <c r="A113" s="111"/>
      <c r="B113" s="112"/>
      <c r="C113" s="113"/>
      <c r="D113" s="108"/>
      <c r="E113" s="86" t="e">
        <v>#N/A</v>
      </c>
    </row>
    <row r="114" spans="1:5" x14ac:dyDescent="0.2">
      <c r="A114" s="111"/>
      <c r="B114" s="112"/>
      <c r="C114" s="113"/>
      <c r="D114" s="108"/>
      <c r="E114" s="86" t="e">
        <v>#N/A</v>
      </c>
    </row>
    <row r="115" spans="1:5" x14ac:dyDescent="0.2">
      <c r="A115" s="111"/>
      <c r="B115" s="112"/>
      <c r="C115" s="113"/>
      <c r="D115" s="108"/>
      <c r="E115" s="86" t="e">
        <v>#N/A</v>
      </c>
    </row>
    <row r="116" spans="1:5" x14ac:dyDescent="0.2">
      <c r="A116" s="111"/>
      <c r="B116" s="112"/>
      <c r="C116" s="113"/>
      <c r="D116" s="108"/>
      <c r="E116" s="86" t="e">
        <v>#N/A</v>
      </c>
    </row>
    <row r="117" spans="1:5" x14ac:dyDescent="0.2">
      <c r="A117" s="111"/>
      <c r="B117" s="112"/>
      <c r="C117" s="113"/>
      <c r="D117" s="108"/>
      <c r="E117" s="86" t="e">
        <v>#N/A</v>
      </c>
    </row>
    <row r="118" spans="1:5" x14ac:dyDescent="0.2">
      <c r="A118" s="111"/>
      <c r="B118" s="112"/>
      <c r="C118" s="113"/>
      <c r="D118" s="108"/>
      <c r="E118" s="86" t="e">
        <v>#N/A</v>
      </c>
    </row>
    <row r="119" spans="1:5" x14ac:dyDescent="0.2">
      <c r="A119" s="111"/>
      <c r="B119" s="112"/>
      <c r="C119" s="113"/>
      <c r="D119" s="108"/>
      <c r="E119" s="86" t="e">
        <v>#N/A</v>
      </c>
    </row>
    <row r="120" spans="1:5" x14ac:dyDescent="0.2">
      <c r="A120" s="111"/>
      <c r="B120" s="112"/>
      <c r="C120" s="113"/>
      <c r="D120" s="108"/>
      <c r="E120" s="86" t="e">
        <v>#N/A</v>
      </c>
    </row>
    <row r="121" spans="1:5" x14ac:dyDescent="0.2">
      <c r="A121" s="111"/>
      <c r="B121" s="112"/>
      <c r="C121" s="113"/>
      <c r="D121" s="108"/>
      <c r="E121" s="86" t="e">
        <v>#N/A</v>
      </c>
    </row>
    <row r="122" spans="1:5" x14ac:dyDescent="0.2">
      <c r="A122" s="111"/>
      <c r="B122" s="112"/>
      <c r="C122" s="113"/>
      <c r="D122" s="108"/>
      <c r="E122" s="86" t="e">
        <v>#N/A</v>
      </c>
    </row>
    <row r="123" spans="1:5" x14ac:dyDescent="0.2">
      <c r="A123" s="111"/>
      <c r="B123" s="112"/>
      <c r="C123" s="113"/>
      <c r="D123" s="108"/>
      <c r="E123" s="86" t="e">
        <v>#N/A</v>
      </c>
    </row>
    <row r="124" spans="1:5" x14ac:dyDescent="0.2">
      <c r="A124" s="111"/>
      <c r="B124" s="112"/>
      <c r="C124" s="113"/>
      <c r="D124" s="108"/>
      <c r="E124" s="86" t="e">
        <v>#N/A</v>
      </c>
    </row>
    <row r="125" spans="1:5" x14ac:dyDescent="0.2">
      <c r="A125" s="111"/>
      <c r="B125" s="112"/>
      <c r="C125" s="113"/>
      <c r="D125" s="108"/>
      <c r="E125" s="86" t="e">
        <v>#N/A</v>
      </c>
    </row>
    <row r="126" spans="1:5" x14ac:dyDescent="0.2">
      <c r="A126" s="111"/>
      <c r="B126" s="112"/>
      <c r="C126" s="113"/>
      <c r="D126" s="108"/>
      <c r="E126" s="86" t="e">
        <v>#N/A</v>
      </c>
    </row>
    <row r="127" spans="1:5" x14ac:dyDescent="0.2">
      <c r="A127" s="114"/>
      <c r="B127" s="115"/>
      <c r="C127" s="116"/>
      <c r="D127" s="117"/>
      <c r="E127" s="86" t="e">
        <v>#N/A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85"/>
  <sheetViews>
    <sheetView workbookViewId="0"/>
  </sheetViews>
  <sheetFormatPr defaultRowHeight="11.25" x14ac:dyDescent="0.2"/>
  <cols>
    <col min="1" max="1" width="4.33203125" style="44" customWidth="1"/>
    <col min="2" max="2" width="7.83203125" style="44" customWidth="1"/>
    <col min="3" max="3" width="36.6640625" style="44" bestFit="1" customWidth="1"/>
    <col min="4" max="4" width="35.83203125" style="44" customWidth="1"/>
    <col min="5" max="5" width="25.6640625" style="44" customWidth="1"/>
    <col min="6" max="7" width="3.1640625" style="44" customWidth="1"/>
    <col min="8" max="8" width="4.33203125" style="44" customWidth="1"/>
    <col min="9" max="9" width="7.83203125" style="44" customWidth="1"/>
    <col min="10" max="10" width="9.33203125" style="44" bestFit="1" customWidth="1"/>
    <col min="11" max="11" width="3.1640625" style="44" customWidth="1"/>
    <col min="12" max="12" width="9.33203125" style="44" bestFit="1" customWidth="1"/>
    <col min="13" max="13" width="3.1640625" style="44" customWidth="1"/>
    <col min="14" max="14" width="11.6640625" style="44" bestFit="1" customWidth="1"/>
    <col min="15" max="15" width="10.5" style="44" bestFit="1" customWidth="1"/>
    <col min="16" max="16" width="5.83203125" style="44" customWidth="1"/>
    <col min="17" max="16384" width="9.33203125" style="49"/>
  </cols>
  <sheetData>
    <row r="1" spans="1:16" ht="12" thickBot="1" x14ac:dyDescent="0.25">
      <c r="A1" s="41"/>
      <c r="D1" s="42"/>
      <c r="E1" s="42"/>
      <c r="F1" s="43"/>
      <c r="H1" s="45"/>
      <c r="I1" s="46"/>
      <c r="J1" s="46"/>
      <c r="K1" s="47"/>
      <c r="L1" s="47"/>
      <c r="M1" s="47"/>
      <c r="N1" s="46"/>
      <c r="P1" s="48"/>
    </row>
    <row r="2" spans="1:16" ht="12.75" thickBot="1" x14ac:dyDescent="0.3">
      <c r="A2" s="192"/>
      <c r="B2" s="191"/>
      <c r="C2" s="208" t="str">
        <f>Currency&amp;"_015_SyntheticQuotes"&amp;".xml"</f>
        <v>EUR_015_SyntheticQuotes.xml</v>
      </c>
      <c r="D2" s="209" t="str">
        <f>IF(Serialize,_xll.ohObjectSave(D3:D84,SerializationPath&amp;C2,FileOverwrite,Serialize),"---")</f>
        <v>---</v>
      </c>
      <c r="E2" s="149" t="str">
        <f>_xll.ohRangeRetrieveError(D2)</f>
        <v/>
      </c>
      <c r="F2" s="50"/>
      <c r="H2" s="51"/>
      <c r="I2" s="151"/>
      <c r="J2" s="152" t="s">
        <v>61</v>
      </c>
      <c r="K2" s="52"/>
      <c r="L2" s="159" t="s">
        <v>62</v>
      </c>
      <c r="M2" s="52"/>
      <c r="N2" s="151" t="s">
        <v>63</v>
      </c>
      <c r="O2" s="163" t="s">
        <v>64</v>
      </c>
      <c r="P2" s="229">
        <f>_xll.ohTrigger(O3:O7)</f>
        <v>27</v>
      </c>
    </row>
    <row r="3" spans="1:16" x14ac:dyDescent="0.2">
      <c r="A3" s="211">
        <v>1</v>
      </c>
      <c r="B3" s="199" t="s">
        <v>65</v>
      </c>
      <c r="C3" s="200" t="str">
        <f t="shared" ref="C3" si="0">Currency&amp;$B3&amp;"_SYNTH"&amp;Tenor1M&amp;QuoteSuffix</f>
        <v>EURSND_SYNTH1M_Quote</v>
      </c>
      <c r="D3" s="201" t="str">
        <f>_xll.qlSimpleQuote(C3,,RateTickValue,Permanent,EvaluationDate,ObjectOverwrite)</f>
        <v>EURSND_SYNTH1M_Quote#0000</v>
      </c>
      <c r="E3" s="195" t="str">
        <f>_xll.ohRangeRetrieveError(D3)</f>
        <v/>
      </c>
      <c r="F3" s="50"/>
      <c r="H3" s="51"/>
      <c r="I3" s="153" t="s">
        <v>65</v>
      </c>
      <c r="J3" s="154">
        <f>'1MSynthDepo'!D27</f>
        <v>4.9807635224455706E-4</v>
      </c>
      <c r="K3" s="55" t="s">
        <v>66</v>
      </c>
      <c r="L3" s="160">
        <v>7.562493980206341E-4</v>
      </c>
      <c r="M3" s="52"/>
      <c r="N3" s="164">
        <f t="array" ref="N3:N84">QuoteLive</f>
        <v>4.9807635224455706E-4</v>
      </c>
      <c r="O3" s="165">
        <f>_xll.qlSimpleQuoteSetValue(D3,ROUND($N3,6),EvaluationDate)</f>
        <v>0</v>
      </c>
      <c r="P3" s="53"/>
    </row>
    <row r="4" spans="1:16" x14ac:dyDescent="0.2">
      <c r="A4" s="212" t="str">
        <f>_xll.qlPeriodEquivalent(Months1M&amp;"M")</f>
        <v>1M</v>
      </c>
      <c r="B4" s="202" t="s">
        <v>67</v>
      </c>
      <c r="C4" s="56" t="str">
        <f t="shared" ref="C4:C7" si="1">Currency&amp;$B4&amp;"_SYNTH"&amp;Tenor1M&amp;QuoteSuffix</f>
        <v>EURSWD_SYNTH1M_Quote</v>
      </c>
      <c r="D4" s="203" t="str">
        <f>_xll.qlSimpleQuote(C4,,RateTickValue,Permanent,EvaluationDate,ObjectOverwrite)</f>
        <v>EURSWD_SYNTH1M_Quote#0000</v>
      </c>
      <c r="E4" s="196" t="str">
        <f>_xll.ohRangeRetrieveError(D4)</f>
        <v/>
      </c>
      <c r="F4" s="50"/>
      <c r="H4" s="51"/>
      <c r="I4" s="153" t="s">
        <v>67</v>
      </c>
      <c r="J4" s="154">
        <f>'1MSynthDepo'!D28</f>
        <v>3.9184409468391232E-4</v>
      </c>
      <c r="K4" s="55" t="s">
        <v>66</v>
      </c>
      <c r="L4" s="160">
        <v>7.139280586619277E-4</v>
      </c>
      <c r="M4" s="52"/>
      <c r="N4" s="164">
        <v>3.9184409468391232E-4</v>
      </c>
      <c r="O4" s="165">
        <f>_xll.qlSimpleQuoteSetValue(D4,ROUND($N4,6),EvaluationDate)</f>
        <v>0</v>
      </c>
      <c r="P4" s="53"/>
    </row>
    <row r="5" spans="1:16" x14ac:dyDescent="0.2">
      <c r="A5" s="213"/>
      <c r="B5" s="202" t="s">
        <v>68</v>
      </c>
      <c r="C5" s="56" t="str">
        <f t="shared" si="1"/>
        <v>EUR2WD_SYNTH1M_Quote</v>
      </c>
      <c r="D5" s="203" t="str">
        <f>_xll.qlSimpleQuote(C5,,RateTickValue,Permanent,EvaluationDate,ObjectOverwrite)</f>
        <v>EUR2WD_SYNTH1M_Quote#0000</v>
      </c>
      <c r="E5" s="196" t="str">
        <f>_xll.ohRangeRetrieveError(D5)</f>
        <v/>
      </c>
      <c r="F5" s="50"/>
      <c r="H5" s="51"/>
      <c r="I5" s="153" t="s">
        <v>68</v>
      </c>
      <c r="J5" s="154">
        <f>'1MSynthDepo'!D29</f>
        <v>1.7616543138745139E-4</v>
      </c>
      <c r="K5" s="55" t="s">
        <v>66</v>
      </c>
      <c r="L5" s="160">
        <v>7.1986570928168924E-4</v>
      </c>
      <c r="M5" s="52"/>
      <c r="N5" s="164">
        <v>1.7616543138745139E-4</v>
      </c>
      <c r="O5" s="165">
        <f>_xll.qlSimpleQuoteSetValue(D5,ROUND($N5,6),EvaluationDate)</f>
        <v>0</v>
      </c>
      <c r="P5" s="53"/>
    </row>
    <row r="6" spans="1:16" x14ac:dyDescent="0.2">
      <c r="A6" s="213"/>
      <c r="B6" s="202" t="s">
        <v>69</v>
      </c>
      <c r="C6" s="56" t="str">
        <f t="shared" si="1"/>
        <v>EUR3WD_SYNTH1M_Quote</v>
      </c>
      <c r="D6" s="203" t="str">
        <f>_xll.qlSimpleQuote(C6,,RateTickValue,Permanent,EvaluationDate,ObjectOverwrite)</f>
        <v>EUR3WD_SYNTH1M_Quote#0000</v>
      </c>
      <c r="E6" s="196" t="str">
        <f>_xll.ohRangeRetrieveError(D6)</f>
        <v/>
      </c>
      <c r="F6" s="50"/>
      <c r="H6" s="51"/>
      <c r="I6" s="155" t="s">
        <v>69</v>
      </c>
      <c r="J6" s="156">
        <f>'1MSynthDepo'!D30</f>
        <v>1.2221739932245334E-4</v>
      </c>
      <c r="K6" s="55" t="s">
        <v>66</v>
      </c>
      <c r="L6" s="161">
        <v>9.4580336066685212E-4</v>
      </c>
      <c r="M6" s="52"/>
      <c r="N6" s="166">
        <v>1.2221739932245334E-4</v>
      </c>
      <c r="O6" s="167">
        <f>_xll.qlSimpleQuoteSetValue(D6,ROUND($N6,6),EvaluationDate)</f>
        <v>0</v>
      </c>
      <c r="P6" s="53"/>
    </row>
    <row r="7" spans="1:16" ht="12" thickBot="1" x14ac:dyDescent="0.25">
      <c r="A7" s="214"/>
      <c r="B7" s="210" t="s">
        <v>70</v>
      </c>
      <c r="C7" s="150" t="str">
        <f t="shared" si="1"/>
        <v>EUR1MD_SYNTH1M_Quote</v>
      </c>
      <c r="D7" s="206" t="str">
        <f>_xll.qlSimpleQuote(C7,,RateTickValue,Permanent,EvaluationDate,ObjectOverwrite)</f>
        <v>EUR1MD_SYNTH1M_Quote#0000</v>
      </c>
      <c r="E7" s="207" t="str">
        <f>_xll.ohRangeRetrieveError(D7)</f>
        <v/>
      </c>
      <c r="F7" s="50"/>
      <c r="H7" s="173"/>
      <c r="I7" s="157" t="s">
        <v>70</v>
      </c>
      <c r="J7" s="158">
        <f>'1MSynthDepo'!D31</f>
        <v>9.9999999999999991E-5</v>
      </c>
      <c r="K7" s="174" t="s">
        <v>66</v>
      </c>
      <c r="L7" s="162">
        <v>8.9999999999999998E-4</v>
      </c>
      <c r="M7" s="173"/>
      <c r="N7" s="168">
        <v>9.9999999999999991E-5</v>
      </c>
      <c r="O7" s="169">
        <f>_xll.qlSimpleQuoteSetValue(D7,ROUND($N7,6),EvaluationDate)</f>
        <v>0</v>
      </c>
      <c r="P7" s="173"/>
    </row>
    <row r="8" spans="1:16" x14ac:dyDescent="0.2">
      <c r="A8" s="193">
        <v>3</v>
      </c>
      <c r="B8" s="199" t="s">
        <v>65</v>
      </c>
      <c r="C8" s="200" t="str">
        <f t="shared" ref="C8:C14" si="2">Currency&amp;$B8&amp;"_SYNTH"&amp;Tenor3M&amp;QuoteSuffix</f>
        <v>EURSND_SYNTH3M_Quote</v>
      </c>
      <c r="D8" s="201" t="str">
        <f>_xll.qlSimpleQuote(C8,,RateTickValue,Permanent,EvaluationDate,ObjectOverwrite)</f>
        <v>EURSND_SYNTH3M_Quote#0000</v>
      </c>
      <c r="E8" s="195"/>
      <c r="F8" s="58"/>
      <c r="H8" s="61"/>
      <c r="I8" s="175" t="s">
        <v>65</v>
      </c>
      <c r="J8" s="176">
        <f>'3MSynthDepo'!D32</f>
        <v>1.2616274973602814E-3</v>
      </c>
      <c r="K8" s="62"/>
      <c r="L8" s="177">
        <v>2.0854566594392708E-3</v>
      </c>
      <c r="M8" s="60"/>
      <c r="N8" s="178">
        <v>1.2616274973602814E-3</v>
      </c>
      <c r="O8" s="179">
        <f>_xll.qlSimpleQuoteSetValue(D8,ROUND($N8,6),EvaluationDate)</f>
        <v>0</v>
      </c>
      <c r="P8" s="230">
        <f>_xll.ohTrigger(O8:O14)</f>
        <v>27</v>
      </c>
    </row>
    <row r="9" spans="1:16" x14ac:dyDescent="0.2">
      <c r="A9" s="194" t="str">
        <f>_xll.qlPeriodEquivalent(Months3M&amp;"M")</f>
        <v>3M</v>
      </c>
      <c r="B9" s="202" t="s">
        <v>67</v>
      </c>
      <c r="C9" s="56" t="str">
        <f t="shared" si="2"/>
        <v>EURSWD_SYNTH3M_Quote</v>
      </c>
      <c r="D9" s="203" t="str">
        <f>_xll.qlSimpleQuote(C9,,RateTickValue,Permanent,EvaluationDate,ObjectOverwrite)</f>
        <v>EURSWD_SYNTH3M_Quote#0000</v>
      </c>
      <c r="E9" s="196"/>
      <c r="F9" s="58"/>
      <c r="H9" s="61"/>
      <c r="I9" s="170" t="s">
        <v>67</v>
      </c>
      <c r="J9" s="154">
        <f>'3MSynthDepo'!D33</f>
        <v>1.1554177788010965E-3</v>
      </c>
      <c r="K9" s="62"/>
      <c r="L9" s="160">
        <v>2.0363357259103824E-3</v>
      </c>
      <c r="M9" s="60"/>
      <c r="N9" s="164">
        <v>1.1554177788010965E-3</v>
      </c>
      <c r="O9" s="165">
        <f>_xll.qlSimpleQuoteSetValue(D9,ROUND($N9,6),EvaluationDate)</f>
        <v>0</v>
      </c>
      <c r="P9" s="53"/>
    </row>
    <row r="10" spans="1:16" x14ac:dyDescent="0.2">
      <c r="A10" s="57"/>
      <c r="B10" s="202" t="s">
        <v>68</v>
      </c>
      <c r="C10" s="56" t="str">
        <f t="shared" si="2"/>
        <v>EUR2WD_SYNTH3M_Quote</v>
      </c>
      <c r="D10" s="203" t="str">
        <f>_xll.qlSimpleQuote(C10,,RateTickValue,Permanent,EvaluationDate,ObjectOverwrite)</f>
        <v>EUR2WD_SYNTH3M_Quote#0000</v>
      </c>
      <c r="E10" s="196"/>
      <c r="F10" s="58"/>
      <c r="H10" s="61"/>
      <c r="I10" s="170" t="s">
        <v>68</v>
      </c>
      <c r="J10" s="154">
        <f>'3MSynthDepo'!D34</f>
        <v>9.3932445743883817E-4</v>
      </c>
      <c r="K10" s="62"/>
      <c r="L10" s="160">
        <v>2.0303740867323259E-3</v>
      </c>
      <c r="M10" s="60"/>
      <c r="N10" s="164">
        <v>9.3932445743883817E-4</v>
      </c>
      <c r="O10" s="165">
        <f>_xll.qlSimpleQuoteSetValue(D10,ROUND($N10,6),EvaluationDate)</f>
        <v>0</v>
      </c>
      <c r="P10" s="53"/>
    </row>
    <row r="11" spans="1:16" x14ac:dyDescent="0.2">
      <c r="A11" s="57"/>
      <c r="B11" s="202" t="s">
        <v>69</v>
      </c>
      <c r="C11" s="56" t="str">
        <f t="shared" si="2"/>
        <v>EUR3WD_SYNTH3M_Quote</v>
      </c>
      <c r="D11" s="203" t="str">
        <f>_xll.qlSimpleQuote(C11,,RateTickValue,Permanent,EvaluationDate,ObjectOverwrite)</f>
        <v>EUR3WD_SYNTH3M_Quote#0000</v>
      </c>
      <c r="E11" s="196"/>
      <c r="F11" s="58"/>
      <c r="H11" s="61"/>
      <c r="I11" s="171" t="s">
        <v>69</v>
      </c>
      <c r="J11" s="156">
        <f>'3MSynthDepo'!D35</f>
        <v>8.8438382017559528E-4</v>
      </c>
      <c r="K11" s="62"/>
      <c r="L11" s="161">
        <v>2.2444124483196708E-3</v>
      </c>
      <c r="M11" s="60"/>
      <c r="N11" s="166">
        <v>8.8438382017559528E-4</v>
      </c>
      <c r="O11" s="167">
        <f>_xll.qlSimpleQuoteSetValue(D11,ROUND($N11,6),EvaluationDate)</f>
        <v>0</v>
      </c>
      <c r="P11" s="53"/>
    </row>
    <row r="12" spans="1:16" x14ac:dyDescent="0.2">
      <c r="A12" s="57"/>
      <c r="B12" s="202" t="s">
        <v>70</v>
      </c>
      <c r="C12" s="56" t="str">
        <f t="shared" si="2"/>
        <v>EUR1MD_SYNTH3M_Quote</v>
      </c>
      <c r="D12" s="204" t="str">
        <f>_xll.qlSimpleQuote(C12,,RateTickValue,Permanent,EvaluationDate,ObjectOverwrite)</f>
        <v>EUR1MD_SYNTH3M_Quote#0000</v>
      </c>
      <c r="E12" s="197"/>
      <c r="F12" s="58"/>
      <c r="H12" s="61"/>
      <c r="I12" s="170" t="s">
        <v>70</v>
      </c>
      <c r="J12" s="154">
        <f>'3MSynthDepo'!D36</f>
        <v>8.6059586852244984E-4</v>
      </c>
      <c r="K12" s="62"/>
      <c r="L12" s="160">
        <v>2.1816101022273638E-3</v>
      </c>
      <c r="M12" s="60"/>
      <c r="N12" s="164">
        <v>8.6059586852244984E-4</v>
      </c>
      <c r="O12" s="165">
        <f>_xll.qlSimpleQuoteSetValue(D12,ROUND($N12,6),EvaluationDate)</f>
        <v>0</v>
      </c>
      <c r="P12" s="53"/>
    </row>
    <row r="13" spans="1:16" x14ac:dyDescent="0.2">
      <c r="A13" s="57"/>
      <c r="B13" s="202" t="s">
        <v>71</v>
      </c>
      <c r="C13" s="56" t="str">
        <f t="shared" si="2"/>
        <v>EUR2MD_SYNTH3M_Quote</v>
      </c>
      <c r="D13" s="204" t="str">
        <f>_xll.qlSimpleQuote(C13,,RateTickValue,Permanent,EvaluationDate,ObjectOverwrite)</f>
        <v>EUR2MD_SYNTH3M_Quote#0000</v>
      </c>
      <c r="E13" s="197"/>
      <c r="F13" s="58"/>
      <c r="H13" s="61"/>
      <c r="I13" s="170" t="s">
        <v>71</v>
      </c>
      <c r="J13" s="154">
        <f>'3MSynthDepo'!D37</f>
        <v>8.6540723531901146E-4</v>
      </c>
      <c r="K13" s="62"/>
      <c r="L13" s="160">
        <v>2.100593842366712E-3</v>
      </c>
      <c r="M13" s="60"/>
      <c r="N13" s="164">
        <v>8.6540723531901146E-4</v>
      </c>
      <c r="O13" s="165">
        <f>_xll.qlSimpleQuoteSetValue(D13,ROUND($N13,6),EvaluationDate)</f>
        <v>0</v>
      </c>
      <c r="P13" s="53"/>
    </row>
    <row r="14" spans="1:16" ht="12" thickBot="1" x14ac:dyDescent="0.25">
      <c r="A14" s="57"/>
      <c r="B14" s="205" t="s">
        <v>72</v>
      </c>
      <c r="C14" s="150" t="str">
        <f t="shared" si="2"/>
        <v>EUR3MD_SYNTH3M_Quote</v>
      </c>
      <c r="D14" s="206" t="str">
        <f>_xll.qlSimpleQuote(C14,,RateTickValue,Permanent,EvaluationDate,ObjectOverwrite)</f>
        <v>EUR3MD_SYNTH3M_Quote#0000</v>
      </c>
      <c r="E14" s="198"/>
      <c r="F14" s="58"/>
      <c r="H14" s="61"/>
      <c r="I14" s="172" t="s">
        <v>72</v>
      </c>
      <c r="J14" s="158">
        <f>'3MSynthDepo'!D38</f>
        <v>8.6045388216033139E-4</v>
      </c>
      <c r="K14" s="62"/>
      <c r="L14" s="162">
        <v>1.99E-3</v>
      </c>
      <c r="M14" s="60"/>
      <c r="N14" s="168">
        <v>8.6045388216033139E-4</v>
      </c>
      <c r="O14" s="169">
        <f>_xll.qlSimpleQuoteSetValue(D14,ROUND($N14,6),EvaluationDate)</f>
        <v>0</v>
      </c>
      <c r="P14" s="53"/>
    </row>
    <row r="15" spans="1:16" x14ac:dyDescent="0.2">
      <c r="A15" s="211">
        <v>6</v>
      </c>
      <c r="B15" s="215" t="s">
        <v>65</v>
      </c>
      <c r="C15" s="200" t="str">
        <f t="shared" ref="C15:C24" si="3">Currency&amp;$B15&amp;"_SYNTH"&amp;Tenor6M&amp;QuoteSuffix</f>
        <v>EURSND_SYNTH6M_Quote</v>
      </c>
      <c r="D15" s="201" t="str">
        <f>_xll.qlSimpleQuote(C15,,RateTickValue,Permanent,EvaluationDate,ObjectOverwrite)</f>
        <v>EURSND_SYNTH6M_Quote#0000</v>
      </c>
      <c r="E15" s="195" t="str">
        <f>_xll.ohRangeRetrieveError(D15)</f>
        <v/>
      </c>
      <c r="F15" s="58"/>
      <c r="H15" s="61"/>
      <c r="I15" s="175" t="s">
        <v>65</v>
      </c>
      <c r="J15" s="176">
        <f>'6MSynthDepo'!D32</f>
        <v>2.5616828399391378E-3</v>
      </c>
      <c r="K15" s="62"/>
      <c r="L15" s="177">
        <v>3.429611293926924E-3</v>
      </c>
      <c r="M15" s="60"/>
      <c r="N15" s="178">
        <v>2.5616828399391378E-3</v>
      </c>
      <c r="O15" s="179">
        <f>_xll.qlSimpleQuoteSetValue(D15,ROUND($N15,6),EvaluationDate)</f>
        <v>0</v>
      </c>
      <c r="P15" s="231">
        <f>_xll.ohTrigger(O15:O24)</f>
        <v>27</v>
      </c>
    </row>
    <row r="16" spans="1:16" x14ac:dyDescent="0.2">
      <c r="A16" s="212" t="str">
        <f>_xll.qlPeriodEquivalent(Months6M&amp;"M")</f>
        <v>6M</v>
      </c>
      <c r="B16" s="216" t="s">
        <v>67</v>
      </c>
      <c r="C16" s="56" t="str">
        <f t="shared" si="3"/>
        <v>EURSWD_SYNTH6M_Quote</v>
      </c>
      <c r="D16" s="203" t="str">
        <f>_xll.qlSimpleQuote(C16,,RateTickValue,Permanent,EvaluationDate,ObjectOverwrite)</f>
        <v>EURSWD_SYNTH6M_Quote#0000</v>
      </c>
      <c r="E16" s="196" t="str">
        <f>_xll.ohRangeRetrieveError(D16)</f>
        <v/>
      </c>
      <c r="F16" s="58"/>
      <c r="H16" s="61"/>
      <c r="I16" s="170" t="s">
        <v>67</v>
      </c>
      <c r="J16" s="154">
        <f>'6MSynthDepo'!D33</f>
        <v>2.4517816611606185E-3</v>
      </c>
      <c r="K16" s="62"/>
      <c r="L16" s="160">
        <v>3.3663605344225103E-3</v>
      </c>
      <c r="M16" s="60"/>
      <c r="N16" s="164">
        <v>2.4517816611606185E-3</v>
      </c>
      <c r="O16" s="165">
        <f>_xll.qlSimpleQuoteSetValue(D16,ROUND($N16,6),EvaluationDate)</f>
        <v>0</v>
      </c>
      <c r="P16" s="63"/>
    </row>
    <row r="17" spans="1:16" x14ac:dyDescent="0.2">
      <c r="A17" s="218"/>
      <c r="B17" s="216" t="s">
        <v>68</v>
      </c>
      <c r="C17" s="56" t="str">
        <f t="shared" si="3"/>
        <v>EUR2WD_SYNTH6M_Quote</v>
      </c>
      <c r="D17" s="203" t="str">
        <f>_xll.qlSimpleQuote(C17,,RateTickValue,Permanent,EvaluationDate,ObjectOverwrite)</f>
        <v>EUR2WD_SYNTH6M_Quote#0000</v>
      </c>
      <c r="E17" s="196" t="str">
        <f>_xll.ohRangeRetrieveError(D17)</f>
        <v/>
      </c>
      <c r="F17" s="58"/>
      <c r="H17" s="59"/>
      <c r="I17" s="170" t="s">
        <v>68</v>
      </c>
      <c r="J17" s="154">
        <f>'6MSynthDepo'!D34</f>
        <v>2.2287093693072464E-3</v>
      </c>
      <c r="K17" s="62"/>
      <c r="L17" s="160">
        <v>3.3368531136497635E-3</v>
      </c>
      <c r="M17" s="60"/>
      <c r="N17" s="164">
        <v>2.2287093693072464E-3</v>
      </c>
      <c r="O17" s="165">
        <f>_xll.qlSimpleQuoteSetValue(D17,ROUND($N17,6),EvaluationDate)</f>
        <v>0</v>
      </c>
      <c r="P17" s="63"/>
    </row>
    <row r="18" spans="1:16" x14ac:dyDescent="0.2">
      <c r="A18" s="219"/>
      <c r="B18" s="216" t="s">
        <v>69</v>
      </c>
      <c r="C18" s="56" t="str">
        <f t="shared" si="3"/>
        <v>EUR3WD_SYNTH6M_Quote</v>
      </c>
      <c r="D18" s="203" t="str">
        <f>_xll.qlSimpleQuote(C18,,RateTickValue,Permanent,EvaluationDate,ObjectOverwrite)</f>
        <v>EUR3WD_SYNTH6M_Quote#0000</v>
      </c>
      <c r="E18" s="196" t="str">
        <f>_xll.ohRangeRetrieveError(D18)</f>
        <v/>
      </c>
      <c r="F18" s="58"/>
      <c r="H18" s="59"/>
      <c r="I18" s="170" t="s">
        <v>69</v>
      </c>
      <c r="J18" s="154">
        <f>'6MSynthDepo'!D35</f>
        <v>2.166129324143627E-3</v>
      </c>
      <c r="K18" s="62"/>
      <c r="L18" s="160">
        <v>3.5288493112855738E-3</v>
      </c>
      <c r="M18" s="60"/>
      <c r="N18" s="164">
        <v>2.166129324143627E-3</v>
      </c>
      <c r="O18" s="165">
        <f>_xll.qlSimpleQuoteSetValue(D18,ROUND($N18,6),EvaluationDate)</f>
        <v>0</v>
      </c>
      <c r="P18" s="63"/>
    </row>
    <row r="19" spans="1:16" x14ac:dyDescent="0.2">
      <c r="A19" s="219"/>
      <c r="B19" s="216" t="s">
        <v>70</v>
      </c>
      <c r="C19" s="56" t="str">
        <f t="shared" si="3"/>
        <v>EUR1MD_SYNTH6M_Quote</v>
      </c>
      <c r="D19" s="203" t="str">
        <f>_xll.qlSimpleQuote(C19,,RateTickValue,Permanent,EvaluationDate,ObjectOverwrite)</f>
        <v>EUR1MD_SYNTH6M_Quote#0000</v>
      </c>
      <c r="E19" s="196" t="str">
        <f>_xll.ohRangeRetrieveError(D19)</f>
        <v/>
      </c>
      <c r="F19" s="58"/>
      <c r="H19" s="59"/>
      <c r="I19" s="170" t="s">
        <v>70</v>
      </c>
      <c r="J19" s="154">
        <f>'6MSynthDepo'!D36</f>
        <v>2.1340415271808417E-3</v>
      </c>
      <c r="K19" s="62"/>
      <c r="L19" s="160">
        <v>3.437166475867978E-3</v>
      </c>
      <c r="M19" s="60"/>
      <c r="N19" s="164">
        <v>2.1340415271808417E-3</v>
      </c>
      <c r="O19" s="165">
        <f>_xll.qlSimpleQuoteSetValue(D19,ROUND($N19,6),EvaluationDate)</f>
        <v>0</v>
      </c>
      <c r="P19" s="63"/>
    </row>
    <row r="20" spans="1:16" x14ac:dyDescent="0.2">
      <c r="A20" s="219"/>
      <c r="B20" s="216" t="s">
        <v>71</v>
      </c>
      <c r="C20" s="56" t="str">
        <f t="shared" si="3"/>
        <v>EUR2MD_SYNTH6M_Quote</v>
      </c>
      <c r="D20" s="203" t="str">
        <f>_xll.qlSimpleQuote(C20,,RateTickValue,Permanent,EvaluationDate,ObjectOverwrite)</f>
        <v>EUR2MD_SYNTH6M_Quote#0000</v>
      </c>
      <c r="E20" s="196" t="str">
        <f>_xll.ohRangeRetrieveError(D20)</f>
        <v/>
      </c>
      <c r="F20" s="58"/>
      <c r="H20" s="59"/>
      <c r="I20" s="170" t="s">
        <v>71</v>
      </c>
      <c r="J20" s="154">
        <f>'6MSynthDepo'!D37</f>
        <v>2.0908293642500457E-3</v>
      </c>
      <c r="K20" s="62"/>
      <c r="L20" s="160">
        <v>3.2879203926415284E-3</v>
      </c>
      <c r="M20" s="60"/>
      <c r="N20" s="164">
        <v>2.0908293642500457E-3</v>
      </c>
      <c r="O20" s="165">
        <f>_xll.qlSimpleQuoteSetValue(D20,ROUND($N20,6),EvaluationDate)</f>
        <v>0</v>
      </c>
      <c r="P20" s="63"/>
    </row>
    <row r="21" spans="1:16" x14ac:dyDescent="0.2">
      <c r="A21" s="219"/>
      <c r="B21" s="216" t="s">
        <v>72</v>
      </c>
      <c r="C21" s="56" t="str">
        <f t="shared" si="3"/>
        <v>EUR3MD_SYNTH6M_Quote</v>
      </c>
      <c r="D21" s="203" t="str">
        <f>_xll.qlSimpleQuote(C21,,RateTickValue,Permanent,EvaluationDate,ObjectOverwrite)</f>
        <v>EUR3MD_SYNTH6M_Quote#0000</v>
      </c>
      <c r="E21" s="196" t="str">
        <f>_xll.ohRangeRetrieveError(D21)</f>
        <v/>
      </c>
      <c r="F21" s="58"/>
      <c r="H21" s="59"/>
      <c r="I21" s="170" t="s">
        <v>72</v>
      </c>
      <c r="J21" s="154">
        <f>'6MSynthDepo'!D38</f>
        <v>2.0294812496151216E-3</v>
      </c>
      <c r="K21" s="62"/>
      <c r="L21" s="160">
        <v>3.1341719188593851E-3</v>
      </c>
      <c r="M21" s="60"/>
      <c r="N21" s="164">
        <v>2.0294812496151216E-3</v>
      </c>
      <c r="O21" s="165">
        <f>_xll.qlSimpleQuoteSetValue(D21,ROUND($N21,6),EvaluationDate)</f>
        <v>0</v>
      </c>
      <c r="P21" s="63"/>
    </row>
    <row r="22" spans="1:16" x14ac:dyDescent="0.2">
      <c r="A22" s="219"/>
      <c r="B22" s="216" t="s">
        <v>73</v>
      </c>
      <c r="C22" s="56" t="str">
        <f t="shared" si="3"/>
        <v>EUR4MD_SYNTH6M_Quote</v>
      </c>
      <c r="D22" s="203" t="str">
        <f>_xll.qlSimpleQuote(C22,,RateTickValue,Permanent,EvaluationDate,ObjectOverwrite)</f>
        <v>EUR4MD_SYNTH6M_Quote#0000</v>
      </c>
      <c r="E22" s="196" t="str">
        <f>_xll.ohRangeRetrieveError(D22)</f>
        <v/>
      </c>
      <c r="F22" s="58"/>
      <c r="H22" s="59"/>
      <c r="I22" s="170" t="s">
        <v>73</v>
      </c>
      <c r="J22" s="154">
        <f>'6MSynthDepo'!D39</f>
        <v>2.0416948048187799E-3</v>
      </c>
      <c r="K22" s="62"/>
      <c r="L22" s="160">
        <v>3.0638881440993079E-3</v>
      </c>
      <c r="M22" s="60"/>
      <c r="N22" s="164">
        <v>2.0416948048187799E-3</v>
      </c>
      <c r="O22" s="165">
        <f>_xll.qlSimpleQuoteSetValue(D22,ROUND($N22,6),EvaluationDate)</f>
        <v>0</v>
      </c>
      <c r="P22" s="63"/>
    </row>
    <row r="23" spans="1:16" x14ac:dyDescent="0.2">
      <c r="A23" s="219"/>
      <c r="B23" s="216" t="s">
        <v>74</v>
      </c>
      <c r="C23" s="56" t="str">
        <f t="shared" si="3"/>
        <v>EUR5MD_SYNTH6M_Quote</v>
      </c>
      <c r="D23" s="203" t="str">
        <f>_xll.qlSimpleQuote(C23,,RateTickValue,Permanent,EvaluationDate,ObjectOverwrite)</f>
        <v>EUR5MD_SYNTH6M_Quote#0000</v>
      </c>
      <c r="E23" s="196" t="str">
        <f>_xll.ohRangeRetrieveError(D23)</f>
        <v/>
      </c>
      <c r="F23" s="58"/>
      <c r="H23" s="59"/>
      <c r="I23" s="170" t="s">
        <v>74</v>
      </c>
      <c r="J23" s="154">
        <f>'6MSynthDepo'!D40</f>
        <v>2.0676728416220559E-3</v>
      </c>
      <c r="K23" s="62"/>
      <c r="L23" s="160">
        <v>3.0024559434110483E-3</v>
      </c>
      <c r="M23" s="60"/>
      <c r="N23" s="164">
        <v>2.0676728416220559E-3</v>
      </c>
      <c r="O23" s="165">
        <f>_xll.qlSimpleQuoteSetValue(D23,ROUND($N23,6),EvaluationDate)</f>
        <v>0</v>
      </c>
      <c r="P23" s="63"/>
    </row>
    <row r="24" spans="1:16" ht="12" thickBot="1" x14ac:dyDescent="0.25">
      <c r="A24" s="220"/>
      <c r="B24" s="210" t="s">
        <v>75</v>
      </c>
      <c r="C24" s="150" t="str">
        <f t="shared" si="3"/>
        <v>EUR6MD_SYNTH6M_Quote</v>
      </c>
      <c r="D24" s="217" t="str">
        <f>_xll.qlSimpleQuote(C24,,RateTickValue,Permanent,EvaluationDate,ObjectOverwrite)</f>
        <v>EUR6MD_SYNTH6M_Quote#0000</v>
      </c>
      <c r="E24" s="196" t="str">
        <f>_xll.ohRangeRetrieveError(D24)</f>
        <v/>
      </c>
      <c r="F24" s="58"/>
      <c r="H24" s="59"/>
      <c r="I24" s="172" t="s">
        <v>75</v>
      </c>
      <c r="J24" s="158">
        <f>'6MSynthDepo'!D41</f>
        <v>2.0613699210689524E-3</v>
      </c>
      <c r="K24" s="62"/>
      <c r="L24" s="162">
        <v>2.9900000000000013E-3</v>
      </c>
      <c r="M24" s="60"/>
      <c r="N24" s="168">
        <v>2.0613699210689524E-3</v>
      </c>
      <c r="O24" s="169">
        <f>_xll.qlSimpleQuoteSetValue(D24,ROUND($N24,6),EvaluationDate)</f>
        <v>0</v>
      </c>
      <c r="P24" s="63"/>
    </row>
    <row r="25" spans="1:16" x14ac:dyDescent="0.2">
      <c r="A25" s="211">
        <v>12</v>
      </c>
      <c r="B25" s="199" t="s">
        <v>65</v>
      </c>
      <c r="C25" s="200" t="str">
        <f t="shared" ref="C25:C40" si="4">Currency&amp;$B25&amp;"_SYNTH"&amp;Tenor12M&amp;QuoteSuffix</f>
        <v>EURSND_SYNTH1Y_Quote</v>
      </c>
      <c r="D25" s="201" t="str">
        <f>_xll.qlSimpleQuote(C25,,RateTickValue,Permanent,EvaluationDate,ObjectOverwrite)</f>
        <v>EURSND_SYNTH1Y_Quote#0000</v>
      </c>
      <c r="E25" s="195" t="str">
        <f>_xll.ohRangeRetrieveError(D25)</f>
        <v/>
      </c>
      <c r="F25" s="67"/>
      <c r="H25" s="61"/>
      <c r="I25" s="180" t="s">
        <v>65</v>
      </c>
      <c r="J25" s="176">
        <f>'1YSynthDepo'!D38</f>
        <v>3.9104016867952405E-3</v>
      </c>
      <c r="K25" s="62"/>
      <c r="L25" s="177">
        <v>4.7040184877368135E-3</v>
      </c>
      <c r="M25" s="60"/>
      <c r="N25" s="178">
        <v>3.9104016867952405E-3</v>
      </c>
      <c r="O25" s="179">
        <f>_xll.qlSimpleQuoteSetValue(D25,ROUND($N25,6),EvaluationDate)</f>
        <v>0</v>
      </c>
      <c r="P25" s="231">
        <f>_xll.ohTrigger(O25:O40)</f>
        <v>27</v>
      </c>
    </row>
    <row r="26" spans="1:16" x14ac:dyDescent="0.2">
      <c r="A26" s="212" t="str">
        <f>_xll.qlPeriodEquivalent(Months12M&amp;"M")</f>
        <v>1Y</v>
      </c>
      <c r="B26" s="202" t="s">
        <v>67</v>
      </c>
      <c r="C26" s="56" t="str">
        <f t="shared" si="4"/>
        <v>EURSWD_SYNTH1Y_Quote</v>
      </c>
      <c r="D26" s="203" t="str">
        <f>_xll.qlSimpleQuote(C26,,RateTickValue,Permanent,EvaluationDate,ObjectOverwrite)</f>
        <v>EURSWD_SYNTH1Y_Quote#0000</v>
      </c>
      <c r="E26" s="196" t="str">
        <f>_xll.ohRangeRetrieveError(D26)</f>
        <v/>
      </c>
      <c r="F26" s="67"/>
      <c r="H26" s="61"/>
      <c r="I26" s="181" t="s">
        <v>67</v>
      </c>
      <c r="J26" s="154">
        <f>'1YSynthDepo'!D39</f>
        <v>3.8055203045015179E-3</v>
      </c>
      <c r="K26" s="62"/>
      <c r="L26" s="160">
        <v>4.6648534527061547E-3</v>
      </c>
      <c r="M26" s="60"/>
      <c r="N26" s="164">
        <v>3.8055203045015179E-3</v>
      </c>
      <c r="O26" s="165">
        <f>_xll.qlSimpleQuoteSetValue(D26,ROUND($N26,6),EvaluationDate)</f>
        <v>0</v>
      </c>
      <c r="P26" s="63"/>
    </row>
    <row r="27" spans="1:16" x14ac:dyDescent="0.2">
      <c r="A27" s="219"/>
      <c r="B27" s="202" t="s">
        <v>68</v>
      </c>
      <c r="C27" s="56" t="str">
        <f t="shared" si="4"/>
        <v>EUR2WD_SYNTH1Y_Quote</v>
      </c>
      <c r="D27" s="203" t="str">
        <f>_xll.qlSimpleQuote(C27,,RateTickValue,Permanent,EvaluationDate,ObjectOverwrite)</f>
        <v>EUR2WD_SYNTH1Y_Quote#0000</v>
      </c>
      <c r="E27" s="196" t="str">
        <f>_xll.ohRangeRetrieveError(D27)</f>
        <v/>
      </c>
      <c r="F27" s="67"/>
      <c r="H27" s="59"/>
      <c r="I27" s="181" t="s">
        <v>68</v>
      </c>
      <c r="J27" s="154">
        <f>'1YSynthDepo'!D40</f>
        <v>3.5908458900525838E-3</v>
      </c>
      <c r="K27" s="62"/>
      <c r="L27" s="160">
        <v>4.6763146358999993E-3</v>
      </c>
      <c r="M27" s="60"/>
      <c r="N27" s="164">
        <v>3.5908458900525838E-3</v>
      </c>
      <c r="O27" s="165">
        <f>_xll.qlSimpleQuoteSetValue(D27,ROUND($N27,6),EvaluationDate)</f>
        <v>0</v>
      </c>
      <c r="P27" s="63"/>
    </row>
    <row r="28" spans="1:16" x14ac:dyDescent="0.2">
      <c r="A28" s="219"/>
      <c r="B28" s="202" t="s">
        <v>69</v>
      </c>
      <c r="C28" s="56" t="str">
        <f t="shared" si="4"/>
        <v>EUR3WD_SYNTH1Y_Quote</v>
      </c>
      <c r="D28" s="203" t="str">
        <f>_xll.qlSimpleQuote(C28,,RateTickValue,Permanent,EvaluationDate,ObjectOverwrite)</f>
        <v>EUR3WD_SYNTH1Y_Quote#0000</v>
      </c>
      <c r="E28" s="196" t="str">
        <f>_xll.ohRangeRetrieveError(D28)</f>
        <v/>
      </c>
      <c r="F28" s="67"/>
      <c r="H28" s="59"/>
      <c r="I28" s="181" t="s">
        <v>69</v>
      </c>
      <c r="J28" s="154">
        <f>'1YSynthDepo'!D41</f>
        <v>3.5361714740920025E-3</v>
      </c>
      <c r="K28" s="62"/>
      <c r="L28" s="160">
        <v>4.9077758198592461E-3</v>
      </c>
      <c r="M28" s="60"/>
      <c r="N28" s="164">
        <v>3.5361714740920025E-3</v>
      </c>
      <c r="O28" s="165">
        <f>_xll.qlSimpleQuoteSetValue(D28,ROUND($N28,6),EvaluationDate)</f>
        <v>0</v>
      </c>
      <c r="P28" s="63"/>
    </row>
    <row r="29" spans="1:16" x14ac:dyDescent="0.2">
      <c r="A29" s="219"/>
      <c r="B29" s="202" t="s">
        <v>70</v>
      </c>
      <c r="C29" s="56" t="str">
        <f t="shared" si="4"/>
        <v>EUR1MD_SYNTH1Y_Quote</v>
      </c>
      <c r="D29" s="203" t="str">
        <f>_xll.qlSimpleQuote(C29,,RateTickValue,Permanent,EvaluationDate,ObjectOverwrite)</f>
        <v>EUR1MD_SYNTH1Y_Quote#0000</v>
      </c>
      <c r="E29" s="196" t="str">
        <f>_xll.ohRangeRetrieveError(D29)</f>
        <v/>
      </c>
      <c r="F29" s="67"/>
      <c r="H29" s="59"/>
      <c r="I29" s="182" t="s">
        <v>70</v>
      </c>
      <c r="J29" s="156">
        <f>'1YSynthDepo'!D42</f>
        <v>3.5114970581308575E-3</v>
      </c>
      <c r="K29" s="62"/>
      <c r="L29" s="161">
        <v>4.869863220012512E-3</v>
      </c>
      <c r="M29" s="60"/>
      <c r="N29" s="166">
        <v>3.5114970581308575E-3</v>
      </c>
      <c r="O29" s="167">
        <f>_xll.qlSimpleQuoteSetValue(D29,ROUND($N29,6),EvaluationDate)</f>
        <v>0</v>
      </c>
      <c r="P29" s="63"/>
    </row>
    <row r="30" spans="1:16" x14ac:dyDescent="0.2">
      <c r="A30" s="219"/>
      <c r="B30" s="202" t="s">
        <v>71</v>
      </c>
      <c r="C30" s="56" t="str">
        <f t="shared" si="4"/>
        <v>EUR2MD_SYNTH1Y_Quote</v>
      </c>
      <c r="D30" s="203" t="str">
        <f>_xll.qlSimpleQuote(C30,,RateTickValue,Permanent,EvaluationDate,ObjectOverwrite)</f>
        <v>EUR2MD_SYNTH1Y_Quote#0000</v>
      </c>
      <c r="E30" s="196" t="str">
        <f>_xll.ohRangeRetrieveError(D30)</f>
        <v/>
      </c>
      <c r="F30" s="67"/>
      <c r="H30" s="59"/>
      <c r="I30" s="181" t="s">
        <v>71</v>
      </c>
      <c r="J30" s="154">
        <f>'1YSynthDepo'!D43</f>
        <v>3.4966034094542561E-3</v>
      </c>
      <c r="K30" s="62"/>
      <c r="L30" s="160">
        <v>4.8635161988885818E-3</v>
      </c>
      <c r="M30" s="60"/>
      <c r="N30" s="164">
        <v>3.4966034094542561E-3</v>
      </c>
      <c r="O30" s="165">
        <f>_xll.qlSimpleQuoteSetValue(D30,ROUND($N30,6),EvaluationDate)</f>
        <v>0</v>
      </c>
      <c r="P30" s="231"/>
    </row>
    <row r="31" spans="1:16" x14ac:dyDescent="0.2">
      <c r="A31" s="219"/>
      <c r="B31" s="202" t="s">
        <v>72</v>
      </c>
      <c r="C31" s="56" t="str">
        <f t="shared" si="4"/>
        <v>EUR3MD_SYNTH1Y_Quote</v>
      </c>
      <c r="D31" s="203" t="str">
        <f>_xll.qlSimpleQuote(C31,,RateTickValue,Permanent,EvaluationDate,ObjectOverwrite)</f>
        <v>EUR3MD_SYNTH1Y_Quote#0000</v>
      </c>
      <c r="E31" s="196" t="str">
        <f>_xll.ohRangeRetrieveError(D31)</f>
        <v/>
      </c>
      <c r="F31" s="67"/>
      <c r="H31" s="59"/>
      <c r="I31" s="181" t="s">
        <v>72</v>
      </c>
      <c r="J31" s="154">
        <f>'1YSynthDepo'!D44</f>
        <v>3.451506040516944E-3</v>
      </c>
      <c r="K31" s="62"/>
      <c r="L31" s="160">
        <v>4.8350585191322629E-3</v>
      </c>
      <c r="M31" s="60"/>
      <c r="N31" s="164">
        <v>3.451506040516944E-3</v>
      </c>
      <c r="O31" s="165">
        <f>_xll.qlSimpleQuoteSetValue(D31,ROUND($N31,6),EvaluationDate)</f>
        <v>0</v>
      </c>
      <c r="P31" s="63"/>
    </row>
    <row r="32" spans="1:16" x14ac:dyDescent="0.2">
      <c r="A32" s="219"/>
      <c r="B32" s="202" t="s">
        <v>73</v>
      </c>
      <c r="C32" s="56" t="str">
        <f t="shared" si="4"/>
        <v>EUR4MD_SYNTH1Y_Quote</v>
      </c>
      <c r="D32" s="203" t="str">
        <f>_xll.qlSimpleQuote(C32,,RateTickValue,Permanent,EvaluationDate,ObjectOverwrite)</f>
        <v>EUR4MD_SYNTH1Y_Quote#0000</v>
      </c>
      <c r="E32" s="196" t="str">
        <f>_xll.ohRangeRetrieveError(D32)</f>
        <v/>
      </c>
      <c r="F32" s="67"/>
      <c r="H32" s="59"/>
      <c r="I32" s="181" t="s">
        <v>73</v>
      </c>
      <c r="J32" s="154">
        <f>'1YSynthDepo'!D45</f>
        <v>3.4707297024628094E-3</v>
      </c>
      <c r="K32" s="62"/>
      <c r="L32" s="160">
        <v>4.8448761772627346E-3</v>
      </c>
      <c r="M32" s="60"/>
      <c r="N32" s="164">
        <v>3.4707297024628094E-3</v>
      </c>
      <c r="O32" s="165">
        <f>_xll.qlSimpleQuoteSetValue(D32,ROUND($N32,6),EvaluationDate)</f>
        <v>0</v>
      </c>
      <c r="P32" s="63"/>
    </row>
    <row r="33" spans="1:16" x14ac:dyDescent="0.2">
      <c r="A33" s="219"/>
      <c r="B33" s="202" t="s">
        <v>74</v>
      </c>
      <c r="C33" s="56" t="str">
        <f t="shared" si="4"/>
        <v>EUR5MD_SYNTH1Y_Quote</v>
      </c>
      <c r="D33" s="203" t="str">
        <f>_xll.qlSimpleQuote(C33,,RateTickValue,Permanent,EvaluationDate,ObjectOverwrite)</f>
        <v>EUR5MD_SYNTH1Y_Quote#0000</v>
      </c>
      <c r="E33" s="196" t="str">
        <f>_xll.ohRangeRetrieveError(D33)</f>
        <v/>
      </c>
      <c r="F33" s="67"/>
      <c r="H33" s="61"/>
      <c r="I33" s="181" t="s">
        <v>74</v>
      </c>
      <c r="J33" s="154">
        <f>'1YSynthDepo'!D46</f>
        <v>3.4950752434338554E-3</v>
      </c>
      <c r="K33" s="62"/>
      <c r="L33" s="160">
        <v>4.8440652908529717E-3</v>
      </c>
      <c r="M33" s="60"/>
      <c r="N33" s="164">
        <v>3.4950752434338554E-3</v>
      </c>
      <c r="O33" s="165">
        <f>_xll.qlSimpleQuoteSetValue(D33,ROUND($N33,6),EvaluationDate)</f>
        <v>0</v>
      </c>
      <c r="P33" s="63"/>
    </row>
    <row r="34" spans="1:16" x14ac:dyDescent="0.2">
      <c r="A34" s="219"/>
      <c r="B34" s="202" t="s">
        <v>75</v>
      </c>
      <c r="C34" s="56" t="str">
        <f t="shared" si="4"/>
        <v>EUR6MD_SYNTH1Y_Quote</v>
      </c>
      <c r="D34" s="203" t="str">
        <f>_xll.qlSimpleQuote(C34,,RateTickValue,Permanent,EvaluationDate,ObjectOverwrite)</f>
        <v>EUR6MD_SYNTH1Y_Quote#0000</v>
      </c>
      <c r="E34" s="196" t="str">
        <f>_xll.ohRangeRetrieveError(D34)</f>
        <v/>
      </c>
      <c r="F34" s="67"/>
      <c r="H34" s="61"/>
      <c r="I34" s="181" t="s">
        <v>75</v>
      </c>
      <c r="J34" s="154">
        <f>'1YSynthDepo'!D47</f>
        <v>3.4778991880931157E-3</v>
      </c>
      <c r="K34" s="62"/>
      <c r="L34" s="160">
        <v>4.8632546250425525E-3</v>
      </c>
      <c r="M34" s="60"/>
      <c r="N34" s="164">
        <v>3.4778991880931157E-3</v>
      </c>
      <c r="O34" s="165">
        <f>_xll.qlSimpleQuoteSetValue(D34,ROUND($N34,6),EvaluationDate)</f>
        <v>0</v>
      </c>
      <c r="P34" s="63"/>
    </row>
    <row r="35" spans="1:16" x14ac:dyDescent="0.2">
      <c r="A35" s="219"/>
      <c r="B35" s="202" t="s">
        <v>76</v>
      </c>
      <c r="C35" s="56" t="str">
        <f t="shared" si="4"/>
        <v>EUR7MD_SYNTH1Y_Quote</v>
      </c>
      <c r="D35" s="203" t="str">
        <f>_xll.qlSimpleQuote(C35,,RateTickValue,Permanent,EvaluationDate,ObjectOverwrite)</f>
        <v>EUR7MD_SYNTH1Y_Quote#0000</v>
      </c>
      <c r="E35" s="196" t="str">
        <f>_xll.ohRangeRetrieveError(D35)</f>
        <v/>
      </c>
      <c r="F35" s="67"/>
      <c r="H35" s="61"/>
      <c r="I35" s="181" t="s">
        <v>76</v>
      </c>
      <c r="J35" s="154">
        <f>'1YSynthDepo'!D48</f>
        <v>3.4499623345983859E-3</v>
      </c>
      <c r="K35" s="62"/>
      <c r="L35" s="160">
        <v>4.8790025836616558E-3</v>
      </c>
      <c r="M35" s="60"/>
      <c r="N35" s="164">
        <v>3.4499623345983859E-3</v>
      </c>
      <c r="O35" s="165">
        <f>_xll.qlSimpleQuoteSetValue(D35,ROUND($N35,6),EvaluationDate)</f>
        <v>0</v>
      </c>
      <c r="P35" s="63"/>
    </row>
    <row r="36" spans="1:16" x14ac:dyDescent="0.2">
      <c r="A36" s="219"/>
      <c r="B36" s="202" t="s">
        <v>77</v>
      </c>
      <c r="C36" s="56" t="str">
        <f t="shared" si="4"/>
        <v>EUR8MD_SYNTH1Y_Quote</v>
      </c>
      <c r="D36" s="203" t="str">
        <f>_xll.qlSimpleQuote(C36,,RateTickValue,Permanent,EvaluationDate,ObjectOverwrite)</f>
        <v>EUR8MD_SYNTH1Y_Quote#0000</v>
      </c>
      <c r="E36" s="196" t="str">
        <f>_xll.ohRangeRetrieveError(D36)</f>
        <v/>
      </c>
      <c r="F36" s="67"/>
      <c r="H36" s="61"/>
      <c r="I36" s="181" t="s">
        <v>77</v>
      </c>
      <c r="J36" s="154">
        <f>'1YSynthDepo'!D49</f>
        <v>3.4343078755685336E-3</v>
      </c>
      <c r="K36" s="62"/>
      <c r="L36" s="160">
        <v>4.8629140975407414E-3</v>
      </c>
      <c r="M36" s="60"/>
      <c r="N36" s="164">
        <v>3.4343078755685336E-3</v>
      </c>
      <c r="O36" s="165">
        <f>_xll.qlSimpleQuoteSetValue(D36,ROUND($N36,6),EvaluationDate)</f>
        <v>0</v>
      </c>
      <c r="P36" s="63"/>
    </row>
    <row r="37" spans="1:16" x14ac:dyDescent="0.2">
      <c r="A37" s="223"/>
      <c r="B37" s="202" t="s">
        <v>78</v>
      </c>
      <c r="C37" s="56" t="str">
        <f t="shared" si="4"/>
        <v>EUR9MD_SYNTH1Y_Quote</v>
      </c>
      <c r="D37" s="203" t="str">
        <f>_xll.qlSimpleQuote(C37,,RateTickValue,Permanent,EvaluationDate,ObjectOverwrite)</f>
        <v>EUR9MD_SYNTH1Y_Quote#0000</v>
      </c>
      <c r="E37" s="196" t="str">
        <f>_xll.ohRangeRetrieveError(D37)</f>
        <v/>
      </c>
      <c r="F37" s="67"/>
      <c r="H37" s="61"/>
      <c r="I37" s="181" t="s">
        <v>78</v>
      </c>
      <c r="J37" s="154">
        <f>'1YSynthDepo'!D50</f>
        <v>3.417892618383231E-3</v>
      </c>
      <c r="K37" s="62"/>
      <c r="L37" s="160">
        <v>4.8403784016282569E-3</v>
      </c>
      <c r="M37" s="60"/>
      <c r="N37" s="164">
        <v>3.417892618383231E-3</v>
      </c>
      <c r="O37" s="165">
        <f>_xll.qlSimpleQuoteSetValue(D37,ROUND($N37,6),EvaluationDate)</f>
        <v>0</v>
      </c>
      <c r="P37" s="63"/>
    </row>
    <row r="38" spans="1:16" x14ac:dyDescent="0.2">
      <c r="A38" s="224"/>
      <c r="B38" s="202" t="s">
        <v>79</v>
      </c>
      <c r="C38" s="56" t="str">
        <f t="shared" si="4"/>
        <v>EUR10MD_SYNTH1Y_Quote</v>
      </c>
      <c r="D38" s="203" t="str">
        <f>_xll.qlSimpleQuote(C38,,RateTickValue,Permanent,EvaluationDate,ObjectOverwrite)</f>
        <v>EUR10MD_SYNTH1Y_Quote#0000</v>
      </c>
      <c r="E38" s="196" t="str">
        <f>_xll.ohRangeRetrieveError(D38)</f>
        <v/>
      </c>
      <c r="F38" s="67"/>
      <c r="H38" s="61"/>
      <c r="I38" s="181" t="s">
        <v>79</v>
      </c>
      <c r="J38" s="154">
        <f>'1YSynthDepo'!D51</f>
        <v>3.411477361198836E-3</v>
      </c>
      <c r="K38" s="62"/>
      <c r="L38" s="160">
        <v>4.8168493542828112E-3</v>
      </c>
      <c r="M38" s="60"/>
      <c r="N38" s="164">
        <v>3.411477361198836E-3</v>
      </c>
      <c r="O38" s="165">
        <f>_xll.qlSimpleQuoteSetValue(D38,ROUND($N38,6),EvaluationDate)</f>
        <v>0</v>
      </c>
      <c r="P38" s="63"/>
    </row>
    <row r="39" spans="1:16" x14ac:dyDescent="0.2">
      <c r="A39" s="219"/>
      <c r="B39" s="202" t="s">
        <v>80</v>
      </c>
      <c r="C39" s="56" t="str">
        <f t="shared" si="4"/>
        <v>EUR11MD_SYNTH1Y_Quote</v>
      </c>
      <c r="D39" s="203" t="str">
        <f>_xll.qlSimpleQuote(C39,,RateTickValue,Permanent,EvaluationDate,ObjectOverwrite)</f>
        <v>EUR11MD_SYNTH1Y_Quote#0000</v>
      </c>
      <c r="E39" s="196" t="str">
        <f>_xll.ohRangeRetrieveError(D39)</f>
        <v/>
      </c>
      <c r="F39" s="67"/>
      <c r="H39" s="61"/>
      <c r="I39" s="181" t="s">
        <v>80</v>
      </c>
      <c r="J39" s="154">
        <f>'1YSynthDepo'!D52</f>
        <v>3.4043013058584299E-3</v>
      </c>
      <c r="K39" s="62"/>
      <c r="L39" s="160">
        <v>4.803111566528958E-3</v>
      </c>
      <c r="M39" s="60"/>
      <c r="N39" s="164">
        <v>3.4043013058584299E-3</v>
      </c>
      <c r="O39" s="165">
        <f>_xll.qlSimpleQuoteSetValue(D39,ROUND($N39,6),EvaluationDate)</f>
        <v>0</v>
      </c>
      <c r="P39" s="63"/>
    </row>
    <row r="40" spans="1:16" ht="12" thickBot="1" x14ac:dyDescent="0.25">
      <c r="A40" s="225"/>
      <c r="B40" s="222" t="s">
        <v>81</v>
      </c>
      <c r="C40" s="56" t="str">
        <f t="shared" si="4"/>
        <v>EUR1YD_SYNTH1Y_Quote</v>
      </c>
      <c r="D40" s="203" t="str">
        <f>_xll.qlSimpleQuote(C40,,RateTickValue,Permanent,EvaluationDate,ObjectOverwrite)</f>
        <v>EUR1YD_SYNTH1Y_Quote#0000</v>
      </c>
      <c r="E40" s="196" t="str">
        <f>_xll.ohRangeRetrieveError(D40)</f>
        <v/>
      </c>
      <c r="F40" s="67"/>
      <c r="H40" s="61"/>
      <c r="I40" s="226" t="s">
        <v>81</v>
      </c>
      <c r="J40" s="158">
        <f>'1YSynthDepo'!D53</f>
        <v>3.3999999999999989E-3</v>
      </c>
      <c r="K40" s="62"/>
      <c r="L40" s="162">
        <v>4.79E-3</v>
      </c>
      <c r="M40" s="60"/>
      <c r="N40" s="168">
        <v>3.3999999999999989E-3</v>
      </c>
      <c r="O40" s="169">
        <f>_xll.qlSimpleQuoteSetValue(D40,ROUND($N40,6),EvaluationDate)</f>
        <v>0</v>
      </c>
      <c r="P40" s="231"/>
    </row>
    <row r="41" spans="1:16" x14ac:dyDescent="0.2">
      <c r="A41" s="219">
        <v>1</v>
      </c>
      <c r="B41" s="202" t="str">
        <f t="shared" ref="B41:B84" si="5">A41&amp;"x"&amp;A41+Months12M&amp;"F"</f>
        <v>1x13F</v>
      </c>
      <c r="C41" s="54" t="str">
        <f t="shared" ref="C41:C84" si="6">Currency&amp;$B41&amp;"_SYNTH"&amp;"1Y"&amp;"_Quote"</f>
        <v>EUR1x13F_SYNTH1Y_Quote</v>
      </c>
      <c r="D41" s="221" t="str">
        <f>_xll.qlSimpleQuote(C41,,RateTickValue,Permanent,Trigger,ObjectOverwrite)</f>
        <v>EUR1x13F_SYNTH1Y_Quote#0000</v>
      </c>
      <c r="E41" s="195" t="str">
        <f>_xll.ohRangeRetrieveError(D41)</f>
        <v/>
      </c>
      <c r="F41" s="67"/>
      <c r="H41" s="59">
        <v>1</v>
      </c>
      <c r="I41" s="183" t="str">
        <f t="shared" ref="I41:I84" si="7">H41&amp;"x"&amp;(H41+Months12M)&amp;"F"</f>
        <v>1x13F</v>
      </c>
      <c r="J41" s="184">
        <f>SynthFra!N9</f>
        <v>3.3999370278947646E-3</v>
      </c>
      <c r="K41" s="118"/>
      <c r="L41" s="187">
        <v>4.7700661411049939E-3</v>
      </c>
      <c r="M41" s="119"/>
      <c r="N41" s="189">
        <v>3.3999370278947646E-3</v>
      </c>
      <c r="O41" s="190">
        <f>_xll.qlSimpleQuoteSetValue(D41,ROUND(N41,6),EvaluationDate)</f>
        <v>0</v>
      </c>
      <c r="P41" s="231">
        <f>_xll.ohTrigger(O41:O84)</f>
        <v>27</v>
      </c>
    </row>
    <row r="42" spans="1:16" x14ac:dyDescent="0.2">
      <c r="A42" s="219">
        <v>2</v>
      </c>
      <c r="B42" s="202" t="str">
        <f t="shared" si="5"/>
        <v>2x14F</v>
      </c>
      <c r="C42" s="56" t="str">
        <f t="shared" si="6"/>
        <v>EUR2x14F_SYNTH1Y_Quote</v>
      </c>
      <c r="D42" s="203" t="str">
        <f>_xll.qlSimpleQuote(C42,,RateTickValue,Permanent,Trigger,ObjectOverwrite)</f>
        <v>EUR2x14F_SYNTH1Y_Quote#0000</v>
      </c>
      <c r="E42" s="196" t="str">
        <f>_xll.ohRangeRetrieveError(D42)</f>
        <v/>
      </c>
      <c r="F42" s="67"/>
      <c r="H42" s="59">
        <v>2</v>
      </c>
      <c r="I42" s="183" t="str">
        <f t="shared" si="7"/>
        <v>2x14F</v>
      </c>
      <c r="J42" s="184">
        <f>SynthFra!N10</f>
        <v>3.4219836241303403E-3</v>
      </c>
      <c r="K42" s="119"/>
      <c r="L42" s="187">
        <v>4.7515568028134595E-3</v>
      </c>
      <c r="M42" s="119"/>
      <c r="N42" s="189">
        <v>3.4219836241303403E-3</v>
      </c>
      <c r="O42" s="190">
        <f>_xll.qlSimpleQuoteSetValue(D42,ROUND(N42,6),EvaluationDate)</f>
        <v>0</v>
      </c>
      <c r="P42" s="63"/>
    </row>
    <row r="43" spans="1:16" x14ac:dyDescent="0.2">
      <c r="A43" s="219">
        <v>3</v>
      </c>
      <c r="B43" s="202" t="str">
        <f t="shared" si="5"/>
        <v>3x15F</v>
      </c>
      <c r="C43" s="56" t="str">
        <f t="shared" si="6"/>
        <v>EUR3x15F_SYNTH1Y_Quote</v>
      </c>
      <c r="D43" s="203" t="str">
        <f>_xll.qlSimpleQuote(C43,,RateTickValue,Permanent,Trigger,ObjectOverwrite)</f>
        <v>EUR3x15F_SYNTH1Y_Quote#0000</v>
      </c>
      <c r="E43" s="196" t="str">
        <f>_xll.ohRangeRetrieveError(D43)</f>
        <v/>
      </c>
      <c r="F43" s="67"/>
      <c r="H43" s="59">
        <v>3</v>
      </c>
      <c r="I43" s="183" t="str">
        <f t="shared" si="7"/>
        <v>3x15F</v>
      </c>
      <c r="J43" s="184">
        <f>SynthFra!N11</f>
        <v>3.4880148430712888E-3</v>
      </c>
      <c r="K43" s="119"/>
      <c r="L43" s="187">
        <v>4.7396889879977432E-3</v>
      </c>
      <c r="M43" s="119"/>
      <c r="N43" s="189">
        <v>3.4880148430712888E-3</v>
      </c>
      <c r="O43" s="190">
        <f>_xll.qlSimpleQuoteSetValue(D43,ROUND(N43,6),EvaluationDate)</f>
        <v>0</v>
      </c>
      <c r="P43" s="63"/>
    </row>
    <row r="44" spans="1:16" x14ac:dyDescent="0.2">
      <c r="A44" s="219">
        <v>4</v>
      </c>
      <c r="B44" s="202" t="str">
        <f t="shared" si="5"/>
        <v>4x16F</v>
      </c>
      <c r="C44" s="56" t="str">
        <f t="shared" si="6"/>
        <v>EUR4x16F_SYNTH1Y_Quote</v>
      </c>
      <c r="D44" s="203" t="str">
        <f>_xll.qlSimpleQuote(C44,,RateTickValue,Permanent,Trigger,ObjectOverwrite)</f>
        <v>EUR4x16F_SYNTH1Y_Quote#0000</v>
      </c>
      <c r="E44" s="196" t="str">
        <f>_xll.ohRangeRetrieveError(D44)</f>
        <v/>
      </c>
      <c r="F44" s="67"/>
      <c r="H44" s="59">
        <v>4</v>
      </c>
      <c r="I44" s="183" t="str">
        <f t="shared" si="7"/>
        <v>4x16F</v>
      </c>
      <c r="J44" s="184">
        <f>SynthFra!N12</f>
        <v>3.4995803046857393E-3</v>
      </c>
      <c r="K44" s="119"/>
      <c r="L44" s="187">
        <v>4.7382947299897012E-3</v>
      </c>
      <c r="M44" s="119"/>
      <c r="N44" s="189">
        <v>3.4995803046857393E-3</v>
      </c>
      <c r="O44" s="190">
        <f>_xll.qlSimpleQuoteSetValue(D44,ROUND(N44,6),EvaluationDate)</f>
        <v>0</v>
      </c>
      <c r="P44" s="63"/>
    </row>
    <row r="45" spans="1:16" x14ac:dyDescent="0.2">
      <c r="A45" s="219">
        <v>5</v>
      </c>
      <c r="B45" s="202" t="str">
        <f t="shared" si="5"/>
        <v>5x17F</v>
      </c>
      <c r="C45" s="56" t="str">
        <f t="shared" si="6"/>
        <v>EUR5x17F_SYNTH1Y_Quote</v>
      </c>
      <c r="D45" s="203" t="str">
        <f>_xll.qlSimpleQuote(C45,,RateTickValue,Permanent,Trigger,ObjectOverwrite)</f>
        <v>EUR5x17F_SYNTH1Y_Quote#0000</v>
      </c>
      <c r="E45" s="196" t="str">
        <f>_xll.ohRangeRetrieveError(D45)</f>
        <v/>
      </c>
      <c r="F45" s="67"/>
      <c r="H45" s="59">
        <v>5</v>
      </c>
      <c r="I45" s="183" t="str">
        <f t="shared" si="7"/>
        <v>5x17F</v>
      </c>
      <c r="J45" s="184">
        <f>SynthFra!N13</f>
        <v>3.5105348655798561E-3</v>
      </c>
      <c r="K45" s="119"/>
      <c r="L45" s="187">
        <v>4.7409566804829774E-3</v>
      </c>
      <c r="M45" s="119"/>
      <c r="N45" s="189">
        <v>3.5105348655798561E-3</v>
      </c>
      <c r="O45" s="190">
        <f>_xll.qlSimpleQuoteSetValue(D45,ROUND(N45,6),EvaluationDate)</f>
        <v>0</v>
      </c>
      <c r="P45" s="63"/>
    </row>
    <row r="46" spans="1:16" x14ac:dyDescent="0.2">
      <c r="A46" s="219">
        <v>6</v>
      </c>
      <c r="B46" s="202" t="str">
        <f t="shared" si="5"/>
        <v>6x18F</v>
      </c>
      <c r="C46" s="56" t="str">
        <f t="shared" si="6"/>
        <v>EUR6x18F_SYNTH1Y_Quote</v>
      </c>
      <c r="D46" s="203" t="str">
        <f>_xll.qlSimpleQuote(C46,,RateTickValue,Permanent,Trigger,ObjectOverwrite)</f>
        <v>EUR6x18F_SYNTH1Y_Quote#0000</v>
      </c>
      <c r="E46" s="196" t="str">
        <f>_xll.ohRangeRetrieveError(D46)</f>
        <v/>
      </c>
      <c r="F46" s="67"/>
      <c r="H46" s="59">
        <v>6</v>
      </c>
      <c r="I46" s="183" t="str">
        <f t="shared" si="7"/>
        <v>6x18F</v>
      </c>
      <c r="J46" s="184">
        <f>SynthFra!N14</f>
        <v>3.5475181049578926E-3</v>
      </c>
      <c r="K46" s="119"/>
      <c r="L46" s="187">
        <v>4.7354559024513111E-3</v>
      </c>
      <c r="M46" s="119"/>
      <c r="N46" s="189">
        <v>3.5475181049578926E-3</v>
      </c>
      <c r="O46" s="190">
        <f>_xll.qlSimpleQuoteSetValue(D46,ROUND(N46,6),EvaluationDate)</f>
        <v>0</v>
      </c>
      <c r="P46" s="63"/>
    </row>
    <row r="47" spans="1:16" x14ac:dyDescent="0.2">
      <c r="A47" s="219">
        <v>7</v>
      </c>
      <c r="B47" s="202" t="str">
        <f t="shared" si="5"/>
        <v>7x19F</v>
      </c>
      <c r="C47" s="56" t="str">
        <f t="shared" si="6"/>
        <v>EUR7x19F_SYNTH1Y_Quote</v>
      </c>
      <c r="D47" s="203" t="str">
        <f>_xll.qlSimpleQuote(C47,,RateTickValue,Permanent,Trigger,ObjectOverwrite)</f>
        <v>EUR7x19F_SYNTH1Y_Quote#0000</v>
      </c>
      <c r="E47" s="196" t="str">
        <f>_xll.ohRangeRetrieveError(D47)</f>
        <v/>
      </c>
      <c r="F47" s="67"/>
      <c r="H47" s="59">
        <v>7</v>
      </c>
      <c r="I47" s="183" t="str">
        <f t="shared" si="7"/>
        <v>7x19F</v>
      </c>
      <c r="J47" s="184">
        <f>SynthFra!N15</f>
        <v>3.611095804336131E-3</v>
      </c>
      <c r="K47" s="119"/>
      <c r="L47" s="187">
        <v>4.7459620043513442E-3</v>
      </c>
      <c r="M47" s="119"/>
      <c r="N47" s="189">
        <v>3.611095804336131E-3</v>
      </c>
      <c r="O47" s="190">
        <f>_xll.qlSimpleQuoteSetValue(D47,ROUND(N47,6),EvaluationDate)</f>
        <v>0</v>
      </c>
      <c r="P47" s="63"/>
    </row>
    <row r="48" spans="1:16" x14ac:dyDescent="0.2">
      <c r="A48" s="219">
        <v>8</v>
      </c>
      <c r="B48" s="202" t="str">
        <f t="shared" si="5"/>
        <v>8x20F</v>
      </c>
      <c r="C48" s="56" t="str">
        <f t="shared" si="6"/>
        <v>EUR8x20F_SYNTH1Y_Quote</v>
      </c>
      <c r="D48" s="203" t="str">
        <f>_xll.qlSimpleQuote(C48,,RateTickValue,Permanent,Trigger,ObjectOverwrite)</f>
        <v>EUR8x20F_SYNTH1Y_Quote#0000</v>
      </c>
      <c r="E48" s="196" t="str">
        <f>_xll.ohRangeRetrieveError(D48)</f>
        <v/>
      </c>
      <c r="F48" s="67"/>
      <c r="H48" s="59">
        <v>8</v>
      </c>
      <c r="I48" s="183" t="str">
        <f t="shared" si="7"/>
        <v>8x20F</v>
      </c>
      <c r="J48" s="184">
        <f>SynthFra!N16</f>
        <v>3.6866891865705966E-3</v>
      </c>
      <c r="K48" s="119"/>
      <c r="L48" s="187">
        <v>4.7765964932973146E-3</v>
      </c>
      <c r="M48" s="119"/>
      <c r="N48" s="189">
        <v>3.6866891865705966E-3</v>
      </c>
      <c r="O48" s="190">
        <f>_xll.qlSimpleQuoteSetValue(D48,ROUND(N48,6),EvaluationDate)</f>
        <v>0</v>
      </c>
      <c r="P48" s="63"/>
    </row>
    <row r="49" spans="1:16" x14ac:dyDescent="0.2">
      <c r="A49" s="219">
        <v>9</v>
      </c>
      <c r="B49" s="202" t="str">
        <f t="shared" si="5"/>
        <v>9x21F</v>
      </c>
      <c r="C49" s="56" t="str">
        <f t="shared" si="6"/>
        <v>EUR9x21F_SYNTH1Y_Quote</v>
      </c>
      <c r="D49" s="203" t="str">
        <f>_xll.qlSimpleQuote(C49,,RateTickValue,Permanent,Trigger,ObjectOverwrite)</f>
        <v>EUR9x21F_SYNTH1Y_Quote#0000</v>
      </c>
      <c r="E49" s="196" t="str">
        <f>_xll.ohRangeRetrieveError(D49)</f>
        <v/>
      </c>
      <c r="F49" s="67"/>
      <c r="H49" s="59">
        <v>9</v>
      </c>
      <c r="I49" s="183" t="str">
        <f t="shared" si="7"/>
        <v>9x21F</v>
      </c>
      <c r="J49" s="184">
        <f>SynthFra!N17</f>
        <v>3.7710318270711592E-3</v>
      </c>
      <c r="K49" s="119"/>
      <c r="L49" s="187">
        <v>4.8164173191503441E-3</v>
      </c>
      <c r="M49" s="119"/>
      <c r="N49" s="189">
        <v>3.7710318270711592E-3</v>
      </c>
      <c r="O49" s="190">
        <f>_xll.qlSimpleQuoteSetValue(D49,ROUND(N49,6),EvaluationDate)</f>
        <v>0</v>
      </c>
      <c r="P49" s="63"/>
    </row>
    <row r="50" spans="1:16" x14ac:dyDescent="0.2">
      <c r="A50" s="219">
        <v>10</v>
      </c>
      <c r="B50" s="202" t="str">
        <f t="shared" si="5"/>
        <v>10x22F</v>
      </c>
      <c r="C50" s="56" t="str">
        <f t="shared" si="6"/>
        <v>EUR10x22F_SYNTH1Y_Quote</v>
      </c>
      <c r="D50" s="203" t="str">
        <f>_xll.qlSimpleQuote(C50,,RateTickValue,Permanent,Trigger,ObjectOverwrite)</f>
        <v>EUR10x22F_SYNTH1Y_Quote#0000</v>
      </c>
      <c r="E50" s="196" t="str">
        <f>_xll.ohRangeRetrieveError(D50)</f>
        <v/>
      </c>
      <c r="F50" s="67"/>
      <c r="H50" s="59">
        <v>10</v>
      </c>
      <c r="I50" s="183" t="str">
        <f t="shared" si="7"/>
        <v>10x22F</v>
      </c>
      <c r="J50" s="184">
        <f>SynthFra!N18</f>
        <v>3.8592248038161621E-3</v>
      </c>
      <c r="K50" s="119"/>
      <c r="L50" s="187">
        <v>4.8794754983958995E-3</v>
      </c>
      <c r="M50" s="119"/>
      <c r="N50" s="189">
        <v>3.8592248038161621E-3</v>
      </c>
      <c r="O50" s="190">
        <f>_xll.qlSimpleQuoteSetValue(D50,ROUND(N50,6),EvaluationDate)</f>
        <v>0</v>
      </c>
      <c r="P50" s="63"/>
    </row>
    <row r="51" spans="1:16" x14ac:dyDescent="0.2">
      <c r="A51" s="219">
        <v>11</v>
      </c>
      <c r="B51" s="202" t="str">
        <f t="shared" si="5"/>
        <v>11x23F</v>
      </c>
      <c r="C51" s="56" t="str">
        <f t="shared" si="6"/>
        <v>EUR11x23F_SYNTH1Y_Quote</v>
      </c>
      <c r="D51" s="203" t="str">
        <f>_xll.qlSimpleQuote(C51,,RateTickValue,Permanent,Trigger,ObjectOverwrite)</f>
        <v>EUR11x23F_SYNTH1Y_Quote#0000</v>
      </c>
      <c r="E51" s="196" t="str">
        <f>_xll.ohRangeRetrieveError(D51)</f>
        <v/>
      </c>
      <c r="F51" s="67"/>
      <c r="H51" s="59">
        <v>11</v>
      </c>
      <c r="I51" s="183" t="str">
        <f t="shared" si="7"/>
        <v>11x23F</v>
      </c>
      <c r="J51" s="184">
        <f>SynthFra!N19</f>
        <v>3.9512189487501377E-3</v>
      </c>
      <c r="K51" s="119"/>
      <c r="L51" s="187">
        <v>4.9383818223575852E-3</v>
      </c>
      <c r="M51" s="119"/>
      <c r="N51" s="189">
        <v>3.9512189487501377E-3</v>
      </c>
      <c r="O51" s="190">
        <f>_xll.qlSimpleQuoteSetValue(D51,ROUND(N51,6),EvaluationDate)</f>
        <v>0</v>
      </c>
      <c r="P51" s="63"/>
    </row>
    <row r="52" spans="1:16" x14ac:dyDescent="0.2">
      <c r="A52" s="219">
        <v>13</v>
      </c>
      <c r="B52" s="202" t="str">
        <f t="shared" si="5"/>
        <v>13x25F</v>
      </c>
      <c r="C52" s="56" t="str">
        <f t="shared" si="6"/>
        <v>EUR13x25F_SYNTH1Y_Quote</v>
      </c>
      <c r="D52" s="203" t="str">
        <f>_xll.qlSimpleQuote(C52,,RateTickValue,Permanent,Trigger,ObjectOverwrite)</f>
        <v>EUR13x25F_SYNTH1Y_Quote#0000</v>
      </c>
      <c r="E52" s="196" t="str">
        <f>_xll.ohRangeRetrieveError(D52)</f>
        <v/>
      </c>
      <c r="F52" s="67"/>
      <c r="H52" s="59">
        <v>13</v>
      </c>
      <c r="I52" s="183" t="str">
        <f t="shared" si="7"/>
        <v>13x25F</v>
      </c>
      <c r="J52" s="184">
        <f>SynthFra!N21</f>
        <v>4.1489098616497785E-3</v>
      </c>
      <c r="K52" s="119"/>
      <c r="L52" s="187">
        <v>5.1446630132367475E-3</v>
      </c>
      <c r="M52" s="119"/>
      <c r="N52" s="189">
        <v>4.1489098616497785E-3</v>
      </c>
      <c r="O52" s="190">
        <f>_xll.qlSimpleQuoteSetValue(D52,ROUND(N52,6),EvaluationDate)</f>
        <v>0</v>
      </c>
      <c r="P52" s="63"/>
    </row>
    <row r="53" spans="1:16" x14ac:dyDescent="0.2">
      <c r="A53" s="219">
        <v>14</v>
      </c>
      <c r="B53" s="202" t="str">
        <f t="shared" si="5"/>
        <v>14x26F</v>
      </c>
      <c r="C53" s="56" t="str">
        <f t="shared" si="6"/>
        <v>EUR14x26F_SYNTH1Y_Quote</v>
      </c>
      <c r="D53" s="203" t="str">
        <f>_xll.qlSimpleQuote(C53,,RateTickValue,Permanent,Trigger,ObjectOverwrite)</f>
        <v>EUR14x26F_SYNTH1Y_Quote#0000</v>
      </c>
      <c r="E53" s="196" t="str">
        <f>_xll.ohRangeRetrieveError(D53)</f>
        <v/>
      </c>
      <c r="F53" s="67"/>
      <c r="H53" s="59">
        <v>14</v>
      </c>
      <c r="I53" s="183" t="str">
        <f t="shared" si="7"/>
        <v>14x26F</v>
      </c>
      <c r="J53" s="184">
        <f>SynthFra!N22</f>
        <v>4.2417618008381737E-3</v>
      </c>
      <c r="K53" s="119"/>
      <c r="L53" s="187">
        <v>5.2894906890553163E-3</v>
      </c>
      <c r="M53" s="119"/>
      <c r="N53" s="189">
        <v>4.2417618008381737E-3</v>
      </c>
      <c r="O53" s="190">
        <f>_xll.qlSimpleQuoteSetValue(D53,ROUND(N53,6),EvaluationDate)</f>
        <v>0</v>
      </c>
      <c r="P53" s="63"/>
    </row>
    <row r="54" spans="1:16" x14ac:dyDescent="0.2">
      <c r="A54" s="219">
        <v>15</v>
      </c>
      <c r="B54" s="202" t="str">
        <f t="shared" si="5"/>
        <v>15x27F</v>
      </c>
      <c r="C54" s="56" t="str">
        <f t="shared" si="6"/>
        <v>EUR15x27F_SYNTH1Y_Quote</v>
      </c>
      <c r="D54" s="203" t="str">
        <f>_xll.qlSimpleQuote(C54,,RateTickValue,Permanent,Trigger,ObjectOverwrite)</f>
        <v>EUR15x27F_SYNTH1Y_Quote#0000</v>
      </c>
      <c r="E54" s="196" t="str">
        <f>_xll.ohRangeRetrieveError(D54)</f>
        <v/>
      </c>
      <c r="F54" s="67"/>
      <c r="H54" s="59">
        <v>15</v>
      </c>
      <c r="I54" s="183" t="str">
        <f t="shared" si="7"/>
        <v>15x27F</v>
      </c>
      <c r="J54" s="184">
        <f>SynthFra!N23</f>
        <v>4.3084361663195776E-3</v>
      </c>
      <c r="K54" s="119"/>
      <c r="L54" s="187">
        <v>5.433394050819578E-3</v>
      </c>
      <c r="M54" s="119"/>
      <c r="N54" s="189">
        <v>4.3084361663195776E-3</v>
      </c>
      <c r="O54" s="190">
        <f>_xll.qlSimpleQuoteSetValue(D54,ROUND(N54,6),EvaluationDate)</f>
        <v>0</v>
      </c>
      <c r="P54" s="63"/>
    </row>
    <row r="55" spans="1:16" x14ac:dyDescent="0.2">
      <c r="A55" s="219">
        <v>16</v>
      </c>
      <c r="B55" s="202" t="str">
        <f t="shared" si="5"/>
        <v>16x28F</v>
      </c>
      <c r="C55" s="56" t="str">
        <f t="shared" si="6"/>
        <v>EUR16x28F_SYNTH1Y_Quote</v>
      </c>
      <c r="D55" s="203" t="str">
        <f>_xll.qlSimpleQuote(C55,,RateTickValue,Permanent,Trigger,ObjectOverwrite)</f>
        <v>EUR16x28F_SYNTH1Y_Quote#0000</v>
      </c>
      <c r="E55" s="196" t="str">
        <f>_xll.ohRangeRetrieveError(D55)</f>
        <v/>
      </c>
      <c r="F55" s="67"/>
      <c r="H55" s="59">
        <v>16</v>
      </c>
      <c r="I55" s="183" t="str">
        <f t="shared" si="7"/>
        <v>16x28F</v>
      </c>
      <c r="J55" s="184">
        <f>SynthFra!N24</f>
        <v>4.4217940896470005E-3</v>
      </c>
      <c r="K55" s="119"/>
      <c r="L55" s="187">
        <v>5.5531179599257238E-3</v>
      </c>
      <c r="M55" s="119"/>
      <c r="N55" s="189">
        <v>4.4217940896470005E-3</v>
      </c>
      <c r="O55" s="190">
        <f>_xll.qlSimpleQuoteSetValue(D55,ROUND(N55,6),EvaluationDate)</f>
        <v>0</v>
      </c>
      <c r="P55" s="63"/>
    </row>
    <row r="56" spans="1:16" x14ac:dyDescent="0.2">
      <c r="A56" s="219">
        <v>17</v>
      </c>
      <c r="B56" s="202" t="str">
        <f t="shared" si="5"/>
        <v>17x29F</v>
      </c>
      <c r="C56" s="56" t="str">
        <f t="shared" si="6"/>
        <v>EUR17x29F_SYNTH1Y_Quote</v>
      </c>
      <c r="D56" s="203" t="str">
        <f>_xll.qlSimpleQuote(C56,,RateTickValue,Permanent,Trigger,ObjectOverwrite)</f>
        <v>EUR17x29F_SYNTH1Y_Quote#0000</v>
      </c>
      <c r="E56" s="196" t="str">
        <f>_xll.ohRangeRetrieveError(D56)</f>
        <v/>
      </c>
      <c r="F56" s="67"/>
      <c r="H56" s="59">
        <v>17</v>
      </c>
      <c r="I56" s="183" t="str">
        <f t="shared" si="7"/>
        <v>17x29F</v>
      </c>
      <c r="J56" s="184">
        <f>SynthFra!N25</f>
        <v>4.550867330938832E-3</v>
      </c>
      <c r="K56" s="119"/>
      <c r="L56" s="187">
        <v>5.6834582938863603E-3</v>
      </c>
      <c r="M56" s="119"/>
      <c r="N56" s="189">
        <v>4.550867330938832E-3</v>
      </c>
      <c r="O56" s="190">
        <f>_xll.qlSimpleQuoteSetValue(D56,ROUND(N56,6),EvaluationDate)</f>
        <v>0</v>
      </c>
      <c r="P56" s="63"/>
    </row>
    <row r="57" spans="1:16" x14ac:dyDescent="0.2">
      <c r="A57" s="219">
        <v>18</v>
      </c>
      <c r="B57" s="202" t="str">
        <f t="shared" si="5"/>
        <v>18x30F</v>
      </c>
      <c r="C57" s="56" t="str">
        <f t="shared" si="6"/>
        <v>EUR18x30F_SYNTH1Y_Quote</v>
      </c>
      <c r="D57" s="203" t="str">
        <f>_xll.qlSimpleQuote(C57,,RateTickValue,Permanent,Trigger,ObjectOverwrite)</f>
        <v>EUR18x30F_SYNTH1Y_Quote#0000</v>
      </c>
      <c r="E57" s="196" t="str">
        <f>_xll.ohRangeRetrieveError(D57)</f>
        <v/>
      </c>
      <c r="F57" s="67"/>
      <c r="H57" s="59">
        <v>18</v>
      </c>
      <c r="I57" s="183" t="str">
        <f t="shared" si="7"/>
        <v>18x30F</v>
      </c>
      <c r="J57" s="184">
        <f>SynthFra!N26</f>
        <v>4.6704734053058484E-3</v>
      </c>
      <c r="K57" s="119"/>
      <c r="L57" s="187">
        <v>5.8112493961860624E-3</v>
      </c>
      <c r="M57" s="119"/>
      <c r="N57" s="189">
        <v>4.6704734053058484E-3</v>
      </c>
      <c r="O57" s="190">
        <f>_xll.qlSimpleQuoteSetValue(D57,ROUND(N57,6),EvaluationDate)</f>
        <v>0</v>
      </c>
      <c r="P57" s="63"/>
    </row>
    <row r="58" spans="1:16" x14ac:dyDescent="0.2">
      <c r="A58" s="219">
        <v>19</v>
      </c>
      <c r="B58" s="202" t="str">
        <f t="shared" si="5"/>
        <v>19x31F</v>
      </c>
      <c r="C58" s="56" t="str">
        <f t="shared" si="6"/>
        <v>EUR19x31F_SYNTH1Y_Quote</v>
      </c>
      <c r="D58" s="203" t="str">
        <f>_xll.qlSimpleQuote(C58,,RateTickValue,Permanent,Trigger,ObjectOverwrite)</f>
        <v>EUR19x31F_SYNTH1Y_Quote#0000</v>
      </c>
      <c r="E58" s="196" t="str">
        <f>_xll.ohRangeRetrieveError(D58)</f>
        <v/>
      </c>
      <c r="F58" s="67"/>
      <c r="H58" s="59">
        <v>19</v>
      </c>
      <c r="I58" s="183" t="str">
        <f t="shared" si="7"/>
        <v>19x31F</v>
      </c>
      <c r="J58" s="184">
        <f>SynthFra!N27</f>
        <v>4.8009438433747123E-3</v>
      </c>
      <c r="K58" s="119"/>
      <c r="L58" s="187">
        <v>5.9154011710082204E-3</v>
      </c>
      <c r="M58" s="119"/>
      <c r="N58" s="189">
        <v>4.8009438433747123E-3</v>
      </c>
      <c r="O58" s="190">
        <f>_xll.qlSimpleQuoteSetValue(D58,ROUND(N58,6),EvaluationDate)</f>
        <v>0</v>
      </c>
      <c r="P58" s="63"/>
    </row>
    <row r="59" spans="1:16" x14ac:dyDescent="0.2">
      <c r="A59" s="219">
        <v>20</v>
      </c>
      <c r="B59" s="202" t="str">
        <f t="shared" si="5"/>
        <v>20x32F</v>
      </c>
      <c r="C59" s="56" t="str">
        <f t="shared" si="6"/>
        <v>EUR20x32F_SYNTH1Y_Quote</v>
      </c>
      <c r="D59" s="203" t="str">
        <f>_xll.qlSimpleQuote(C59,,RateTickValue,Permanent,Trigger,ObjectOverwrite)</f>
        <v>EUR20x32F_SYNTH1Y_Quote#0000</v>
      </c>
      <c r="E59" s="196" t="str">
        <f>_xll.ohRangeRetrieveError(D59)</f>
        <v/>
      </c>
      <c r="F59" s="67"/>
      <c r="H59" s="59">
        <v>20</v>
      </c>
      <c r="I59" s="183" t="str">
        <f t="shared" si="7"/>
        <v>20x32F</v>
      </c>
      <c r="J59" s="184">
        <f>SynthFra!N28</f>
        <v>4.9217367373526177E-3</v>
      </c>
      <c r="K59" s="119"/>
      <c r="L59" s="187">
        <v>6.031980065765382E-3</v>
      </c>
      <c r="M59" s="119"/>
      <c r="N59" s="189">
        <v>4.9217367373526177E-3</v>
      </c>
      <c r="O59" s="190">
        <f>_xll.qlSimpleQuoteSetValue(D59,ROUND(N59,6),EvaluationDate)</f>
        <v>0</v>
      </c>
      <c r="P59" s="63"/>
    </row>
    <row r="60" spans="1:16" x14ac:dyDescent="0.2">
      <c r="A60" s="219">
        <v>21</v>
      </c>
      <c r="B60" s="202" t="str">
        <f t="shared" si="5"/>
        <v>21x33F</v>
      </c>
      <c r="C60" s="56" t="str">
        <f t="shared" si="6"/>
        <v>EUR21x33F_SYNTH1Y_Quote</v>
      </c>
      <c r="D60" s="203" t="str">
        <f>_xll.qlSimpleQuote(C60,,RateTickValue,Permanent,Trigger,ObjectOverwrite)</f>
        <v>EUR21x33F_SYNTH1Y_Quote#0000</v>
      </c>
      <c r="E60" s="196" t="str">
        <f>_xll.ohRangeRetrieveError(D60)</f>
        <v/>
      </c>
      <c r="F60" s="67"/>
      <c r="H60" s="59">
        <v>21</v>
      </c>
      <c r="I60" s="183" t="str">
        <f t="shared" si="7"/>
        <v>21x33F</v>
      </c>
      <c r="J60" s="184">
        <f>SynthFra!N29</f>
        <v>5.048604055293374E-3</v>
      </c>
      <c r="K60" s="119"/>
      <c r="L60" s="187">
        <v>6.1445746360823082E-3</v>
      </c>
      <c r="M60" s="119"/>
      <c r="N60" s="189">
        <v>5.048604055293374E-3</v>
      </c>
      <c r="O60" s="190">
        <f>_xll.qlSimpleQuoteSetValue(D60,ROUND(N60,6),EvaluationDate)</f>
        <v>0</v>
      </c>
      <c r="P60" s="63"/>
    </row>
    <row r="61" spans="1:16" x14ac:dyDescent="0.2">
      <c r="A61" s="219">
        <v>22</v>
      </c>
      <c r="B61" s="202" t="str">
        <f t="shared" si="5"/>
        <v>22x34F</v>
      </c>
      <c r="C61" s="56" t="str">
        <f t="shared" si="6"/>
        <v>EUR22x34F_SYNTH1Y_Quote</v>
      </c>
      <c r="D61" s="203" t="str">
        <f>_xll.qlSimpleQuote(C61,,RateTickValue,Permanent,Trigger,ObjectOverwrite)</f>
        <v>EUR22x34F_SYNTH1Y_Quote#0000</v>
      </c>
      <c r="E61" s="196" t="str">
        <f>_xll.ohRangeRetrieveError(D61)</f>
        <v/>
      </c>
      <c r="F61" s="67"/>
      <c r="H61" s="59">
        <v>22</v>
      </c>
      <c r="I61" s="183" t="str">
        <f t="shared" si="7"/>
        <v>22x34F</v>
      </c>
      <c r="J61" s="184">
        <f>SynthFra!N30</f>
        <v>5.1943056069139156E-3</v>
      </c>
      <c r="K61" s="119"/>
      <c r="L61" s="187">
        <v>6.2393291505778601E-3</v>
      </c>
      <c r="M61" s="119"/>
      <c r="N61" s="189">
        <v>5.1943056069139156E-3</v>
      </c>
      <c r="O61" s="190">
        <f>_xll.qlSimpleQuoteSetValue(D61,ROUND(N61,6),EvaluationDate)</f>
        <v>0</v>
      </c>
      <c r="P61" s="63"/>
    </row>
    <row r="62" spans="1:16" x14ac:dyDescent="0.2">
      <c r="A62" s="219">
        <v>23</v>
      </c>
      <c r="B62" s="202" t="str">
        <f t="shared" si="5"/>
        <v>23x35F</v>
      </c>
      <c r="C62" s="56" t="str">
        <f t="shared" si="6"/>
        <v>EUR23x35F_SYNTH1Y_Quote</v>
      </c>
      <c r="D62" s="203" t="str">
        <f>_xll.qlSimpleQuote(C62,,RateTickValue,Permanent,Trigger,ObjectOverwrite)</f>
        <v>EUR23x35F_SYNTH1Y_Quote#0000</v>
      </c>
      <c r="E62" s="196" t="str">
        <f>_xll.ohRangeRetrieveError(D62)</f>
        <v/>
      </c>
      <c r="F62" s="67"/>
      <c r="H62" s="59">
        <v>23</v>
      </c>
      <c r="I62" s="183" t="str">
        <f t="shared" si="7"/>
        <v>23x35F</v>
      </c>
      <c r="J62" s="184">
        <f>SynthFra!N31</f>
        <v>5.3369602494596187E-3</v>
      </c>
      <c r="K62" s="119"/>
      <c r="L62" s="187">
        <v>6.3360222212636803E-3</v>
      </c>
      <c r="M62" s="119"/>
      <c r="N62" s="189">
        <v>5.3369602494596187E-3</v>
      </c>
      <c r="O62" s="190">
        <f>_xll.qlSimpleQuoteSetValue(D62,ROUND(N62,6),EvaluationDate)</f>
        <v>0</v>
      </c>
      <c r="P62" s="63"/>
    </row>
    <row r="63" spans="1:16" x14ac:dyDescent="0.2">
      <c r="A63" s="219">
        <v>25</v>
      </c>
      <c r="B63" s="202" t="str">
        <f t="shared" si="5"/>
        <v>25x37F</v>
      </c>
      <c r="C63" s="56" t="str">
        <f t="shared" si="6"/>
        <v>EUR25x37F_SYNTH1Y_Quote</v>
      </c>
      <c r="D63" s="203" t="str">
        <f>_xll.qlSimpleQuote(C63,,RateTickValue,Permanent,Trigger,ObjectOverwrite)</f>
        <v>EUR25x37F_SYNTH1Y_Quote#0000</v>
      </c>
      <c r="E63" s="196" t="str">
        <f>_xll.ohRangeRetrieveError(D63)</f>
        <v/>
      </c>
      <c r="F63" s="67"/>
      <c r="H63" s="59">
        <v>25</v>
      </c>
      <c r="I63" s="183" t="str">
        <f t="shared" si="7"/>
        <v>25x37F</v>
      </c>
      <c r="J63" s="184">
        <f>SynthFra!N33</f>
        <v>5.6589881121664335E-3</v>
      </c>
      <c r="K63" s="119"/>
      <c r="L63" s="187">
        <v>6.639818956233931E-3</v>
      </c>
      <c r="M63" s="119"/>
      <c r="N63" s="189">
        <v>5.6589881121664335E-3</v>
      </c>
      <c r="O63" s="190">
        <f>_xll.qlSimpleQuoteSetValue(D63,ROUND(N63,6),EvaluationDate)</f>
        <v>0</v>
      </c>
      <c r="P63" s="63"/>
    </row>
    <row r="64" spans="1:16" x14ac:dyDescent="0.2">
      <c r="A64" s="219">
        <v>26</v>
      </c>
      <c r="B64" s="202" t="str">
        <f t="shared" si="5"/>
        <v>26x38F</v>
      </c>
      <c r="C64" s="56" t="str">
        <f t="shared" si="6"/>
        <v>EUR26x38F_SYNTH1Y_Quote</v>
      </c>
      <c r="D64" s="203" t="str">
        <f>_xll.qlSimpleQuote(C64,,RateTickValue,Permanent,Trigger,ObjectOverwrite)</f>
        <v>EUR26x38F_SYNTH1Y_Quote#0000</v>
      </c>
      <c r="E64" s="196" t="str">
        <f>_xll.ohRangeRetrieveError(D64)</f>
        <v/>
      </c>
      <c r="F64" s="67"/>
      <c r="H64" s="59">
        <v>26</v>
      </c>
      <c r="I64" s="183" t="str">
        <f t="shared" si="7"/>
        <v>26x38F</v>
      </c>
      <c r="J64" s="184">
        <f>SynthFra!N34</f>
        <v>5.8242150846866472E-3</v>
      </c>
      <c r="K64" s="119"/>
      <c r="L64" s="187">
        <v>6.8510723261093424E-3</v>
      </c>
      <c r="M64" s="119"/>
      <c r="N64" s="189">
        <v>5.8242150846866472E-3</v>
      </c>
      <c r="O64" s="190">
        <f>_xll.qlSimpleQuoteSetValue(D64,ROUND(N64,6),EvaluationDate)</f>
        <v>0</v>
      </c>
      <c r="P64" s="63"/>
    </row>
    <row r="65" spans="1:16" x14ac:dyDescent="0.2">
      <c r="A65" s="219">
        <v>27</v>
      </c>
      <c r="B65" s="202" t="str">
        <f t="shared" si="5"/>
        <v>27x39F</v>
      </c>
      <c r="C65" s="56" t="str">
        <f t="shared" si="6"/>
        <v>EUR27x39F_SYNTH1Y_Quote</v>
      </c>
      <c r="D65" s="203" t="str">
        <f>_xll.qlSimpleQuote(C65,,RateTickValue,Permanent,Trigger,ObjectOverwrite)</f>
        <v>EUR27x39F_SYNTH1Y_Quote#0000</v>
      </c>
      <c r="E65" s="196" t="str">
        <f>_xll.ohRangeRetrieveError(D65)</f>
        <v/>
      </c>
      <c r="F65" s="67"/>
      <c r="H65" s="59">
        <v>27</v>
      </c>
      <c r="I65" s="183" t="str">
        <f t="shared" si="7"/>
        <v>27x39F</v>
      </c>
      <c r="J65" s="184">
        <f>SynthFra!N35</f>
        <v>6.0126346903936539E-3</v>
      </c>
      <c r="K65" s="119"/>
      <c r="L65" s="187">
        <v>7.0436982688492755E-3</v>
      </c>
      <c r="M65" s="119"/>
      <c r="N65" s="189">
        <v>6.0126346903936539E-3</v>
      </c>
      <c r="O65" s="190">
        <f>_xll.qlSimpleQuoteSetValue(D65,ROUND(N65,6),EvaluationDate)</f>
        <v>0</v>
      </c>
      <c r="P65" s="63"/>
    </row>
    <row r="66" spans="1:16" x14ac:dyDescent="0.2">
      <c r="A66" s="219">
        <v>28</v>
      </c>
      <c r="B66" s="202" t="str">
        <f t="shared" si="5"/>
        <v>28x40F</v>
      </c>
      <c r="C66" s="56" t="str">
        <f t="shared" si="6"/>
        <v>EUR28x40F_SYNTH1Y_Quote</v>
      </c>
      <c r="D66" s="203" t="str">
        <f>_xll.qlSimpleQuote(C66,,RateTickValue,Permanent,Trigger,ObjectOverwrite)</f>
        <v>EUR28x40F_SYNTH1Y_Quote#0000</v>
      </c>
      <c r="E66" s="196" t="str">
        <f>_xll.ohRangeRetrieveError(D66)</f>
        <v/>
      </c>
      <c r="F66" s="67"/>
      <c r="H66" s="59">
        <v>28</v>
      </c>
      <c r="I66" s="183" t="str">
        <f t="shared" si="7"/>
        <v>28x40F</v>
      </c>
      <c r="J66" s="184">
        <f>SynthFra!N36</f>
        <v>6.1805365021413757E-3</v>
      </c>
      <c r="K66" s="119"/>
      <c r="L66" s="187">
        <v>7.2438428722524009E-3</v>
      </c>
      <c r="M66" s="119"/>
      <c r="N66" s="189">
        <v>6.1805365021413757E-3</v>
      </c>
      <c r="O66" s="190">
        <f>_xll.qlSimpleQuoteSetValue(D66,ROUND(N66,6),EvaluationDate)</f>
        <v>0</v>
      </c>
      <c r="P66" s="63"/>
    </row>
    <row r="67" spans="1:16" x14ac:dyDescent="0.2">
      <c r="A67" s="219">
        <v>29</v>
      </c>
      <c r="B67" s="202" t="str">
        <f t="shared" si="5"/>
        <v>29x41F</v>
      </c>
      <c r="C67" s="56" t="str">
        <f t="shared" si="6"/>
        <v>EUR29x41F_SYNTH1Y_Quote</v>
      </c>
      <c r="D67" s="203" t="str">
        <f>_xll.qlSimpleQuote(C67,,RateTickValue,Permanent,Trigger,ObjectOverwrite)</f>
        <v>EUR29x41F_SYNTH1Y_Quote#0000</v>
      </c>
      <c r="E67" s="196" t="str">
        <f>_xll.ohRangeRetrieveError(D67)</f>
        <v/>
      </c>
      <c r="F67" s="67"/>
      <c r="H67" s="59">
        <v>29</v>
      </c>
      <c r="I67" s="183" t="str">
        <f t="shared" si="7"/>
        <v>29x41F</v>
      </c>
      <c r="J67" s="184">
        <f>SynthFra!N37</f>
        <v>6.3661138293286384E-3</v>
      </c>
      <c r="K67" s="119"/>
      <c r="L67" s="187">
        <v>7.4579744439444307E-3</v>
      </c>
      <c r="M67" s="119"/>
      <c r="N67" s="189">
        <v>6.3661138293286384E-3</v>
      </c>
      <c r="O67" s="190">
        <f>_xll.qlSimpleQuoteSetValue(D67,ROUND(N67,6),EvaluationDate)</f>
        <v>0</v>
      </c>
      <c r="P67" s="63"/>
    </row>
    <row r="68" spans="1:16" x14ac:dyDescent="0.2">
      <c r="A68" s="219">
        <v>30</v>
      </c>
      <c r="B68" s="202" t="str">
        <f t="shared" si="5"/>
        <v>30x42F</v>
      </c>
      <c r="C68" s="56" t="str">
        <f t="shared" si="6"/>
        <v>EUR30x42F_SYNTH1Y_Quote</v>
      </c>
      <c r="D68" s="203" t="str">
        <f>_xll.qlSimpleQuote(C68,,RateTickValue,Permanent,Trigger,ObjectOverwrite)</f>
        <v>EUR30x42F_SYNTH1Y_Quote#0000</v>
      </c>
      <c r="E68" s="196" t="str">
        <f>_xll.ohRangeRetrieveError(D68)</f>
        <v/>
      </c>
      <c r="F68" s="67"/>
      <c r="H68" s="59">
        <v>30</v>
      </c>
      <c r="I68" s="183" t="str">
        <f t="shared" si="7"/>
        <v>30x42F</v>
      </c>
      <c r="J68" s="184">
        <f>SynthFra!N38</f>
        <v>6.5544832920585317E-3</v>
      </c>
      <c r="K68" s="119"/>
      <c r="L68" s="187">
        <v>7.6590058479533846E-3</v>
      </c>
      <c r="M68" s="119"/>
      <c r="N68" s="189">
        <v>6.5544832920585317E-3</v>
      </c>
      <c r="O68" s="190">
        <f>_xll.qlSimpleQuoteSetValue(D68,ROUND(N68,6),EvaluationDate)</f>
        <v>0</v>
      </c>
      <c r="P68" s="63"/>
    </row>
    <row r="69" spans="1:16" x14ac:dyDescent="0.2">
      <c r="A69" s="219">
        <v>31</v>
      </c>
      <c r="B69" s="202" t="str">
        <f t="shared" si="5"/>
        <v>31x43F</v>
      </c>
      <c r="C69" s="56" t="str">
        <f t="shared" si="6"/>
        <v>EUR31x43F_SYNTH1Y_Quote</v>
      </c>
      <c r="D69" s="203" t="str">
        <f>_xll.qlSimpleQuote(C69,,RateTickValue,Permanent,Trigger,ObjectOverwrite)</f>
        <v>EUR31x43F_SYNTH1Y_Quote#0000</v>
      </c>
      <c r="E69" s="196" t="str">
        <f>_xll.ohRangeRetrieveError(D69)</f>
        <v/>
      </c>
      <c r="F69" s="67"/>
      <c r="H69" s="59">
        <v>31</v>
      </c>
      <c r="I69" s="183" t="str">
        <f t="shared" si="7"/>
        <v>31x43F</v>
      </c>
      <c r="J69" s="184">
        <f>SynthFra!N39</f>
        <v>6.7622007867425941E-3</v>
      </c>
      <c r="K69" s="119"/>
      <c r="L69" s="187">
        <v>7.8466083864149657E-3</v>
      </c>
      <c r="M69" s="119"/>
      <c r="N69" s="189">
        <v>6.7622007867425941E-3</v>
      </c>
      <c r="O69" s="190">
        <f>_xll.qlSimpleQuoteSetValue(D69,ROUND(N69,6),EvaluationDate)</f>
        <v>0</v>
      </c>
      <c r="P69" s="63"/>
    </row>
    <row r="70" spans="1:16" x14ac:dyDescent="0.2">
      <c r="A70" s="219">
        <v>32</v>
      </c>
      <c r="B70" s="202" t="str">
        <f t="shared" si="5"/>
        <v>32x44F</v>
      </c>
      <c r="C70" s="56" t="str">
        <f t="shared" si="6"/>
        <v>EUR32x44F_SYNTH1Y_Quote</v>
      </c>
      <c r="D70" s="203" t="str">
        <f>_xll.qlSimpleQuote(C70,,RateTickValue,Permanent,Trigger,ObjectOverwrite)</f>
        <v>EUR32x44F_SYNTH1Y_Quote#0000</v>
      </c>
      <c r="E70" s="196" t="str">
        <f>_xll.ohRangeRetrieveError(D70)</f>
        <v/>
      </c>
      <c r="F70" s="67"/>
      <c r="H70" s="59">
        <v>32</v>
      </c>
      <c r="I70" s="183" t="str">
        <f t="shared" si="7"/>
        <v>32x44F</v>
      </c>
      <c r="J70" s="184">
        <f>SynthFra!N40</f>
        <v>6.9572493342083506E-3</v>
      </c>
      <c r="K70" s="119"/>
      <c r="L70" s="187">
        <v>8.0740132699437667E-3</v>
      </c>
      <c r="M70" s="119"/>
      <c r="N70" s="189">
        <v>6.9572493342083506E-3</v>
      </c>
      <c r="O70" s="190">
        <f>_xll.qlSimpleQuoteSetValue(D70,ROUND(N70,6),EvaluationDate)</f>
        <v>0</v>
      </c>
      <c r="P70" s="63"/>
    </row>
    <row r="71" spans="1:16" x14ac:dyDescent="0.2">
      <c r="A71" s="219">
        <v>33</v>
      </c>
      <c r="B71" s="202" t="str">
        <f t="shared" si="5"/>
        <v>33x45F</v>
      </c>
      <c r="C71" s="56" t="str">
        <f t="shared" si="6"/>
        <v>EUR33x45F_SYNTH1Y_Quote</v>
      </c>
      <c r="D71" s="203" t="str">
        <f>_xll.qlSimpleQuote(C71,,RateTickValue,Permanent,Trigger,ObjectOverwrite)</f>
        <v>EUR33x45F_SYNTH1Y_Quote#0000</v>
      </c>
      <c r="E71" s="196" t="str">
        <f>_xll.ohRangeRetrieveError(D71)</f>
        <v/>
      </c>
      <c r="F71" s="67"/>
      <c r="H71" s="59">
        <v>33</v>
      </c>
      <c r="I71" s="183" t="str">
        <f t="shared" si="7"/>
        <v>33x45F</v>
      </c>
      <c r="J71" s="184">
        <f>SynthFra!N41</f>
        <v>7.1682607712833298E-3</v>
      </c>
      <c r="K71" s="119"/>
      <c r="L71" s="187">
        <v>8.2540136788414216E-3</v>
      </c>
      <c r="M71" s="119"/>
      <c r="N71" s="189">
        <v>7.1682607712833298E-3</v>
      </c>
      <c r="O71" s="190">
        <f>_xll.qlSimpleQuoteSetValue(D71,ROUND(N71,6),EvaluationDate)</f>
        <v>0</v>
      </c>
      <c r="P71" s="63"/>
    </row>
    <row r="72" spans="1:16" x14ac:dyDescent="0.2">
      <c r="A72" s="219">
        <v>34</v>
      </c>
      <c r="B72" s="202" t="str">
        <f t="shared" si="5"/>
        <v>34x46F</v>
      </c>
      <c r="C72" s="56" t="str">
        <f t="shared" si="6"/>
        <v>EUR34x46F_SYNTH1Y_Quote</v>
      </c>
      <c r="D72" s="203" t="str">
        <f>_xll.qlSimpleQuote(C72,,RateTickValue,Permanent,Trigger,ObjectOverwrite)</f>
        <v>EUR34x46F_SYNTH1Y_Quote#0000</v>
      </c>
      <c r="E72" s="196" t="str">
        <f>_xll.ohRangeRetrieveError(D72)</f>
        <v/>
      </c>
      <c r="F72" s="67"/>
      <c r="H72" s="59">
        <v>34</v>
      </c>
      <c r="I72" s="183" t="str">
        <f t="shared" si="7"/>
        <v>34x46F</v>
      </c>
      <c r="J72" s="184">
        <f>SynthFra!N42</f>
        <v>7.3793089149498114E-3</v>
      </c>
      <c r="K72" s="119"/>
      <c r="L72" s="187">
        <v>8.4597312837310056E-3</v>
      </c>
      <c r="M72" s="119"/>
      <c r="N72" s="189">
        <v>7.3793089149498114E-3</v>
      </c>
      <c r="O72" s="190">
        <f>_xll.qlSimpleQuoteSetValue(D72,ROUND(N72,6),EvaluationDate)</f>
        <v>0</v>
      </c>
      <c r="P72" s="63"/>
    </row>
    <row r="73" spans="1:16" x14ac:dyDescent="0.2">
      <c r="A73" s="219">
        <v>35</v>
      </c>
      <c r="B73" s="202" t="str">
        <f t="shared" si="5"/>
        <v>35x47F</v>
      </c>
      <c r="C73" s="56" t="str">
        <f t="shared" si="6"/>
        <v>EUR35x47F_SYNTH1Y_Quote</v>
      </c>
      <c r="D73" s="203" t="str">
        <f>_xll.qlSimpleQuote(C73,,RateTickValue,Permanent,Trigger,ObjectOverwrite)</f>
        <v>EUR35x47F_SYNTH1Y_Quote#0000</v>
      </c>
      <c r="E73" s="196" t="str">
        <f>_xll.ohRangeRetrieveError(D73)</f>
        <v/>
      </c>
      <c r="F73" s="67"/>
      <c r="H73" s="59">
        <v>35</v>
      </c>
      <c r="I73" s="183" t="str">
        <f t="shared" si="7"/>
        <v>35x47F</v>
      </c>
      <c r="J73" s="184">
        <f>SynthFra!N43</f>
        <v>7.575909743891579E-3</v>
      </c>
      <c r="K73" s="119"/>
      <c r="L73" s="187">
        <v>8.6706802526084654E-3</v>
      </c>
      <c r="M73" s="119"/>
      <c r="N73" s="189">
        <v>7.575909743891579E-3</v>
      </c>
      <c r="O73" s="190">
        <f>_xll.qlSimpleQuoteSetValue(D73,ROUND(N73,6),EvaluationDate)</f>
        <v>0</v>
      </c>
      <c r="P73" s="63"/>
    </row>
    <row r="74" spans="1:16" x14ac:dyDescent="0.2">
      <c r="A74" s="219">
        <v>37</v>
      </c>
      <c r="B74" s="202" t="str">
        <f t="shared" si="5"/>
        <v>37x49F</v>
      </c>
      <c r="C74" s="56" t="str">
        <f t="shared" si="6"/>
        <v>EUR37x49F_SYNTH1Y_Quote</v>
      </c>
      <c r="D74" s="203" t="str">
        <f>_xll.qlSimpleQuote(C74,,RateTickValue,Permanent,Trigger,ObjectOverwrite)</f>
        <v>EUR37x49F_SYNTH1Y_Quote#0000</v>
      </c>
      <c r="E74" s="196" t="str">
        <f>_xll.ohRangeRetrieveError(D74)</f>
        <v/>
      </c>
      <c r="F74" s="67"/>
      <c r="H74" s="59">
        <v>37</v>
      </c>
      <c r="I74" s="183" t="str">
        <f t="shared" si="7"/>
        <v>37x49F</v>
      </c>
      <c r="J74" s="184">
        <f>SynthFra!N45</f>
        <v>8.0112569054579773E-3</v>
      </c>
      <c r="K74" s="119"/>
      <c r="L74" s="187">
        <v>9.1432212149377481E-3</v>
      </c>
      <c r="M74" s="119"/>
      <c r="N74" s="189">
        <v>8.0112569054579773E-3</v>
      </c>
      <c r="O74" s="190">
        <f>_xll.qlSimpleQuoteSetValue(D74,ROUND(N74,6),EvaluationDate)</f>
        <v>0</v>
      </c>
      <c r="P74" s="63"/>
    </row>
    <row r="75" spans="1:16" x14ac:dyDescent="0.2">
      <c r="A75" s="219">
        <v>38</v>
      </c>
      <c r="B75" s="202" t="str">
        <f t="shared" si="5"/>
        <v>38x50F</v>
      </c>
      <c r="C75" s="56" t="str">
        <f t="shared" si="6"/>
        <v>EUR38x50F_SYNTH1Y_Quote</v>
      </c>
      <c r="D75" s="203" t="str">
        <f>_xll.qlSimpleQuote(C75,,RateTickValue,Permanent,Trigger,ObjectOverwrite)</f>
        <v>EUR38x50F_SYNTH1Y_Quote#0000</v>
      </c>
      <c r="E75" s="196" t="str">
        <f>_xll.ohRangeRetrieveError(D75)</f>
        <v/>
      </c>
      <c r="F75" s="67"/>
      <c r="H75" s="59">
        <v>38</v>
      </c>
      <c r="I75" s="183" t="str">
        <f t="shared" si="7"/>
        <v>38x50F</v>
      </c>
      <c r="J75" s="184">
        <f>SynthFra!N46</f>
        <v>8.2222167127741202E-3</v>
      </c>
      <c r="K75" s="119"/>
      <c r="L75" s="187">
        <v>9.3954275791548678E-3</v>
      </c>
      <c r="M75" s="119"/>
      <c r="N75" s="189">
        <v>8.2222167127741202E-3</v>
      </c>
      <c r="O75" s="190">
        <f>_xll.qlSimpleQuoteSetValue(D75,ROUND(N75,6),EvaluationDate)</f>
        <v>0</v>
      </c>
      <c r="P75" s="63"/>
    </row>
    <row r="76" spans="1:16" x14ac:dyDescent="0.2">
      <c r="A76" s="219">
        <v>39</v>
      </c>
      <c r="B76" s="202" t="str">
        <f t="shared" si="5"/>
        <v>39x51F</v>
      </c>
      <c r="C76" s="56" t="str">
        <f t="shared" si="6"/>
        <v>EUR39x51F_SYNTH1Y_Quote</v>
      </c>
      <c r="D76" s="203" t="str">
        <f>_xll.qlSimpleQuote(C76,,RateTickValue,Permanent,Trigger,ObjectOverwrite)</f>
        <v>EUR39x51F_SYNTH1Y_Quote#0000</v>
      </c>
      <c r="E76" s="196" t="str">
        <f>_xll.ohRangeRetrieveError(D76)</f>
        <v/>
      </c>
      <c r="F76" s="67"/>
      <c r="H76" s="59">
        <v>39</v>
      </c>
      <c r="I76" s="183" t="str">
        <f t="shared" si="7"/>
        <v>39x51F</v>
      </c>
      <c r="J76" s="184">
        <f>SynthFra!N47</f>
        <v>8.4508803233360446E-3</v>
      </c>
      <c r="K76" s="119"/>
      <c r="L76" s="187">
        <v>9.6519392757855437E-3</v>
      </c>
      <c r="M76" s="119"/>
      <c r="N76" s="189">
        <v>8.4508803233360446E-3</v>
      </c>
      <c r="O76" s="190">
        <f>_xll.qlSimpleQuoteSetValue(D76,ROUND(N76,6),EvaluationDate)</f>
        <v>0</v>
      </c>
      <c r="P76" s="63"/>
    </row>
    <row r="77" spans="1:16" x14ac:dyDescent="0.2">
      <c r="A77" s="219">
        <v>40</v>
      </c>
      <c r="B77" s="202" t="str">
        <f t="shared" si="5"/>
        <v>40x52F</v>
      </c>
      <c r="C77" s="56" t="str">
        <f t="shared" si="6"/>
        <v>EUR40x52F_SYNTH1Y_Quote</v>
      </c>
      <c r="D77" s="203" t="str">
        <f>_xll.qlSimpleQuote(C77,,RateTickValue,Permanent,Trigger,ObjectOverwrite)</f>
        <v>EUR40x52F_SYNTH1Y_Quote#0000</v>
      </c>
      <c r="E77" s="196" t="str">
        <f>_xll.ohRangeRetrieveError(D77)</f>
        <v/>
      </c>
      <c r="F77" s="67"/>
      <c r="H77" s="59">
        <v>40</v>
      </c>
      <c r="I77" s="183" t="str">
        <f t="shared" si="7"/>
        <v>40x52F</v>
      </c>
      <c r="J77" s="184">
        <f>SynthFra!N48</f>
        <v>8.6525836230762539E-3</v>
      </c>
      <c r="K77" s="119"/>
      <c r="L77" s="187">
        <v>9.9176410657655142E-3</v>
      </c>
      <c r="M77" s="119"/>
      <c r="N77" s="189">
        <v>8.6525836230762539E-3</v>
      </c>
      <c r="O77" s="190">
        <f>_xll.qlSimpleQuoteSetValue(D77,ROUND(N77,6),EvaluationDate)</f>
        <v>0</v>
      </c>
      <c r="P77" s="63"/>
    </row>
    <row r="78" spans="1:16" x14ac:dyDescent="0.2">
      <c r="A78" s="219">
        <v>41</v>
      </c>
      <c r="B78" s="202" t="str">
        <f t="shared" si="5"/>
        <v>41x53F</v>
      </c>
      <c r="C78" s="56" t="str">
        <f t="shared" si="6"/>
        <v>EUR41x53F_SYNTH1Y_Quote</v>
      </c>
      <c r="D78" s="203" t="str">
        <f>_xll.qlSimpleQuote(C78,,RateTickValue,Permanent,Trigger,ObjectOverwrite)</f>
        <v>EUR41x53F_SYNTH1Y_Quote#0000</v>
      </c>
      <c r="E78" s="196" t="str">
        <f>_xll.ohRangeRetrieveError(D78)</f>
        <v/>
      </c>
      <c r="F78" s="67"/>
      <c r="H78" s="59">
        <v>41</v>
      </c>
      <c r="I78" s="183" t="str">
        <f t="shared" si="7"/>
        <v>41x53F</v>
      </c>
      <c r="J78" s="184">
        <f>SynthFra!N49</f>
        <v>8.8639815966357512E-3</v>
      </c>
      <c r="K78" s="119"/>
      <c r="L78" s="187">
        <v>1.0169476546966039E-2</v>
      </c>
      <c r="M78" s="119"/>
      <c r="N78" s="189">
        <v>8.8639815966357512E-3</v>
      </c>
      <c r="O78" s="190">
        <f>_xll.qlSimpleQuoteSetValue(D78,ROUND(N78,6),EvaluationDate)</f>
        <v>0</v>
      </c>
      <c r="P78" s="63"/>
    </row>
    <row r="79" spans="1:16" x14ac:dyDescent="0.2">
      <c r="A79" s="219">
        <v>42</v>
      </c>
      <c r="B79" s="202" t="str">
        <f t="shared" si="5"/>
        <v>42x54F</v>
      </c>
      <c r="C79" s="56" t="str">
        <f t="shared" si="6"/>
        <v>EUR42x54F_SYNTH1Y_Quote</v>
      </c>
      <c r="D79" s="203" t="str">
        <f>_xll.qlSimpleQuote(C79,,RateTickValue,Permanent,Trigger,ObjectOverwrite)</f>
        <v>EUR42x54F_SYNTH1Y_Quote#0000</v>
      </c>
      <c r="E79" s="196" t="str">
        <f>_xll.ohRangeRetrieveError(D79)</f>
        <v/>
      </c>
      <c r="F79" s="67"/>
      <c r="H79" s="59">
        <v>42</v>
      </c>
      <c r="I79" s="183" t="str">
        <f t="shared" si="7"/>
        <v>42x54F</v>
      </c>
      <c r="J79" s="184">
        <f>SynthFra!N50</f>
        <v>9.1005574057636471E-3</v>
      </c>
      <c r="K79" s="119"/>
      <c r="L79" s="187">
        <v>1.0430748495225153E-2</v>
      </c>
      <c r="M79" s="119"/>
      <c r="N79" s="189">
        <v>9.1005574057636471E-3</v>
      </c>
      <c r="O79" s="190">
        <f>_xll.qlSimpleQuoteSetValue(D79,ROUND(N79,6),EvaluationDate)</f>
        <v>0</v>
      </c>
      <c r="P79" s="63"/>
    </row>
    <row r="80" spans="1:16" x14ac:dyDescent="0.2">
      <c r="A80" s="219">
        <v>43</v>
      </c>
      <c r="B80" s="202" t="str">
        <f t="shared" si="5"/>
        <v>43x55F</v>
      </c>
      <c r="C80" s="56" t="str">
        <f t="shared" si="6"/>
        <v>EUR43x55F_SYNTH1Y_Quote</v>
      </c>
      <c r="D80" s="203" t="str">
        <f>_xll.qlSimpleQuote(C80,,RateTickValue,Permanent,Trigger,ObjectOverwrite)</f>
        <v>EUR43x55F_SYNTH1Y_Quote#0000</v>
      </c>
      <c r="E80" s="196" t="str">
        <f>_xll.ohRangeRetrieveError(D80)</f>
        <v/>
      </c>
      <c r="F80" s="67"/>
      <c r="H80" s="59">
        <v>43</v>
      </c>
      <c r="I80" s="183" t="str">
        <f t="shared" si="7"/>
        <v>43x55F</v>
      </c>
      <c r="J80" s="184">
        <f>SynthFra!N51</f>
        <v>9.3334313818508145E-3</v>
      </c>
      <c r="K80" s="119"/>
      <c r="L80" s="187">
        <v>1.0665919792036266E-2</v>
      </c>
      <c r="M80" s="119"/>
      <c r="N80" s="189">
        <v>9.3334313818508145E-3</v>
      </c>
      <c r="O80" s="190">
        <f>_xll.qlSimpleQuoteSetValue(D80,ROUND(N80,6),EvaluationDate)</f>
        <v>0</v>
      </c>
      <c r="P80" s="63"/>
    </row>
    <row r="81" spans="1:16" x14ac:dyDescent="0.2">
      <c r="A81" s="219">
        <v>44</v>
      </c>
      <c r="B81" s="202" t="str">
        <f t="shared" si="5"/>
        <v>44x56F</v>
      </c>
      <c r="C81" s="56" t="str">
        <f t="shared" si="6"/>
        <v>EUR44x56F_SYNTH1Y_Quote</v>
      </c>
      <c r="D81" s="203" t="str">
        <f>_xll.qlSimpleQuote(C81,,RateTickValue,Permanent,Trigger,ObjectOverwrite)</f>
        <v>EUR44x56F_SYNTH1Y_Quote#0000</v>
      </c>
      <c r="E81" s="196" t="str">
        <f>_xll.ohRangeRetrieveError(D81)</f>
        <v/>
      </c>
      <c r="F81" s="67"/>
      <c r="H81" s="59">
        <v>44</v>
      </c>
      <c r="I81" s="183" t="str">
        <f t="shared" si="7"/>
        <v>44x56F</v>
      </c>
      <c r="J81" s="184">
        <f>SynthFra!N52</f>
        <v>9.5512646908251196E-3</v>
      </c>
      <c r="K81" s="119"/>
      <c r="L81" s="187">
        <v>1.0933906562113356E-2</v>
      </c>
      <c r="M81" s="119"/>
      <c r="N81" s="189">
        <v>9.5512646908251196E-3</v>
      </c>
      <c r="O81" s="190">
        <f>_xll.qlSimpleQuoteSetValue(D81,ROUND(N81,6),EvaluationDate)</f>
        <v>0</v>
      </c>
      <c r="P81" s="63"/>
    </row>
    <row r="82" spans="1:16" x14ac:dyDescent="0.2">
      <c r="A82" s="219">
        <v>45</v>
      </c>
      <c r="B82" s="202" t="str">
        <f t="shared" si="5"/>
        <v>45x57F</v>
      </c>
      <c r="C82" s="56" t="str">
        <f t="shared" si="6"/>
        <v>EUR45x57F_SYNTH1Y_Quote</v>
      </c>
      <c r="D82" s="203" t="str">
        <f>_xll.qlSimpleQuote(C82,,RateTickValue,Permanent,Trigger,ObjectOverwrite)</f>
        <v>EUR45x57F_SYNTH1Y_Quote#0000</v>
      </c>
      <c r="E82" s="196" t="str">
        <f>_xll.ohRangeRetrieveError(D82)</f>
        <v/>
      </c>
      <c r="F82" s="67"/>
      <c r="H82" s="59">
        <v>45</v>
      </c>
      <c r="I82" s="183" t="str">
        <f t="shared" si="7"/>
        <v>45x57F</v>
      </c>
      <c r="J82" s="184">
        <f>SynthFra!N53</f>
        <v>9.8037486441667973E-3</v>
      </c>
      <c r="K82" s="119"/>
      <c r="L82" s="187">
        <v>1.1176202147415193E-2</v>
      </c>
      <c r="M82" s="119"/>
      <c r="N82" s="189">
        <v>9.8037486441667973E-3</v>
      </c>
      <c r="O82" s="190">
        <f>_xll.qlSimpleQuoteSetValue(D82,ROUND(N82,6),EvaluationDate)</f>
        <v>0</v>
      </c>
      <c r="P82" s="63"/>
    </row>
    <row r="83" spans="1:16" x14ac:dyDescent="0.2">
      <c r="A83" s="219">
        <v>46</v>
      </c>
      <c r="B83" s="202" t="str">
        <f t="shared" si="5"/>
        <v>46x58F</v>
      </c>
      <c r="C83" s="56" t="str">
        <f t="shared" si="6"/>
        <v>EUR46x58F_SYNTH1Y_Quote</v>
      </c>
      <c r="D83" s="203" t="str">
        <f>_xll.qlSimpleQuote(C83,,RateTickValue,Permanent,Trigger,ObjectOverwrite)</f>
        <v>EUR46x58F_SYNTH1Y_Quote#0000</v>
      </c>
      <c r="E83" s="196" t="str">
        <f>_xll.ohRangeRetrieveError(D83)</f>
        <v/>
      </c>
      <c r="F83" s="67"/>
      <c r="H83" s="59">
        <v>46</v>
      </c>
      <c r="I83" s="183" t="str">
        <f t="shared" si="7"/>
        <v>46x58F</v>
      </c>
      <c r="J83" s="184">
        <f>SynthFra!N54</f>
        <v>1.0045811291608864E-2</v>
      </c>
      <c r="K83" s="119"/>
      <c r="L83" s="187">
        <v>1.1437519693685599E-2</v>
      </c>
      <c r="M83" s="119"/>
      <c r="N83" s="189">
        <v>1.0045811291608864E-2</v>
      </c>
      <c r="O83" s="190">
        <f>_xll.qlSimpleQuoteSetValue(D83,ROUND(N83,6),EvaluationDate)</f>
        <v>0</v>
      </c>
      <c r="P83" s="63"/>
    </row>
    <row r="84" spans="1:16" ht="12" thickBot="1" x14ac:dyDescent="0.25">
      <c r="A84" s="220">
        <v>47</v>
      </c>
      <c r="B84" s="205" t="str">
        <f t="shared" si="5"/>
        <v>47x59F</v>
      </c>
      <c r="C84" s="150" t="str">
        <f t="shared" si="6"/>
        <v>EUR47x59F_SYNTH1Y_Quote</v>
      </c>
      <c r="D84" s="217" t="str">
        <f>_xll.qlSimpleQuote(C84,,RateTickValue,Permanent,Trigger,ObjectOverwrite)</f>
        <v>EUR47x59F_SYNTH1Y_Quote#0000</v>
      </c>
      <c r="E84" s="207" t="str">
        <f>_xll.ohRangeRetrieveError(D84)</f>
        <v/>
      </c>
      <c r="F84" s="67"/>
      <c r="H84" s="59">
        <v>47</v>
      </c>
      <c r="I84" s="185" t="str">
        <f t="shared" si="7"/>
        <v>47x59F</v>
      </c>
      <c r="J84" s="186">
        <f>SynthFra!N55</f>
        <v>1.0284007557406372E-2</v>
      </c>
      <c r="K84" s="119"/>
      <c r="L84" s="188">
        <v>1.1693071994383112E-2</v>
      </c>
      <c r="M84" s="119"/>
      <c r="N84" s="227">
        <v>1.0284007557406372E-2</v>
      </c>
      <c r="O84" s="228">
        <f>_xll.qlSimpleQuoteSetValue(D84,ROUND(N84,6),EvaluationDate)</f>
        <v>0</v>
      </c>
      <c r="P84" s="63"/>
    </row>
    <row r="85" spans="1:16" ht="12" thickBot="1" x14ac:dyDescent="0.25">
      <c r="A85" s="68"/>
      <c r="B85" s="140"/>
      <c r="C85" s="141"/>
      <c r="D85" s="141"/>
      <c r="E85" s="141"/>
      <c r="F85" s="69"/>
      <c r="H85" s="64"/>
      <c r="I85" s="65"/>
      <c r="J85" s="65"/>
      <c r="K85" s="65"/>
      <c r="L85" s="65"/>
      <c r="M85" s="65"/>
      <c r="N85" s="65"/>
      <c r="O85" s="65"/>
      <c r="P85" s="66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1640625" style="36" customWidth="1"/>
    <col min="3" max="3" width="3.5" style="36" bestFit="1" customWidth="1"/>
    <col min="4" max="4" width="31.1640625" style="36" bestFit="1" customWidth="1"/>
    <col min="5" max="6" width="20.1640625" style="36" bestFit="1" customWidth="1"/>
    <col min="7" max="7" width="11.6640625" style="36" bestFit="1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9.33203125" style="36"/>
    <col min="13" max="14" width="20.1640625" style="36" bestFit="1" customWidth="1"/>
    <col min="15" max="15" width="17.83203125" style="36" hidden="1" customWidth="1" outlineLevel="1"/>
    <col min="16" max="16" width="5.83203125" style="36" hidden="1" customWidth="1" outlineLevel="1"/>
    <col min="17" max="17" width="9.33203125" style="36" bestFit="1" customWidth="1" collapsed="1"/>
    <col min="18" max="18" width="10.5" style="36" bestFit="1" customWidth="1"/>
    <col min="19" max="19" width="10.5" style="36" customWidth="1"/>
    <col min="20" max="20" width="4.6640625" style="36" bestFit="1" customWidth="1"/>
    <col min="21" max="16384" width="9.33203125" style="36"/>
  </cols>
  <sheetData>
    <row r="1" spans="3:19" ht="26.25" customHeight="1" x14ac:dyDescent="0.2">
      <c r="D1" s="340" t="s">
        <v>143</v>
      </c>
      <c r="E1" s="341" t="s">
        <v>138</v>
      </c>
      <c r="F1" s="341" t="s">
        <v>139</v>
      </c>
      <c r="G1" s="341" t="s">
        <v>147</v>
      </c>
      <c r="H1" s="341"/>
      <c r="I1" s="341"/>
      <c r="J1" s="341" t="s">
        <v>148</v>
      </c>
      <c r="K1" s="342" t="s">
        <v>146</v>
      </c>
      <c r="M1" s="340" t="s">
        <v>138</v>
      </c>
      <c r="N1" s="341" t="s">
        <v>139</v>
      </c>
      <c r="O1" s="341"/>
      <c r="P1" s="341"/>
      <c r="Q1" s="341" t="s">
        <v>144</v>
      </c>
      <c r="R1" s="341" t="s">
        <v>145</v>
      </c>
      <c r="S1" s="342" t="s">
        <v>146</v>
      </c>
    </row>
    <row r="2" spans="3:19" ht="11.25" customHeight="1" x14ac:dyDescent="0.2">
      <c r="D2" s="343" t="str">
        <f>PROPER(Currency&amp;IborType)&amp;"3M"&amp;"LastFixing"&amp;QuoteSuffix</f>
        <v>Euribor3MLastFixing_Quote</v>
      </c>
      <c r="E2" s="344">
        <f>SettlementDate</f>
        <v>41943</v>
      </c>
      <c r="F2" s="344">
        <f>_xll.qlCalendarAdvance(Calendar,E2,"3M","mf",,Trigger)</f>
        <v>42034</v>
      </c>
      <c r="G2" s="38">
        <f>_xll.qlQuoteValue(D2,LastFixingsTrigger)</f>
        <v>8.7999999999999992E-4</v>
      </c>
      <c r="H2" s="40" t="str">
        <f>_xll.qlMakeDatedOIS(,E2,F2,OvernightIndex,0,,,,EvaluationDate)</f>
        <v>obj_0058c#0000</v>
      </c>
      <c r="I2" s="40" t="b">
        <f>_xll.qlInstrumentSetPricingEngine(H2,OisEngine)</f>
        <v>1</v>
      </c>
      <c r="J2" s="38">
        <f>_xll.qlOvernightIndexedSwapFairRate(H2,AllTriggers)</f>
        <v>-1.7921313597080646E-5</v>
      </c>
      <c r="K2" s="345">
        <f t="shared" ref="K2:K11" si="0">G2-J2</f>
        <v>8.9792131359708058E-4</v>
      </c>
      <c r="M2" s="346">
        <f>SettlementDate</f>
        <v>41943</v>
      </c>
      <c r="N2" s="344">
        <f>_xll.qlCalendarAdvance(Calendar,M2,"3M","mf",,Trigger)</f>
        <v>42034</v>
      </c>
      <c r="O2" s="40" t="str">
        <f>_xll.qlMakeDatedOIS(,M2,N2,OvernightIndex,0,,,,EvaluationDate)</f>
        <v>obj_005b1#0000</v>
      </c>
      <c r="P2" s="40" t="b">
        <f>_xll.qlInstrumentSetPricingEngine(O2,OisEngine)</f>
        <v>1</v>
      </c>
      <c r="Q2" s="38">
        <f>_xll.qlIndexFixing(Currency&amp;IborType&amp;"3M",_xll.qlInterestRateIndexFixingDate(Currency&amp;IborType&amp;"3M",M2),TRUE,AllTriggers)</f>
        <v>9.2500744093667881E-4</v>
      </c>
      <c r="R2" s="38">
        <f>_xll.qlOvernightIndexedSwapFairRate(O2,AllTriggers)</f>
        <v>-1.7921313597080646E-5</v>
      </c>
      <c r="S2" s="345">
        <f>Q2-R2</f>
        <v>9.4292875453375947E-4</v>
      </c>
    </row>
    <row r="3" spans="3:19" ht="11.25" customHeight="1" x14ac:dyDescent="0.2">
      <c r="C3" s="36" t="str">
        <f>_xll.qlIMMNextCode(SettlementDate-1,FALSE)</f>
        <v>X4</v>
      </c>
      <c r="D3" s="343" t="str">
        <f t="shared" ref="D3:D11" si="1">Currency&amp;"FUT"&amp;"3M"&amp;C3&amp;QuoteSuffix</f>
        <v>EURFUT3MX4_Quote</v>
      </c>
      <c r="E3" s="344">
        <f>_xll.qlIMMdate(C3,$E$2,Trigger)</f>
        <v>41962</v>
      </c>
      <c r="F3" s="344">
        <f>_xll.qlCalendarAdvance(Calendar,E3,"3M","mf",,Trigger)</f>
        <v>42054</v>
      </c>
      <c r="G3" s="38">
        <f>1-_xll.qlQuoteValue(D3,AllTriggers)/100</f>
        <v>9.5000000000000639E-4</v>
      </c>
      <c r="H3" s="40" t="str">
        <f>_xll.qlMakeDatedOIS(,E3,F3,OvernightIndex,0,,,,EvaluationDate)</f>
        <v>obj_0108d#0000</v>
      </c>
      <c r="I3" s="40" t="b">
        <f>_xll.qlInstrumentSetPricingEngine(H3,OisEngine)</f>
        <v>1</v>
      </c>
      <c r="J3" s="38">
        <f>_xll.qlOvernightIndexedSwapFairRate(H3,AllTriggers)</f>
        <v>-1.7079085402894456E-5</v>
      </c>
      <c r="K3" s="345">
        <f t="shared" si="0"/>
        <v>9.6707908540290082E-4</v>
      </c>
      <c r="M3" s="346">
        <f>_xll.qlCalendarAdvance(Calendar,M2,"1M","f",,Trigger)</f>
        <v>41974</v>
      </c>
      <c r="N3" s="344">
        <f>_xll.qlCalendarAdvance(Calendar,M3,"3M","mf",,Trigger)</f>
        <v>42065</v>
      </c>
      <c r="O3" s="40" t="str">
        <f>_xll.qlMakeDatedOIS(,M3,N3,OvernightIndex,0,,,,EvaluationDate)</f>
        <v>obj_005b4#0000</v>
      </c>
      <c r="P3" s="40" t="b">
        <f>_xll.qlInstrumentSetPricingEngine(O3,OisEngine)</f>
        <v>1</v>
      </c>
      <c r="Q3" s="38">
        <f>_xll.qlIndexFixing(Currency&amp;IborType&amp;"3M",_xll.qlInterestRateIndexFixingDate(Currency&amp;IborType&amp;"3M",M3),TRUE,AllTriggers)</f>
        <v>1.0230768429090771E-3</v>
      </c>
      <c r="R3" s="38">
        <f>_xll.qlOvernightIndexedSwapFairRate(O3,AllTriggers)</f>
        <v>6.150826338807153E-6</v>
      </c>
      <c r="S3" s="345">
        <f t="shared" ref="S3:S66" si="2">Q3-R3</f>
        <v>1.0169260165702699E-3</v>
      </c>
    </row>
    <row r="4" spans="3:19" ht="11.25" customHeight="1" x14ac:dyDescent="0.2">
      <c r="C4" s="36" t="str">
        <f>_xll.qlIMMNextCode($E$3,IF(_xll.qlIMMIsIMMdate(E3,TRUE),FALSE,TRUE))</f>
        <v>Z4</v>
      </c>
      <c r="D4" s="343" t="str">
        <f t="shared" si="1"/>
        <v>EURFUT3MZ4_Quote</v>
      </c>
      <c r="E4" s="344">
        <f>_xll.qlIMMdate(C4,$E$2,Trigger)</f>
        <v>41990</v>
      </c>
      <c r="F4" s="344">
        <f>_xll.qlCalendarAdvance(Calendar,E4,"3M","mf",,Trigger)</f>
        <v>42080</v>
      </c>
      <c r="G4" s="38">
        <f>1-_xll.qlQuoteValue(D4,AllTriggers)/100</f>
        <v>1.0750000000000481E-3</v>
      </c>
      <c r="H4" s="40" t="str">
        <f>_xll.qlMakeDatedOIS(,E4,F4,OvernightIndex,0,,,,EvaluationDate)</f>
        <v>obj_0108a#0000</v>
      </c>
      <c r="I4" s="40" t="b">
        <f>_xll.qlInstrumentSetPricingEngine(H4,OisEngine)</f>
        <v>1</v>
      </c>
      <c r="J4" s="38">
        <f>_xll.qlOvernightIndexedSwapFairRate(H4,AllTriggers)</f>
        <v>-5.7386363456313205E-5</v>
      </c>
      <c r="K4" s="345">
        <f t="shared" si="0"/>
        <v>1.1323863634563613E-3</v>
      </c>
      <c r="M4" s="346">
        <f>_xll.qlCalendarAdvance(Calendar,M3,"1M","f",,Trigger)</f>
        <v>42006</v>
      </c>
      <c r="N4" s="344">
        <f>_xll.qlCalendarAdvance(Calendar,M4,"3M","mf",,Trigger)</f>
        <v>42096</v>
      </c>
      <c r="O4" s="40" t="str">
        <f>_xll.qlMakeDatedOIS(,M4,N4,OvernightIndex,0,,,,EvaluationDate)</f>
        <v>obj_005b3#0000</v>
      </c>
      <c r="P4" s="40" t="b">
        <f>_xll.qlInstrumentSetPricingEngine(O4,OisEngine)</f>
        <v>1</v>
      </c>
      <c r="Q4" s="38">
        <f>_xll.qlIndexFixing(Currency&amp;IborType&amp;"3M",_xll.qlInterestRateIndexFixingDate(Currency&amp;IborType&amp;"3M",M4),TRUE,AllTriggers)</f>
        <v>1.1071361674410696E-3</v>
      </c>
      <c r="R4" s="38">
        <f>_xll.qlOvernightIndexedSwapFairRate(O4,AllTriggers)</f>
        <v>1.8464785108918136E-5</v>
      </c>
      <c r="S4" s="345">
        <f t="shared" si="2"/>
        <v>1.0886713823321514E-3</v>
      </c>
    </row>
    <row r="5" spans="3:19" ht="11.25" customHeight="1" x14ac:dyDescent="0.2">
      <c r="C5" s="36" t="str">
        <f>_xll.qlIMMNextCode($E4,TRUE)</f>
        <v>H5</v>
      </c>
      <c r="D5" s="343" t="str">
        <f t="shared" si="1"/>
        <v>EURFUT3MH5_Quote</v>
      </c>
      <c r="E5" s="344">
        <f>_xll.qlIMMdate(C5,$E$2,Trigger)</f>
        <v>42081</v>
      </c>
      <c r="F5" s="344">
        <f>_xll.qlCalendarAdvance(Calendar,E5,"3M","mf",,Trigger)</f>
        <v>42173</v>
      </c>
      <c r="G5" s="38">
        <f>1-_xll.qlQuoteValue(D5,AllTriggers)/100</f>
        <v>1.0249999999999426E-3</v>
      </c>
      <c r="H5" s="40" t="str">
        <f>_xll.qlMakeDatedOIS(,E5,F5,OvernightIndex,0,,,,EvaluationDate)</f>
        <v>obj_0108e#0000</v>
      </c>
      <c r="I5" s="40" t="b">
        <f>_xll.qlInstrumentSetPricingEngine(H5,OisEngine)</f>
        <v>1</v>
      </c>
      <c r="J5" s="38">
        <f>_xll.qlOvernightIndexedSwapFairRate(H5,AllTriggers)</f>
        <v>-3.3001569891746006E-4</v>
      </c>
      <c r="K5" s="345">
        <f t="shared" si="0"/>
        <v>1.3550156989174027E-3</v>
      </c>
      <c r="M5" s="346">
        <f>_xll.qlCalendarAdvance(Calendar,M4,"1M","f",,Trigger)</f>
        <v>42037</v>
      </c>
      <c r="N5" s="344">
        <f>_xll.qlCalendarAdvance(Calendar,M5,"3M","mf",,Trigger)</f>
        <v>42128</v>
      </c>
      <c r="O5" s="40" t="str">
        <f>_xll.qlMakeDatedOIS(,M5,N5,OvernightIndex,0,,,,EvaluationDate)</f>
        <v>obj_005b6#0000</v>
      </c>
      <c r="P5" s="40" t="b">
        <f>_xll.qlInstrumentSetPricingEngine(O5,OisEngine)</f>
        <v>1</v>
      </c>
      <c r="Q5" s="38">
        <f>_xll.qlIndexFixing(Currency&amp;IborType&amp;"3M",_xll.qlInterestRateIndexFixingDate(Currency&amp;IborType&amp;"3M",M5),TRUE,AllTriggers)</f>
        <v>1.101324460862482E-3</v>
      </c>
      <c r="R5" s="38">
        <f>_xll.qlOvernightIndexedSwapFairRate(O5,AllTriggers)</f>
        <v>-1.4174735847939855E-4</v>
      </c>
      <c r="S5" s="345">
        <f t="shared" si="2"/>
        <v>1.2430718193418805E-3</v>
      </c>
    </row>
    <row r="6" spans="3:19" ht="11.25" customHeight="1" x14ac:dyDescent="0.2">
      <c r="C6" s="36" t="str">
        <f>_xll.qlIMMNextCode($E5,TRUE)</f>
        <v>M5</v>
      </c>
      <c r="D6" s="343" t="str">
        <f t="shared" si="1"/>
        <v>EURFUT3MM5_Quote</v>
      </c>
      <c r="E6" s="344">
        <f>_xll.qlIMMdate(C6,$E$2,Trigger)</f>
        <v>42172</v>
      </c>
      <c r="F6" s="344">
        <f>_xll.qlCalendarAdvance(Calendar,E6,"3M","mf",,Trigger)</f>
        <v>42264</v>
      </c>
      <c r="G6" s="38">
        <f>1-_xll.qlQuoteValue(D6,AllTriggers)/100</f>
        <v>9.7499999999994813E-4</v>
      </c>
      <c r="H6" s="40" t="str">
        <f>_xll.qlMakeDatedOIS(,E6,F6,OvernightIndex,0,,,,EvaluationDate)</f>
        <v>obj_01089#0000</v>
      </c>
      <c r="I6" s="40" t="b">
        <f>_xll.qlInstrumentSetPricingEngine(H6,OisEngine)</f>
        <v>1</v>
      </c>
      <c r="J6" s="38">
        <f>_xll.qlOvernightIndexedSwapFairRate(H6,AllTriggers)</f>
        <v>-5.0966677868254399E-4</v>
      </c>
      <c r="K6" s="345">
        <f t="shared" si="0"/>
        <v>1.4846667786824921E-3</v>
      </c>
      <c r="M6" s="346">
        <f>_xll.qlCalendarAdvance(Calendar,M5,"1M","f",,Trigger)</f>
        <v>42065</v>
      </c>
      <c r="N6" s="344">
        <f>_xll.qlCalendarAdvance(Calendar,M6,"3M","mf",,Trigger)</f>
        <v>42157</v>
      </c>
      <c r="O6" s="40" t="str">
        <f>_xll.qlMakeDatedOIS(,M6,N6,OvernightIndex,0,,,,EvaluationDate)</f>
        <v>obj_005b7#0000</v>
      </c>
      <c r="P6" s="40" t="b">
        <f>_xll.qlInstrumentSetPricingEngine(O6,OisEngine)</f>
        <v>1</v>
      </c>
      <c r="Q6" s="38">
        <f>_xll.qlIndexFixing(Currency&amp;IborType&amp;"3M",_xll.qlInterestRateIndexFixingDate(Currency&amp;IborType&amp;"3M",M6),TRUE,AllTriggers)</f>
        <v>1.0537579489354406E-3</v>
      </c>
      <c r="R6" s="38">
        <f>_xll.qlOvernightIndexedSwapFairRate(O6,AllTriggers)</f>
        <v>-3.2989759821563334E-4</v>
      </c>
      <c r="S6" s="345">
        <f t="shared" si="2"/>
        <v>1.3836555471510739E-3</v>
      </c>
    </row>
    <row r="7" spans="3:19" ht="11.25" customHeight="1" x14ac:dyDescent="0.2">
      <c r="C7" s="36" t="str">
        <f>_xll.qlIMMNextCode($E6,TRUE)</f>
        <v>U5</v>
      </c>
      <c r="D7" s="343" t="str">
        <f t="shared" si="1"/>
        <v>EURFUT3MU5_Quote</v>
      </c>
      <c r="E7" s="344">
        <f>_xll.qlIMMdate(C7,$E$2,Trigger)</f>
        <v>42263</v>
      </c>
      <c r="F7" s="344">
        <f>_xll.qlCalendarAdvance(Calendar,E7,"3M","mf",,Trigger)</f>
        <v>42354</v>
      </c>
      <c r="G7" s="38">
        <f>1-_xll.qlQuoteValue(D7,AllTriggers)/100</f>
        <v>1.0750000000000481E-3</v>
      </c>
      <c r="H7" s="40" t="str">
        <f>_xll.qlMakeDatedOIS(,E7,F7,OvernightIndex,0,,,,EvaluationDate)</f>
        <v>obj_01090#0000</v>
      </c>
      <c r="I7" s="40" t="b">
        <f>_xll.qlInstrumentSetPricingEngine(H7,OisEngine)</f>
        <v>1</v>
      </c>
      <c r="J7" s="38">
        <f>_xll.qlOvernightIndexedSwapFairRate(H7,AllTriggers)</f>
        <v>-5.1342458632102999E-4</v>
      </c>
      <c r="K7" s="345">
        <f t="shared" si="0"/>
        <v>1.5884245863210782E-3</v>
      </c>
      <c r="M7" s="346">
        <f>_xll.qlCalendarAdvance(Calendar,M6,"1M","f",,Trigger)</f>
        <v>42096</v>
      </c>
      <c r="N7" s="344">
        <f>_xll.qlCalendarAdvance(Calendar,M7,"3M","mf",,Trigger)</f>
        <v>42187</v>
      </c>
      <c r="O7" s="40" t="str">
        <f>_xll.qlMakeDatedOIS(,M7,N7,OvernightIndex,0,,,,EvaluationDate)</f>
        <v>obj_005b9#0000</v>
      </c>
      <c r="P7" s="40" t="b">
        <f>_xll.qlInstrumentSetPricingEngine(O7,OisEngine)</f>
        <v>1</v>
      </c>
      <c r="Q7" s="38">
        <f>_xll.qlIndexFixing(Currency&amp;IborType&amp;"3M",_xll.qlInterestRateIndexFixingDate(Currency&amp;IborType&amp;"3M",M7),TRUE,AllTriggers)</f>
        <v>1.0037995335198614E-3</v>
      </c>
      <c r="R7" s="38">
        <f>_xll.qlOvernightIndexedSwapFairRate(O7,AllTriggers)</f>
        <v>-4.4249951119817695E-4</v>
      </c>
      <c r="S7" s="345">
        <f t="shared" si="2"/>
        <v>1.4462990447180384E-3</v>
      </c>
    </row>
    <row r="8" spans="3:19" ht="11.25" customHeight="1" x14ac:dyDescent="0.2">
      <c r="C8" s="36" t="str">
        <f>_xll.qlIMMNextCode($E7,TRUE)</f>
        <v>Z5</v>
      </c>
      <c r="D8" s="343" t="str">
        <f t="shared" si="1"/>
        <v>EURFUT3MZ5_Quote</v>
      </c>
      <c r="E8" s="344">
        <f>_xll.qlIMMdate(C8,$E$2,Trigger)</f>
        <v>42354</v>
      </c>
      <c r="F8" s="344">
        <f>_xll.qlCalendarAdvance(Calendar,E8,"3M","mf",,Trigger)</f>
        <v>42445</v>
      </c>
      <c r="G8" s="38">
        <f>1-_xll.qlQuoteValue(D8,AllTriggers)/100</f>
        <v>1.2750000000000261E-3</v>
      </c>
      <c r="H8" s="40" t="str">
        <f>_xll.qlMakeDatedOIS(,E8,F8,OvernightIndex,0,,,,EvaluationDate)</f>
        <v>obj_0108f#0000</v>
      </c>
      <c r="I8" s="40" t="b">
        <f>_xll.qlInstrumentSetPricingEngine(H8,OisEngine)</f>
        <v>1</v>
      </c>
      <c r="J8" s="38">
        <f>_xll.qlOvernightIndexedSwapFairRate(H8,AllTriggers)</f>
        <v>-2.9939233663882087E-4</v>
      </c>
      <c r="K8" s="345">
        <f t="shared" si="0"/>
        <v>1.574392336638847E-3</v>
      </c>
      <c r="M8" s="346">
        <f>_xll.qlCalendarAdvance(Calendar,M7,"1M","f",,Trigger)</f>
        <v>42128</v>
      </c>
      <c r="N8" s="344">
        <f>_xll.qlCalendarAdvance(Calendar,M8,"3M","mf",,Trigger)</f>
        <v>42220</v>
      </c>
      <c r="O8" s="40" t="str">
        <f>_xll.qlMakeDatedOIS(,M8,N8,OvernightIndex,0,,,,EvaluationDate)</f>
        <v>obj_005ba#0000</v>
      </c>
      <c r="P8" s="40" t="b">
        <f>_xll.qlInstrumentSetPricingEngine(O8,OisEngine)</f>
        <v>1</v>
      </c>
      <c r="Q8" s="38">
        <f>_xll.qlIndexFixing(Currency&amp;IborType&amp;"3M",_xll.qlInterestRateIndexFixingDate(Currency&amp;IborType&amp;"3M",M8),TRUE,AllTriggers)</f>
        <v>9.7605801931898318E-4</v>
      </c>
      <c r="R8" s="38">
        <f>_xll.qlOvernightIndexedSwapFairRate(O8,AllTriggers)</f>
        <v>-4.1500504990260833E-4</v>
      </c>
      <c r="S8" s="345">
        <f t="shared" si="2"/>
        <v>1.3910630692215915E-3</v>
      </c>
    </row>
    <row r="9" spans="3:19" ht="11.25" customHeight="1" x14ac:dyDescent="0.2">
      <c r="C9" s="36" t="str">
        <f>_xll.qlIMMNextCode($E8,TRUE)</f>
        <v>H6</v>
      </c>
      <c r="D9" s="343" t="str">
        <f t="shared" si="1"/>
        <v>EURFUT3MH6_Quote</v>
      </c>
      <c r="E9" s="344">
        <f>_xll.qlIMMdate(C9,$E$2,Trigger)</f>
        <v>42445</v>
      </c>
      <c r="F9" s="344">
        <f>_xll.qlCalendarAdvance(Calendar,E9,"3M","mf",,Trigger)</f>
        <v>42537</v>
      </c>
      <c r="G9" s="38">
        <f>1-_xll.qlQuoteValue(D9,AllTriggers)/100</f>
        <v>1.5249999999999986E-3</v>
      </c>
      <c r="H9" s="40" t="str">
        <f>_xll.qlMakeDatedOIS(,E9,F9,OvernightIndex,0,,,,EvaluationDate)</f>
        <v>obj_0108c#0000</v>
      </c>
      <c r="I9" s="40" t="b">
        <f>_xll.qlInstrumentSetPricingEngine(H9,OisEngine)</f>
        <v>1</v>
      </c>
      <c r="J9" s="38">
        <f>_xll.qlOvernightIndexedSwapFairRate(H9,AllTriggers)</f>
        <v>-2.9479899952036939E-4</v>
      </c>
      <c r="K9" s="345">
        <f t="shared" si="0"/>
        <v>1.819798999520368E-3</v>
      </c>
      <c r="M9" s="346">
        <f>_xll.qlCalendarAdvance(Calendar,M8,"1M","f",,Trigger)</f>
        <v>42159</v>
      </c>
      <c r="N9" s="344">
        <f>_xll.qlCalendarAdvance(Calendar,M9,"3M","mf",,Trigger)</f>
        <v>42251</v>
      </c>
      <c r="O9" s="40" t="str">
        <f>_xll.qlMakeDatedOIS(,M9,N9,OvernightIndex,0,,,,EvaluationDate)</f>
        <v>obj_005bb#0000</v>
      </c>
      <c r="P9" s="40" t="b">
        <f>_xll.qlInstrumentSetPricingEngine(O9,OisEngine)</f>
        <v>1</v>
      </c>
      <c r="Q9" s="38">
        <f>_xll.qlIndexFixing(Currency&amp;IborType&amp;"3M",_xll.qlInterestRateIndexFixingDate(Currency&amp;IborType&amp;"3M",M9),TRUE,AllTriggers)</f>
        <v>9.7135637899235263E-4</v>
      </c>
      <c r="R9" s="38">
        <f>_xll.qlOvernightIndexedSwapFairRate(O9,AllTriggers)</f>
        <v>-4.9247968966273001E-4</v>
      </c>
      <c r="S9" s="345">
        <f t="shared" si="2"/>
        <v>1.4638360686550825E-3</v>
      </c>
    </row>
    <row r="10" spans="3:19" ht="11.25" customHeight="1" x14ac:dyDescent="0.2">
      <c r="C10" s="36" t="str">
        <f>_xll.qlIMMNextCode($E9,TRUE)</f>
        <v>M6</v>
      </c>
      <c r="D10" s="343" t="str">
        <f t="shared" si="1"/>
        <v>EURFUT3MM6_Quote</v>
      </c>
      <c r="E10" s="344">
        <f>_xll.qlIMMdate(C10,$E$2,Trigger)</f>
        <v>42536</v>
      </c>
      <c r="F10" s="344">
        <f>_xll.qlCalendarAdvance(Calendar,E10,"3M","mf",,Trigger)</f>
        <v>42628</v>
      </c>
      <c r="G10" s="38">
        <f>1-_xll.qlQuoteValue(D10,AllTriggers)/100</f>
        <v>1.7750000000000821E-3</v>
      </c>
      <c r="H10" s="40" t="str">
        <f>_xll.qlMakeDatedOIS(,E10,F10,OvernightIndex,0,,,,EvaluationDate)</f>
        <v>obj_0108b#0000</v>
      </c>
      <c r="I10" s="40" t="b">
        <f>_xll.qlInstrumentSetPricingEngine(H10,OisEngine)</f>
        <v>1</v>
      </c>
      <c r="J10" s="38">
        <f>_xll.qlOvernightIndexedSwapFairRate(H10,AllTriggers)</f>
        <v>1.9246442135675231E-5</v>
      </c>
      <c r="K10" s="345">
        <f t="shared" si="0"/>
        <v>1.7557535578644069E-3</v>
      </c>
      <c r="M10" s="346">
        <f>_xll.qlCalendarAdvance(Calendar,M9,"1M","f",,Trigger)</f>
        <v>42191</v>
      </c>
      <c r="N10" s="344">
        <f>_xll.qlCalendarAdvance(Calendar,M10,"3M","mf",,Trigger)</f>
        <v>42283</v>
      </c>
      <c r="O10" s="40" t="str">
        <f>_xll.qlMakeDatedOIS(,M10,N10,OvernightIndex,0,,,,EvaluationDate)</f>
        <v>obj_005bc#0000</v>
      </c>
      <c r="P10" s="40" t="b">
        <f>_xll.qlInstrumentSetPricingEngine(O10,OisEngine)</f>
        <v>1</v>
      </c>
      <c r="Q10" s="38">
        <f>_xll.qlIndexFixing(Currency&amp;IborType&amp;"3M",_xll.qlInterestRateIndexFixingDate(Currency&amp;IborType&amp;"3M",M10),TRUE,AllTriggers)</f>
        <v>9.8565536048598979E-4</v>
      </c>
      <c r="R10" s="38">
        <f>_xll.qlOvernightIndexedSwapFairRate(O10,AllTriggers)</f>
        <v>-5.1494183221478806E-4</v>
      </c>
      <c r="S10" s="345">
        <f t="shared" si="2"/>
        <v>1.5005971927007779E-3</v>
      </c>
    </row>
    <row r="11" spans="3:19" ht="11.25" customHeight="1" thickBot="1" x14ac:dyDescent="0.25">
      <c r="C11" s="36" t="str">
        <f>_xll.qlIMMNextCode($E10,TRUE)</f>
        <v>U6</v>
      </c>
      <c r="D11" s="347" t="str">
        <f t="shared" si="1"/>
        <v>EURFUT3MU6_Quote</v>
      </c>
      <c r="E11" s="348">
        <f>_xll.qlIMMdate(C11,$E$2,Trigger)</f>
        <v>42634</v>
      </c>
      <c r="F11" s="348">
        <f>_xll.qlCalendarAdvance(Calendar,E11,"3M","mf",,Trigger)</f>
        <v>42725</v>
      </c>
      <c r="G11" s="349">
        <f>1-_xll.qlQuoteValue(D11,AllTriggers)/100</f>
        <v>2.1250000000000435E-3</v>
      </c>
      <c r="H11" s="353" t="str">
        <f>_xll.qlMakeDatedOIS(,E11,F11,OvernightIndex,0,,,,EvaluationDate)</f>
        <v>obj_01091#0000</v>
      </c>
      <c r="I11" s="353" t="b">
        <f>_xll.qlInstrumentSetPricingEngine(H11,OisEngine)</f>
        <v>1</v>
      </c>
      <c r="J11" s="349">
        <f>_xll.qlOvernightIndexedSwapFairRate(H11,AllTriggers)</f>
        <v>2.5116484539474722E-4</v>
      </c>
      <c r="K11" s="350">
        <f t="shared" si="0"/>
        <v>1.8738351546052964E-3</v>
      </c>
      <c r="M11" s="346">
        <f>_xll.qlCalendarAdvance(Calendar,M10,"1M","f",,Trigger)</f>
        <v>42222</v>
      </c>
      <c r="N11" s="344">
        <f>_xll.qlCalendarAdvance(Calendar,M11,"3M","mf",,Trigger)</f>
        <v>42314</v>
      </c>
      <c r="O11" s="40" t="str">
        <f>_xll.qlMakeDatedOIS(,M11,N11,OvernightIndex,0,,,,EvaluationDate)</f>
        <v>obj_005be#0000</v>
      </c>
      <c r="P11" s="40" t="b">
        <f>_xll.qlInstrumentSetPricingEngine(O11,OisEngine)</f>
        <v>1</v>
      </c>
      <c r="Q11" s="38">
        <f>_xll.qlIndexFixing(Currency&amp;IborType&amp;"3M",_xll.qlInterestRateIndexFixingDate(Currency&amp;IborType&amp;"3M",M11),TRUE,AllTriggers)</f>
        <v>1.01551503822594E-3</v>
      </c>
      <c r="R11" s="38">
        <f>_xll.qlOvernightIndexedSwapFairRate(O11,AllTriggers)</f>
        <v>-6.145562948699164E-4</v>
      </c>
      <c r="S11" s="345">
        <f t="shared" si="2"/>
        <v>1.6300713330958563E-3</v>
      </c>
    </row>
    <row r="12" spans="3:19" ht="11.25" customHeight="1" x14ac:dyDescent="0.2">
      <c r="E12" s="254"/>
      <c r="F12" s="254"/>
      <c r="G12" s="39"/>
      <c r="J12" s="39"/>
      <c r="K12" s="39"/>
      <c r="M12" s="346">
        <f>_xll.qlCalendarAdvance(Calendar,M11,"1M","f",,Trigger)</f>
        <v>42254</v>
      </c>
      <c r="N12" s="344">
        <f>_xll.qlCalendarAdvance(Calendar,M12,"3M","mf",,Trigger)</f>
        <v>42345</v>
      </c>
      <c r="O12" s="40" t="str">
        <f>_xll.qlMakeDatedOIS(,M12,N12,OvernightIndex,0,,,,EvaluationDate)</f>
        <v>obj_005bf#0000</v>
      </c>
      <c r="P12" s="40" t="b">
        <f>_xll.qlInstrumentSetPricingEngine(O12,OisEngine)</f>
        <v>1</v>
      </c>
      <c r="Q12" s="38">
        <f>_xll.qlIndexFixing(Currency&amp;IborType&amp;"3M",_xll.qlInterestRateIndexFixingDate(Currency&amp;IborType&amp;"3M",M12),TRUE,AllTriggers)</f>
        <v>1.0599310908561194E-3</v>
      </c>
      <c r="R12" s="38">
        <f>_xll.qlOvernightIndexedSwapFairRate(O12,AllTriggers)</f>
        <v>-5.3224703901024839E-4</v>
      </c>
      <c r="S12" s="345">
        <f t="shared" si="2"/>
        <v>1.5921781298663677E-3</v>
      </c>
    </row>
    <row r="13" spans="3:19" ht="11.25" customHeight="1" x14ac:dyDescent="0.2">
      <c r="E13" s="254"/>
      <c r="F13" s="254"/>
      <c r="G13" s="39"/>
      <c r="J13" s="39"/>
      <c r="K13" s="39"/>
      <c r="M13" s="346">
        <f>_xll.qlCalendarAdvance(Calendar,M12,"1M","f",,Trigger)</f>
        <v>42284</v>
      </c>
      <c r="N13" s="344">
        <f>_xll.qlCalendarAdvance(Calendar,M13,"3M","mf",,Trigger)</f>
        <v>42376</v>
      </c>
      <c r="O13" s="40" t="str">
        <f>_xll.qlMakeDatedOIS(,M13,N13,OvernightIndex,0,,,,EvaluationDate)</f>
        <v>obj_005c0#0000</v>
      </c>
      <c r="P13" s="40" t="b">
        <f>_xll.qlInstrumentSetPricingEngine(O13,OisEngine)</f>
        <v>1</v>
      </c>
      <c r="Q13" s="38">
        <f>_xll.qlIndexFixing(Currency&amp;IborType&amp;"3M",_xll.qlInterestRateIndexFixingDate(Currency&amp;IborType&amp;"3M",M13),TRUE,AllTriggers)</f>
        <v>1.1148892303992968E-3</v>
      </c>
      <c r="R13" s="38">
        <f>_xll.qlOvernightIndexedSwapFairRate(O13,AllTriggers)</f>
        <v>-3.7074468464411451E-4</v>
      </c>
      <c r="S13" s="345">
        <f t="shared" si="2"/>
        <v>1.4856339150434114E-3</v>
      </c>
    </row>
    <row r="14" spans="3:19" ht="11.25" customHeight="1" x14ac:dyDescent="0.2">
      <c r="E14" s="254"/>
      <c r="F14" s="254"/>
      <c r="G14" s="39"/>
      <c r="J14" s="39"/>
      <c r="K14" s="39"/>
      <c r="M14" s="346">
        <f>_xll.qlCalendarAdvance(Calendar,M13,"1M","f",,Trigger)</f>
        <v>42317</v>
      </c>
      <c r="N14" s="344">
        <f>_xll.qlCalendarAdvance(Calendar,M14,"3M","mf",,Trigger)</f>
        <v>42409</v>
      </c>
      <c r="O14" s="40" t="str">
        <f>_xll.qlMakeDatedOIS(,M14,N14,OvernightIndex,0,,,,EvaluationDate)</f>
        <v>obj_005c1#0000</v>
      </c>
      <c r="P14" s="40" t="b">
        <f>_xll.qlInstrumentSetPricingEngine(O14,OisEngine)</f>
        <v>1</v>
      </c>
      <c r="Q14" s="38">
        <f>_xll.qlIndexFixing(Currency&amp;IborType&amp;"3M",_xll.qlInterestRateIndexFixingDate(Currency&amp;IborType&amp;"3M",M14),TRUE,AllTriggers)</f>
        <v>1.185456472933917E-3</v>
      </c>
      <c r="R14" s="38">
        <f>_xll.qlOvernightIndexedSwapFairRate(O14,AllTriggers)</f>
        <v>-2.7668699385163332E-4</v>
      </c>
      <c r="S14" s="345">
        <f t="shared" si="2"/>
        <v>1.4621434667855503E-3</v>
      </c>
    </row>
    <row r="15" spans="3:19" ht="11.25" customHeight="1" x14ac:dyDescent="0.2">
      <c r="E15" s="254"/>
      <c r="F15" s="254"/>
      <c r="G15" s="39"/>
      <c r="J15" s="39"/>
      <c r="K15" s="39"/>
      <c r="M15" s="346">
        <f>_xll.qlCalendarAdvance(Calendar,M14,"1M","f",,Trigger)</f>
        <v>42347</v>
      </c>
      <c r="N15" s="344">
        <f>_xll.qlCalendarAdvance(Calendar,M15,"3M","mf",,Trigger)</f>
        <v>42438</v>
      </c>
      <c r="O15" s="40" t="str">
        <f>_xll.qlMakeDatedOIS(,M15,N15,OvernightIndex,0,,,,EvaluationDate)</f>
        <v>obj_005c3#0000</v>
      </c>
      <c r="P15" s="40" t="b">
        <f>_xll.qlInstrumentSetPricingEngine(O15,OisEngine)</f>
        <v>1</v>
      </c>
      <c r="Q15" s="38">
        <f>_xll.qlIndexFixing(Currency&amp;IborType&amp;"3M",_xll.qlInterestRateIndexFixingDate(Currency&amp;IborType&amp;"3M",M15),TRUE,AllTriggers)</f>
        <v>1.2569771800500437E-3</v>
      </c>
      <c r="R15" s="38">
        <f>_xll.qlOvernightIndexedSwapFairRate(O15,AllTriggers)</f>
        <v>-2.8883213556478671E-4</v>
      </c>
      <c r="S15" s="345">
        <f t="shared" si="2"/>
        <v>1.5458093156148305E-3</v>
      </c>
    </row>
    <row r="16" spans="3:19" ht="11.25" customHeight="1" x14ac:dyDescent="0.2">
      <c r="E16" s="254"/>
      <c r="F16" s="254"/>
      <c r="G16" s="39"/>
      <c r="J16" s="39"/>
      <c r="K16" s="39"/>
      <c r="M16" s="346">
        <f>_xll.qlCalendarAdvance(Calendar,M15,"1M","f",,Trigger)</f>
        <v>42380</v>
      </c>
      <c r="N16" s="344">
        <f>_xll.qlCalendarAdvance(Calendar,M16,"3M","mf",,Trigger)</f>
        <v>42471</v>
      </c>
      <c r="O16" s="40" t="str">
        <f>_xll.qlMakeDatedOIS(,M16,N16,OvernightIndex,0,,,,EvaluationDate)</f>
        <v>obj_005c4#0000</v>
      </c>
      <c r="P16" s="40" t="b">
        <f>_xll.qlInstrumentSetPricingEngine(O16,OisEngine)</f>
        <v>1</v>
      </c>
      <c r="Q16" s="38">
        <f>_xll.qlIndexFixing(Currency&amp;IborType&amp;"3M",_xll.qlInterestRateIndexFixingDate(Currency&amp;IborType&amp;"3M",M16),TRUE,AllTriggers)</f>
        <v>1.3446951299831691E-3</v>
      </c>
      <c r="R16" s="38">
        <f>_xll.qlOvernightIndexedSwapFairRate(O16,AllTriggers)</f>
        <v>-4.6418760246964738E-4</v>
      </c>
      <c r="S16" s="345">
        <f t="shared" si="2"/>
        <v>1.8088827324528164E-3</v>
      </c>
    </row>
    <row r="17" spans="5:19" ht="11.25" customHeight="1" x14ac:dyDescent="0.2">
      <c r="E17" s="254"/>
      <c r="F17" s="254"/>
      <c r="G17" s="39"/>
      <c r="J17" s="39"/>
      <c r="K17" s="39"/>
      <c r="M17" s="346">
        <f>_xll.qlCalendarAdvance(Calendar,M16,"1M","f",,Trigger)</f>
        <v>42411</v>
      </c>
      <c r="N17" s="344">
        <f>_xll.qlCalendarAdvance(Calendar,M17,"3M","mf",,Trigger)</f>
        <v>42501</v>
      </c>
      <c r="O17" s="40" t="str">
        <f>_xll.qlMakeDatedOIS(,M17,N17,OvernightIndex,0,,,,EvaluationDate)</f>
        <v>obj_005c5#0000</v>
      </c>
      <c r="P17" s="40" t="b">
        <f>_xll.qlInstrumentSetPricingEngine(O17,OisEngine)</f>
        <v>1</v>
      </c>
      <c r="Q17" s="38">
        <f>_xll.qlIndexFixing(Currency&amp;IborType&amp;"3M",_xll.qlInterestRateIndexFixingDate(Currency&amp;IborType&amp;"3M",M17),TRUE,AllTriggers)</f>
        <v>1.4293277378474301E-3</v>
      </c>
      <c r="R17" s="38">
        <f>_xll.qlOvernightIndexedSwapFairRate(O17,AllTriggers)</f>
        <v>-4.3554382642252421E-4</v>
      </c>
      <c r="S17" s="345">
        <f t="shared" si="2"/>
        <v>1.8648715642699543E-3</v>
      </c>
    </row>
    <row r="18" spans="5:19" ht="11.25" customHeight="1" x14ac:dyDescent="0.2">
      <c r="E18" s="254"/>
      <c r="F18" s="254"/>
      <c r="G18" s="39"/>
      <c r="J18" s="39"/>
      <c r="K18" s="39"/>
      <c r="M18" s="346">
        <f>_xll.qlCalendarAdvance(Calendar,M17,"1M","f",,Trigger)</f>
        <v>42440</v>
      </c>
      <c r="N18" s="344">
        <f>_xll.qlCalendarAdvance(Calendar,M18,"3M","mf",,Trigger)</f>
        <v>42534</v>
      </c>
      <c r="O18" s="40" t="str">
        <f>_xll.qlMakeDatedOIS(,M18,N18,OvernightIndex,0,,,,EvaluationDate)</f>
        <v>obj_005c6#0000</v>
      </c>
      <c r="P18" s="40" t="b">
        <f>_xll.qlInstrumentSetPricingEngine(O18,OisEngine)</f>
        <v>1</v>
      </c>
      <c r="Q18" s="38">
        <f>_xll.qlIndexFixing(Currency&amp;IborType&amp;"3M",_xll.qlInterestRateIndexFixingDate(Currency&amp;IborType&amp;"3M",M18),TRUE,AllTriggers)</f>
        <v>1.5142369325916087E-3</v>
      </c>
      <c r="R18" s="38">
        <f>_xll.qlOvernightIndexedSwapFairRate(O18,AllTriggers)</f>
        <v>-3.1332187250880043E-4</v>
      </c>
      <c r="S18" s="345">
        <f t="shared" si="2"/>
        <v>1.827558805100409E-3</v>
      </c>
    </row>
    <row r="19" spans="5:19" ht="11.25" customHeight="1" x14ac:dyDescent="0.2">
      <c r="E19" s="254"/>
      <c r="F19" s="254"/>
      <c r="G19" s="39"/>
      <c r="J19" s="39"/>
      <c r="K19" s="39"/>
      <c r="M19" s="346">
        <f>_xll.qlCalendarAdvance(Calendar,M18,"1M","f",,Trigger)</f>
        <v>42471</v>
      </c>
      <c r="N19" s="344">
        <f>_xll.qlCalendarAdvance(Calendar,M19,"3M","mf",,Trigger)</f>
        <v>42562</v>
      </c>
      <c r="O19" s="40" t="str">
        <f>_xll.qlMakeDatedOIS(,M19,N19,OvernightIndex,0,,,,EvaluationDate)</f>
        <v>obj_005c7#0000</v>
      </c>
      <c r="P19" s="40" t="b">
        <f>_xll.qlInstrumentSetPricingEngine(O19,OisEngine)</f>
        <v>1</v>
      </c>
      <c r="Q19" s="38">
        <f>_xll.qlIndexFixing(Currency&amp;IborType&amp;"3M",_xll.qlInterestRateIndexFixingDate(Currency&amp;IborType&amp;"3M",M19),TRUE,AllTriggers)</f>
        <v>1.5915187799703673E-3</v>
      </c>
      <c r="R19" s="38">
        <f>_xll.qlOvernightIndexedSwapFairRate(O19,AllTriggers)</f>
        <v>-1.7279543225685518E-4</v>
      </c>
      <c r="S19" s="345">
        <f t="shared" si="2"/>
        <v>1.7643142122272225E-3</v>
      </c>
    </row>
    <row r="20" spans="5:19" ht="11.25" customHeight="1" x14ac:dyDescent="0.2">
      <c r="E20" s="254"/>
      <c r="F20" s="254"/>
      <c r="G20" s="39"/>
      <c r="J20" s="39"/>
      <c r="K20" s="39"/>
      <c r="M20" s="346">
        <f>_xll.qlCalendarAdvance(Calendar,M19,"1M","f",,Trigger)</f>
        <v>42501</v>
      </c>
      <c r="N20" s="344">
        <f>_xll.qlCalendarAdvance(Calendar,M20,"3M","mf",,Trigger)</f>
        <v>42593</v>
      </c>
      <c r="O20" s="40" t="str">
        <f>_xll.qlMakeDatedOIS(,M20,N20,OvernightIndex,0,,,,EvaluationDate)</f>
        <v>obj_005c8#0000</v>
      </c>
      <c r="P20" s="40" t="b">
        <f>_xll.qlInstrumentSetPricingEngine(O20,OisEngine)</f>
        <v>1</v>
      </c>
      <c r="Q20" s="38">
        <f>_xll.qlIndexFixing(Currency&amp;IborType&amp;"3M",_xll.qlInterestRateIndexFixingDate(Currency&amp;IborType&amp;"3M",M20),TRUE,AllTriggers)</f>
        <v>1.672031259099176E-3</v>
      </c>
      <c r="R20" s="38">
        <f>_xll.qlOvernightIndexedSwapFairRate(O20,AllTriggers)</f>
        <v>-6.1390859771400742E-5</v>
      </c>
      <c r="S20" s="345">
        <f t="shared" si="2"/>
        <v>1.7334221188705767E-3</v>
      </c>
    </row>
    <row r="21" spans="5:19" ht="11.25" customHeight="1" x14ac:dyDescent="0.2">
      <c r="E21" s="254"/>
      <c r="F21" s="254"/>
      <c r="G21" s="39"/>
      <c r="J21" s="39"/>
      <c r="K21" s="39"/>
      <c r="M21" s="346">
        <f>_xll.qlCalendarAdvance(Calendar,M20,"1M","f",,Trigger)</f>
        <v>42534</v>
      </c>
      <c r="N21" s="344">
        <f>_xll.qlCalendarAdvance(Calendar,M21,"3M","mf",,Trigger)</f>
        <v>42626</v>
      </c>
      <c r="O21" s="40" t="str">
        <f>_xll.qlMakeDatedOIS(,M21,N21,OvernightIndex,0,,,,EvaluationDate)</f>
        <v>obj_005c9#0000</v>
      </c>
      <c r="P21" s="40" t="b">
        <f>_xll.qlInstrumentSetPricingEngine(O21,OisEngine)</f>
        <v>1</v>
      </c>
      <c r="Q21" s="38">
        <f>_xll.qlIndexFixing(Currency&amp;IborType&amp;"3M",_xll.qlInterestRateIndexFixingDate(Currency&amp;IborType&amp;"3M",M21),TRUE,AllTriggers)</f>
        <v>1.768625629691784E-3</v>
      </c>
      <c r="R21" s="38">
        <f>_xll.qlOvernightIndexedSwapFairRate(O21,AllTriggers)</f>
        <v>1.5353555430508905E-5</v>
      </c>
      <c r="S21" s="345">
        <f t="shared" si="2"/>
        <v>1.753272074261275E-3</v>
      </c>
    </row>
    <row r="22" spans="5:19" ht="11.25" customHeight="1" x14ac:dyDescent="0.2">
      <c r="E22" s="254"/>
      <c r="F22" s="254"/>
      <c r="G22" s="39"/>
      <c r="J22" s="39"/>
      <c r="K22" s="39"/>
      <c r="M22" s="346">
        <f>_xll.qlCalendarAdvance(Calendar,M21,"1M","f",,Trigger)</f>
        <v>42564</v>
      </c>
      <c r="N22" s="344">
        <f>_xll.qlCalendarAdvance(Calendar,M22,"3M","mf",,Trigger)</f>
        <v>42656</v>
      </c>
      <c r="O22" s="40" t="str">
        <f>_xll.qlMakeDatedOIS(,M22,N22,OvernightIndex,0,,,,EvaluationDate)</f>
        <v>obj_005ca#0000</v>
      </c>
      <c r="P22" s="40" t="b">
        <f>_xll.qlInstrumentSetPricingEngine(O22,OisEngine)</f>
        <v>1</v>
      </c>
      <c r="Q22" s="38">
        <f>_xll.qlIndexFixing(Currency&amp;IborType&amp;"3M",_xll.qlInterestRateIndexFixingDate(Currency&amp;IborType&amp;"3M",M22),TRUE,AllTriggers)</f>
        <v>1.8707729529377421E-3</v>
      </c>
      <c r="R22" s="38">
        <f>_xll.qlOvernightIndexedSwapFairRate(O22,AllTriggers)</f>
        <v>7.2381283519872426E-5</v>
      </c>
      <c r="S22" s="345">
        <f t="shared" si="2"/>
        <v>1.7983916694178698E-3</v>
      </c>
    </row>
    <row r="23" spans="5:19" ht="11.25" customHeight="1" x14ac:dyDescent="0.2">
      <c r="E23" s="254"/>
      <c r="F23" s="254"/>
      <c r="G23" s="39"/>
      <c r="J23" s="39"/>
      <c r="K23" s="39"/>
      <c r="M23" s="346">
        <f>_xll.qlCalendarAdvance(Calendar,M22,"1M","f",,Trigger)</f>
        <v>42597</v>
      </c>
      <c r="N23" s="344">
        <f>_xll.qlCalendarAdvance(Calendar,M23,"3M","mf",,Trigger)</f>
        <v>42689</v>
      </c>
      <c r="O23" s="40" t="str">
        <f>_xll.qlMakeDatedOIS(,M23,N23,OvernightIndex,0,,,,EvaluationDate)</f>
        <v>obj_005cb#0000</v>
      </c>
      <c r="P23" s="40" t="b">
        <f>_xll.qlInstrumentSetPricingEngine(O23,OisEngine)</f>
        <v>1</v>
      </c>
      <c r="Q23" s="38">
        <f>_xll.qlIndexFixing(Currency&amp;IborType&amp;"3M",_xll.qlInterestRateIndexFixingDate(Currency&amp;IborType&amp;"3M",M23),TRUE,AllTriggers)</f>
        <v>1.9924975063780595E-3</v>
      </c>
      <c r="R23" s="38">
        <f>_xll.qlOvernightIndexedSwapFairRate(O23,AllTriggers)</f>
        <v>1.4769815594475034E-4</v>
      </c>
      <c r="S23" s="345">
        <f t="shared" si="2"/>
        <v>1.8447993504333092E-3</v>
      </c>
    </row>
    <row r="24" spans="5:19" ht="11.25" customHeight="1" x14ac:dyDescent="0.2">
      <c r="E24" s="254"/>
      <c r="F24" s="254"/>
      <c r="G24" s="39"/>
      <c r="J24" s="39"/>
      <c r="K24" s="39"/>
      <c r="M24" s="346">
        <f>_xll.qlCalendarAdvance(Calendar,M23,"1M","f",,Trigger)</f>
        <v>42628</v>
      </c>
      <c r="N24" s="344">
        <f>_xll.qlCalendarAdvance(Calendar,M24,"3M","mf",,Trigger)</f>
        <v>42719</v>
      </c>
      <c r="O24" s="40" t="str">
        <f>_xll.qlMakeDatedOIS(,M24,N24,OvernightIndex,0,,,,EvaluationDate)</f>
        <v>obj_005cc#0000</v>
      </c>
      <c r="P24" s="40" t="b">
        <f>_xll.qlInstrumentSetPricingEngine(O24,OisEngine)</f>
        <v>1</v>
      </c>
      <c r="Q24" s="38">
        <f>_xll.qlIndexFixing(Currency&amp;IborType&amp;"3M",_xll.qlInterestRateIndexFixingDate(Currency&amp;IborType&amp;"3M",M24),TRUE,AllTriggers)</f>
        <v>2.1040133770102087E-3</v>
      </c>
      <c r="R24" s="38">
        <f>_xll.qlOvernightIndexedSwapFairRate(O24,AllTriggers)</f>
        <v>2.3282084497849428E-4</v>
      </c>
      <c r="S24" s="345">
        <f t="shared" si="2"/>
        <v>1.8711925320317145E-3</v>
      </c>
    </row>
    <row r="25" spans="5:19" ht="11.25" customHeight="1" x14ac:dyDescent="0.2">
      <c r="E25" s="254"/>
      <c r="F25" s="254"/>
      <c r="G25" s="39"/>
      <c r="J25" s="39"/>
      <c r="K25" s="39"/>
      <c r="M25" s="346">
        <f>_xll.qlCalendarAdvance(Calendar,M24,"1M","f",,Trigger)</f>
        <v>42660</v>
      </c>
      <c r="N25" s="344">
        <f>_xll.qlCalendarAdvance(Calendar,M25,"3M","mf",,Trigger)</f>
        <v>42752</v>
      </c>
      <c r="O25" s="40" t="str">
        <f>_xll.qlMakeDatedOIS(,M25,N25,OvernightIndex,0,,,,EvaluationDate)</f>
        <v>obj_005cd#0000</v>
      </c>
      <c r="P25" s="40" t="b">
        <f>_xll.qlInstrumentSetPricingEngine(O25,OisEngine)</f>
        <v>1</v>
      </c>
      <c r="Q25" s="38">
        <f>_xll.qlIndexFixing(Currency&amp;IborType&amp;"3M",_xll.qlInterestRateIndexFixingDate(Currency&amp;IborType&amp;"3M",M25),TRUE,AllTriggers)</f>
        <v>2.2135008516719155E-3</v>
      </c>
      <c r="R25" s="38">
        <f>_xll.qlOvernightIndexedSwapFairRate(O25,AllTriggers)</f>
        <v>3.3798832727365664E-4</v>
      </c>
      <c r="S25" s="345">
        <f t="shared" si="2"/>
        <v>1.8755125243982589E-3</v>
      </c>
    </row>
    <row r="26" spans="5:19" ht="11.25" customHeight="1" x14ac:dyDescent="0.2">
      <c r="E26" s="254"/>
      <c r="F26" s="254"/>
      <c r="G26" s="39"/>
      <c r="J26" s="39"/>
      <c r="K26" s="39"/>
      <c r="M26" s="346">
        <f>_xll.qlCalendarAdvance(Calendar,M25,"1M","f",,Trigger)</f>
        <v>42691</v>
      </c>
      <c r="N26" s="344">
        <f>_xll.qlCalendarAdvance(Calendar,M26,"3M","mf",,Trigger)</f>
        <v>42783</v>
      </c>
      <c r="O26" s="40" t="str">
        <f>_xll.qlMakeDatedOIS(,M26,N26,OvernightIndex,0,,,,EvaluationDate)</f>
        <v>obj_005ce#0000</v>
      </c>
      <c r="P26" s="40" t="b">
        <f>_xll.qlInstrumentSetPricingEngine(O26,OisEngine)</f>
        <v>1</v>
      </c>
      <c r="Q26" s="38">
        <f>_xll.qlIndexFixing(Currency&amp;IborType&amp;"3M",_xll.qlInterestRateIndexFixingDate(Currency&amp;IborType&amp;"3M",M26),TRUE,AllTriggers)</f>
        <v>2.3132332365764004E-3</v>
      </c>
      <c r="R26" s="38">
        <f>_xll.qlOvernightIndexedSwapFairRate(O26,AllTriggers)</f>
        <v>4.4953136847371354E-4</v>
      </c>
      <c r="S26" s="345">
        <f t="shared" si="2"/>
        <v>1.8637018681026869E-3</v>
      </c>
    </row>
    <row r="27" spans="5:19" ht="11.25" customHeight="1" x14ac:dyDescent="0.2">
      <c r="E27" s="254"/>
      <c r="F27" s="254"/>
      <c r="G27" s="39"/>
      <c r="J27" s="39"/>
      <c r="K27" s="39"/>
      <c r="M27" s="346">
        <f>_xll.qlCalendarAdvance(Calendar,M26,"1M","f",,Trigger)</f>
        <v>42723</v>
      </c>
      <c r="N27" s="344">
        <f>_xll.qlCalendarAdvance(Calendar,M27,"3M","mf",,Trigger)</f>
        <v>42814</v>
      </c>
      <c r="O27" s="40" t="str">
        <f>_xll.qlMakeDatedOIS(,M27,N27,OvernightIndex,0,,,,EvaluationDate)</f>
        <v>obj_005cf#0000</v>
      </c>
      <c r="P27" s="40" t="b">
        <f>_xll.qlInstrumentSetPricingEngine(O27,OisEngine)</f>
        <v>1</v>
      </c>
      <c r="Q27" s="38">
        <f>_xll.qlIndexFixing(Currency&amp;IborType&amp;"3M",_xll.qlInterestRateIndexFixingDate(Currency&amp;IborType&amp;"3M",M27),TRUE,AllTriggers)</f>
        <v>2.4174221334940247E-3</v>
      </c>
      <c r="R27" s="38">
        <f>_xll.qlOvernightIndexedSwapFairRate(O27,AllTriggers)</f>
        <v>5.695992355960964E-4</v>
      </c>
      <c r="S27" s="345">
        <f t="shared" si="2"/>
        <v>1.8478228978979282E-3</v>
      </c>
    </row>
    <row r="28" spans="5:19" ht="11.25" customHeight="1" x14ac:dyDescent="0.2">
      <c r="E28" s="254"/>
      <c r="F28" s="254"/>
      <c r="G28" s="39"/>
      <c r="J28" s="39"/>
      <c r="K28" s="39"/>
      <c r="M28" s="346">
        <f>_xll.qlCalendarAdvance(Calendar,M27,"1M","f",,Trigger)</f>
        <v>42754</v>
      </c>
      <c r="N28" s="344">
        <f>_xll.qlCalendarAdvance(Calendar,M28,"3M","mf",,Trigger)</f>
        <v>42844</v>
      </c>
      <c r="O28" s="40" t="str">
        <f>_xll.qlMakeDatedOIS(,M28,N28,OvernightIndex,0,,,,EvaluationDate)</f>
        <v>obj_005d0#0000</v>
      </c>
      <c r="P28" s="40" t="b">
        <f>_xll.qlInstrumentSetPricingEngine(O28,OisEngine)</f>
        <v>1</v>
      </c>
      <c r="Q28" s="38">
        <f>_xll.qlIndexFixing(Currency&amp;IborType&amp;"3M",_xll.qlInterestRateIndexFixingDate(Currency&amp;IborType&amp;"3M",M28),TRUE,AllTriggers)</f>
        <v>2.5274863464535002E-3</v>
      </c>
      <c r="R28" s="38">
        <f>_xll.qlOvernightIndexedSwapFairRate(O28,AllTriggers)</f>
        <v>6.9184506100494758E-4</v>
      </c>
      <c r="S28" s="345">
        <f t="shared" si="2"/>
        <v>1.8356412854485527E-3</v>
      </c>
    </row>
    <row r="29" spans="5:19" ht="11.25" customHeight="1" x14ac:dyDescent="0.2">
      <c r="E29" s="254"/>
      <c r="F29" s="254"/>
      <c r="G29" s="39"/>
      <c r="J29" s="39"/>
      <c r="K29" s="39"/>
      <c r="M29" s="346">
        <f>_xll.qlCalendarAdvance(Calendar,M28,"1M","f",,Trigger)</f>
        <v>42786</v>
      </c>
      <c r="N29" s="344">
        <f>_xll.qlCalendarAdvance(Calendar,M29,"3M","mf",,Trigger)</f>
        <v>42877</v>
      </c>
      <c r="O29" s="40" t="str">
        <f>_xll.qlMakeDatedOIS(,M29,N29,OvernightIndex,0,,,,EvaluationDate)</f>
        <v>obj_005d1#0000</v>
      </c>
      <c r="P29" s="40" t="b">
        <f>_xll.qlInstrumentSetPricingEngine(O29,OisEngine)</f>
        <v>1</v>
      </c>
      <c r="Q29" s="38">
        <f>_xll.qlIndexFixing(Currency&amp;IborType&amp;"3M",_xll.qlInterestRateIndexFixingDate(Currency&amp;IborType&amp;"3M",M29),TRUE,AllTriggers)</f>
        <v>2.6566128016205846E-3</v>
      </c>
      <c r="R29" s="38">
        <f>_xll.qlOvernightIndexedSwapFairRate(O29,AllTriggers)</f>
        <v>8.2869450900885681E-4</v>
      </c>
      <c r="S29" s="345">
        <f t="shared" si="2"/>
        <v>1.8279182926117278E-3</v>
      </c>
    </row>
    <row r="30" spans="5:19" ht="11.25" customHeight="1" x14ac:dyDescent="0.2">
      <c r="E30" s="254"/>
      <c r="F30" s="254"/>
      <c r="G30" s="39"/>
      <c r="J30" s="39"/>
      <c r="K30" s="39"/>
      <c r="M30" s="346">
        <f>_xll.qlCalendarAdvance(Calendar,M29,"1M","f",,Trigger)</f>
        <v>42814</v>
      </c>
      <c r="N30" s="344">
        <f>_xll.qlCalendarAdvance(Calendar,M30,"3M","mf",,Trigger)</f>
        <v>42906</v>
      </c>
      <c r="O30" s="40" t="str">
        <f>_xll.qlMakeDatedOIS(,M30,N30,OvernightIndex,0,,,,EvaluationDate)</f>
        <v>obj_005d2#0000</v>
      </c>
      <c r="P30" s="40" t="b">
        <f>_xll.qlInstrumentSetPricingEngine(O30,OisEngine)</f>
        <v>1</v>
      </c>
      <c r="Q30" s="38">
        <f>_xll.qlIndexFixing(Currency&amp;IborType&amp;"3M",_xll.qlInterestRateIndexFixingDate(Currency&amp;IborType&amp;"3M",M30),TRUE,AllTriggers)</f>
        <v>2.7797537491685881E-3</v>
      </c>
      <c r="R30" s="38">
        <f>_xll.qlOvernightIndexedSwapFairRate(O30,AllTriggers)</f>
        <v>9.5421699107647493E-4</v>
      </c>
      <c r="S30" s="345">
        <f t="shared" si="2"/>
        <v>1.8255367580921132E-3</v>
      </c>
    </row>
    <row r="31" spans="5:19" ht="11.25" customHeight="1" x14ac:dyDescent="0.2">
      <c r="E31" s="254"/>
      <c r="F31" s="254"/>
      <c r="G31" s="39"/>
      <c r="J31" s="39"/>
      <c r="K31" s="39"/>
      <c r="M31" s="346">
        <f>_xll.qlCalendarAdvance(Calendar,M30,"1M","f",,Trigger)</f>
        <v>42845</v>
      </c>
      <c r="N31" s="344">
        <f>_xll.qlCalendarAdvance(Calendar,M31,"3M","mf",,Trigger)</f>
        <v>42936</v>
      </c>
      <c r="O31" s="40" t="str">
        <f>_xll.qlMakeDatedOIS(,M31,N31,OvernightIndex,0,,,,EvaluationDate)</f>
        <v>obj_005d4#0000</v>
      </c>
      <c r="P31" s="40" t="b">
        <f>_xll.qlInstrumentSetPricingEngine(O31,OisEngine)</f>
        <v>1</v>
      </c>
      <c r="Q31" s="38">
        <f>_xll.qlIndexFixing(Currency&amp;IborType&amp;"3M",_xll.qlInterestRateIndexFixingDate(Currency&amp;IborType&amp;"3M",M31),TRUE,AllTriggers)</f>
        <v>2.9215750171180262E-3</v>
      </c>
      <c r="R31" s="38">
        <f>_xll.qlOvernightIndexedSwapFairRate(O31,AllTriggers)</f>
        <v>1.0941483106512756E-3</v>
      </c>
      <c r="S31" s="345">
        <f t="shared" si="2"/>
        <v>1.8274267064667506E-3</v>
      </c>
    </row>
    <row r="32" spans="5:19" ht="11.25" customHeight="1" x14ac:dyDescent="0.2">
      <c r="E32" s="254"/>
      <c r="F32" s="254"/>
      <c r="G32" s="39"/>
      <c r="J32" s="39"/>
      <c r="K32" s="39"/>
      <c r="M32" s="346">
        <f>_xll.qlCalendarAdvance(Calendar,M31,"1M","f",,Trigger)</f>
        <v>42877</v>
      </c>
      <c r="N32" s="344">
        <f>_xll.qlCalendarAdvance(Calendar,M32,"3M","mf",,Trigger)</f>
        <v>42969</v>
      </c>
      <c r="O32" s="40" t="str">
        <f>_xll.qlMakeDatedOIS(,M32,N32,OvernightIndex,0,,,,EvaluationDate)</f>
        <v>obj_005d5#0000</v>
      </c>
      <c r="P32" s="40" t="b">
        <f>_xll.qlInstrumentSetPricingEngine(O32,OisEngine)</f>
        <v>1</v>
      </c>
      <c r="Q32" s="38">
        <f>_xll.qlIndexFixing(Currency&amp;IborType&amp;"3M",_xll.qlInterestRateIndexFixingDate(Currency&amp;IborType&amp;"3M",M32),TRUE,AllTriggers)</f>
        <v>3.084553094529075E-3</v>
      </c>
      <c r="R32" s="38">
        <f>_xll.qlOvernightIndexedSwapFairRate(O32,AllTriggers)</f>
        <v>1.2498481810481767E-3</v>
      </c>
      <c r="S32" s="345">
        <f t="shared" si="2"/>
        <v>1.8347049134808983E-3</v>
      </c>
    </row>
    <row r="33" spans="5:19" ht="11.25" customHeight="1" x14ac:dyDescent="0.2">
      <c r="E33" s="254"/>
      <c r="F33" s="254"/>
      <c r="G33" s="39"/>
      <c r="J33" s="39"/>
      <c r="K33" s="39"/>
      <c r="M33" s="346">
        <f>_xll.qlCalendarAdvance(Calendar,M32,"1M","f",,Trigger)</f>
        <v>42908</v>
      </c>
      <c r="N33" s="344">
        <f>_xll.qlCalendarAdvance(Calendar,M33,"3M","mf",,Trigger)</f>
        <v>43000</v>
      </c>
      <c r="O33" s="40" t="str">
        <f>_xll.qlMakeDatedOIS(,M33,N33,OvernightIndex,0,,,,EvaluationDate)</f>
        <v>obj_005d7#0000</v>
      </c>
      <c r="P33" s="40" t="b">
        <f>_xll.qlInstrumentSetPricingEngine(O33,OisEngine)</f>
        <v>1</v>
      </c>
      <c r="Q33" s="38">
        <f>_xll.qlIndexFixing(Currency&amp;IborType&amp;"3M",_xll.qlInterestRateIndexFixingDate(Currency&amp;IborType&amp;"3M",M33),TRUE,AllTriggers)</f>
        <v>3.2511201575662731E-3</v>
      </c>
      <c r="R33" s="38">
        <f>_xll.qlOvernightIndexedSwapFairRate(O33,AllTriggers)</f>
        <v>1.4045541238324418E-3</v>
      </c>
      <c r="S33" s="345">
        <f t="shared" si="2"/>
        <v>1.8465660337338313E-3</v>
      </c>
    </row>
    <row r="34" spans="5:19" ht="11.25" customHeight="1" x14ac:dyDescent="0.2">
      <c r="E34" s="254"/>
      <c r="F34" s="254"/>
      <c r="G34" s="39"/>
      <c r="J34" s="39"/>
      <c r="K34" s="39"/>
      <c r="M34" s="346">
        <f>_xll.qlCalendarAdvance(Calendar,M33,"1M","f",,Trigger)</f>
        <v>42940</v>
      </c>
      <c r="N34" s="344">
        <f>_xll.qlCalendarAdvance(Calendar,M34,"3M","mf",,Trigger)</f>
        <v>43032</v>
      </c>
      <c r="O34" s="40" t="str">
        <f>_xll.qlMakeDatedOIS(,M34,N34,OvernightIndex,0,,,,EvaluationDate)</f>
        <v>obj_005d8#0000</v>
      </c>
      <c r="P34" s="40" t="b">
        <f>_xll.qlInstrumentSetPricingEngine(O34,OisEngine)</f>
        <v>1</v>
      </c>
      <c r="Q34" s="38">
        <f>_xll.qlIndexFixing(Currency&amp;IborType&amp;"3M",_xll.qlInterestRateIndexFixingDate(Currency&amp;IborType&amp;"3M",M34),TRUE,AllTriggers)</f>
        <v>3.4345373359864644E-3</v>
      </c>
      <c r="R34" s="38">
        <f>_xll.qlOvernightIndexedSwapFairRate(O34,AllTriggers)</f>
        <v>1.5706417958384201E-3</v>
      </c>
      <c r="S34" s="345">
        <f t="shared" si="2"/>
        <v>1.8638955401480443E-3</v>
      </c>
    </row>
    <row r="35" spans="5:19" ht="11.25" customHeight="1" x14ac:dyDescent="0.2">
      <c r="E35" s="254"/>
      <c r="F35" s="254"/>
      <c r="G35" s="39"/>
      <c r="J35" s="39"/>
      <c r="K35" s="39"/>
      <c r="M35" s="346">
        <f>_xll.qlCalendarAdvance(Calendar,M34,"1M","f",,Trigger)</f>
        <v>42971</v>
      </c>
      <c r="N35" s="344">
        <f>_xll.qlCalendarAdvance(Calendar,M35,"3M","mf",,Trigger)</f>
        <v>43063</v>
      </c>
      <c r="O35" s="40" t="str">
        <f>_xll.qlMakeDatedOIS(,M35,N35,OvernightIndex,0,,,,EvaluationDate)</f>
        <v>obj_005da#0000</v>
      </c>
      <c r="P35" s="40" t="b">
        <f>_xll.qlInstrumentSetPricingEngine(O35,OisEngine)</f>
        <v>1</v>
      </c>
      <c r="Q35" s="38">
        <f>_xll.qlIndexFixing(Currency&amp;IborType&amp;"3M",_xll.qlInterestRateIndexFixingDate(Currency&amp;IborType&amp;"3M",M35),TRUE,AllTriggers)</f>
        <v>3.623095892891347E-3</v>
      </c>
      <c r="R35" s="38">
        <f>_xll.qlOvernightIndexedSwapFairRate(O35,AllTriggers)</f>
        <v>1.7376304084595533E-3</v>
      </c>
      <c r="S35" s="345">
        <f t="shared" si="2"/>
        <v>1.8854654844317937E-3</v>
      </c>
    </row>
    <row r="36" spans="5:19" ht="11.25" customHeight="1" x14ac:dyDescent="0.2">
      <c r="E36" s="254"/>
      <c r="F36" s="254"/>
      <c r="G36" s="39"/>
      <c r="J36" s="39"/>
      <c r="K36" s="39"/>
      <c r="M36" s="346">
        <f>_xll.qlCalendarAdvance(Calendar,M35,"1M","f",,Trigger)</f>
        <v>43003</v>
      </c>
      <c r="N36" s="344">
        <f>_xll.qlCalendarAdvance(Calendar,M36,"3M","mf",,Trigger)</f>
        <v>43096</v>
      </c>
      <c r="O36" s="40" t="str">
        <f>_xll.qlMakeDatedOIS(,M36,N36,OvernightIndex,0,,,,EvaluationDate)</f>
        <v>obj_005db#0000</v>
      </c>
      <c r="P36" s="40" t="b">
        <f>_xll.qlInstrumentSetPricingEngine(O36,OisEngine)</f>
        <v>1</v>
      </c>
      <c r="Q36" s="38">
        <f>_xll.qlIndexFixing(Currency&amp;IborType&amp;"3M",_xll.qlInterestRateIndexFixingDate(Currency&amp;IborType&amp;"3M",M36),TRUE,AllTriggers)</f>
        <v>3.8298743925072845E-3</v>
      </c>
      <c r="R36" s="38">
        <f>_xll.qlOvernightIndexedSwapFairRate(O36,AllTriggers)</f>
        <v>1.9181647532954867E-3</v>
      </c>
      <c r="S36" s="345">
        <f t="shared" si="2"/>
        <v>1.9117096392117978E-3</v>
      </c>
    </row>
    <row r="37" spans="5:19" ht="11.25" customHeight="1" x14ac:dyDescent="0.2">
      <c r="E37" s="254"/>
      <c r="F37" s="254"/>
      <c r="G37" s="39"/>
      <c r="J37" s="39"/>
      <c r="K37" s="39"/>
      <c r="M37" s="346">
        <f>_xll.qlCalendarAdvance(Calendar,M36,"1M","f",,Trigger)</f>
        <v>43033</v>
      </c>
      <c r="N37" s="344">
        <f>_xll.qlCalendarAdvance(Calendar,M37,"3M","mf",,Trigger)</f>
        <v>43125</v>
      </c>
      <c r="O37" s="40" t="str">
        <f>_xll.qlMakeDatedOIS(,M37,N37,OvernightIndex,0,,,,EvaluationDate)</f>
        <v>obj_005dc#0000</v>
      </c>
      <c r="P37" s="40" t="b">
        <f>_xll.qlInstrumentSetPricingEngine(O37,OisEngine)</f>
        <v>1</v>
      </c>
      <c r="Q37" s="38">
        <f>_xll.qlIndexFixing(Currency&amp;IborType&amp;"3M",_xll.qlInterestRateIndexFixingDate(Currency&amp;IborType&amp;"3M",M37),TRUE,AllTriggers)</f>
        <v>4.0224378805189453E-3</v>
      </c>
      <c r="R37" s="38">
        <f>_xll.qlOvernightIndexedSwapFairRate(O37,AllTriggers)</f>
        <v>2.0855447391993319E-3</v>
      </c>
      <c r="S37" s="345">
        <f t="shared" si="2"/>
        <v>1.9368931413196134E-3</v>
      </c>
    </row>
    <row r="38" spans="5:19" ht="11.25" customHeight="1" x14ac:dyDescent="0.2">
      <c r="E38" s="254"/>
      <c r="F38" s="254"/>
      <c r="G38" s="39"/>
      <c r="J38" s="39"/>
      <c r="K38" s="39"/>
      <c r="M38" s="346">
        <f>_xll.qlCalendarAdvance(Calendar,M37,"1M","f",,Trigger)</f>
        <v>43066</v>
      </c>
      <c r="N38" s="344">
        <f>_xll.qlCalendarAdvance(Calendar,M38,"3M","mf",,Trigger)</f>
        <v>43158</v>
      </c>
      <c r="O38" s="40" t="str">
        <f>_xll.qlMakeDatedOIS(,M38,N38,OvernightIndex,0,,,,EvaluationDate)</f>
        <v>obj_005dd#0000</v>
      </c>
      <c r="P38" s="40" t="b">
        <f>_xll.qlInstrumentSetPricingEngine(O38,OisEngine)</f>
        <v>1</v>
      </c>
      <c r="Q38" s="38">
        <f>_xll.qlIndexFixing(Currency&amp;IborType&amp;"3M",_xll.qlInterestRateIndexFixingDate(Currency&amp;IborType&amp;"3M",M38),TRUE,AllTriggers)</f>
        <v>4.2403849472460531E-3</v>
      </c>
      <c r="R38" s="38">
        <f>_xll.qlOvernightIndexedSwapFairRate(O38,AllTriggers)</f>
        <v>2.2755619627586347E-3</v>
      </c>
      <c r="S38" s="345">
        <f t="shared" si="2"/>
        <v>1.9648229844874184E-3</v>
      </c>
    </row>
    <row r="39" spans="5:19" ht="11.25" customHeight="1" x14ac:dyDescent="0.2">
      <c r="E39" s="254"/>
      <c r="F39" s="254"/>
      <c r="G39" s="39"/>
      <c r="J39" s="39"/>
      <c r="K39" s="39"/>
      <c r="M39" s="346">
        <f>_xll.qlCalendarAdvance(Calendar,M38,"1M","f",,Trigger)</f>
        <v>43096</v>
      </c>
      <c r="N39" s="344">
        <f>_xll.qlCalendarAdvance(Calendar,M39,"3M","mf",,Trigger)</f>
        <v>43186</v>
      </c>
      <c r="O39" s="40" t="str">
        <f>_xll.qlMakeDatedOIS(,M39,N39,OvernightIndex,0,,,,EvaluationDate)</f>
        <v>obj_005de#0000</v>
      </c>
      <c r="P39" s="40" t="b">
        <f>_xll.qlInstrumentSetPricingEngine(O39,OisEngine)</f>
        <v>1</v>
      </c>
      <c r="Q39" s="38">
        <f>_xll.qlIndexFixing(Currency&amp;IborType&amp;"3M",_xll.qlInterestRateIndexFixingDate(Currency&amp;IborType&amp;"3M",M39),TRUE,AllTriggers)</f>
        <v>4.4332242617466378E-3</v>
      </c>
      <c r="R39" s="38">
        <f>_xll.qlOvernightIndexedSwapFairRate(O39,AllTriggers)</f>
        <v>2.4445708038030038E-3</v>
      </c>
      <c r="S39" s="345">
        <f t="shared" si="2"/>
        <v>1.9886534579436339E-3</v>
      </c>
    </row>
    <row r="40" spans="5:19" ht="11.25" customHeight="1" x14ac:dyDescent="0.2">
      <c r="E40" s="254"/>
      <c r="F40" s="254"/>
      <c r="G40" s="39"/>
      <c r="J40" s="39"/>
      <c r="K40" s="39"/>
      <c r="M40" s="346">
        <f>_xll.qlCalendarAdvance(Calendar,M39,"1M","f",,Trigger)</f>
        <v>43129</v>
      </c>
      <c r="N40" s="344">
        <f>_xll.qlCalendarAdvance(Calendar,M40,"3M","mf",,Trigger)</f>
        <v>43220</v>
      </c>
      <c r="O40" s="40" t="str">
        <f>_xll.qlMakeDatedOIS(,M40,N40,OvernightIndex,0,,,,EvaluationDate)</f>
        <v>obj_005df#0000</v>
      </c>
      <c r="P40" s="40" t="b">
        <f>_xll.qlInstrumentSetPricingEngine(O40,OisEngine)</f>
        <v>1</v>
      </c>
      <c r="Q40" s="38">
        <f>_xll.qlIndexFixing(Currency&amp;IborType&amp;"3M",_xll.qlInterestRateIndexFixingDate(Currency&amp;IborType&amp;"3M",M40),TRUE,AllTriggers)</f>
        <v>4.6577251613887632E-3</v>
      </c>
      <c r="R40" s="38">
        <f>_xll.qlOvernightIndexedSwapFairRate(O40,AllTriggers)</f>
        <v>2.6423044185804306E-3</v>
      </c>
      <c r="S40" s="345">
        <f t="shared" si="2"/>
        <v>2.0154207428083326E-3</v>
      </c>
    </row>
    <row r="41" spans="5:19" ht="11.25" customHeight="1" x14ac:dyDescent="0.2">
      <c r="E41" s="254"/>
      <c r="F41" s="254"/>
      <c r="G41" s="39"/>
      <c r="J41" s="39"/>
      <c r="K41" s="39"/>
      <c r="M41" s="346">
        <f>_xll.qlCalendarAdvance(Calendar,M40,"1M","f",,Trigger)</f>
        <v>43159</v>
      </c>
      <c r="N41" s="344">
        <f>_xll.qlCalendarAdvance(Calendar,M41,"3M","mf",,Trigger)</f>
        <v>43248</v>
      </c>
      <c r="O41" s="40" t="str">
        <f>_xll.qlMakeDatedOIS(,M41,N41,OvernightIndex,0,,,,EvaluationDate)</f>
        <v>obj_005e0#0000</v>
      </c>
      <c r="P41" s="40" t="b">
        <f>_xll.qlInstrumentSetPricingEngine(O41,OisEngine)</f>
        <v>1</v>
      </c>
      <c r="Q41" s="38">
        <f>_xll.qlIndexFixing(Currency&amp;IborType&amp;"3M",_xll.qlInterestRateIndexFixingDate(Currency&amp;IborType&amp;"3M",M41),TRUE,AllTriggers)</f>
        <v>4.8636340261998257E-3</v>
      </c>
      <c r="R41" s="38">
        <f>_xll.qlOvernightIndexedSwapFairRate(O41,AllTriggers)</f>
        <v>2.8154894003245431E-3</v>
      </c>
      <c r="S41" s="345">
        <f t="shared" si="2"/>
        <v>2.0481446258752826E-3</v>
      </c>
    </row>
    <row r="42" spans="5:19" ht="11.25" customHeight="1" x14ac:dyDescent="0.2">
      <c r="E42" s="254"/>
      <c r="F42" s="254"/>
      <c r="G42" s="39"/>
      <c r="J42" s="39"/>
      <c r="K42" s="39"/>
      <c r="M42" s="346">
        <f>_xll.qlCalendarAdvance(Calendar,M41,"1M","f",,Trigger)</f>
        <v>43187</v>
      </c>
      <c r="N42" s="344">
        <f>_xll.qlCalendarAdvance(Calendar,M42,"3M","mf",,Trigger)</f>
        <v>43279</v>
      </c>
      <c r="O42" s="40" t="str">
        <f>_xll.qlMakeDatedOIS(,M42,N42,OvernightIndex,0,,,,EvaluationDate)</f>
        <v>obj_005e1#0000</v>
      </c>
      <c r="P42" s="40" t="b">
        <f>_xll.qlInstrumentSetPricingEngine(O42,OisEngine)</f>
        <v>1</v>
      </c>
      <c r="Q42" s="38">
        <f>_xll.qlIndexFixing(Currency&amp;IborType&amp;"3M",_xll.qlInterestRateIndexFixingDate(Currency&amp;IborType&amp;"3M",M42),TRUE,AllTriggers)</f>
        <v>5.0538886125285681E-3</v>
      </c>
      <c r="R42" s="38">
        <f>_xll.qlOvernightIndexedSwapFairRate(O42,AllTriggers)</f>
        <v>2.9937957404744062E-3</v>
      </c>
      <c r="S42" s="345">
        <f t="shared" si="2"/>
        <v>2.0600928720541619E-3</v>
      </c>
    </row>
    <row r="43" spans="5:19" ht="11.25" customHeight="1" x14ac:dyDescent="0.2">
      <c r="E43" s="254"/>
      <c r="F43" s="254"/>
      <c r="G43" s="39"/>
      <c r="J43" s="39"/>
      <c r="K43" s="39"/>
      <c r="M43" s="346">
        <f>_xll.qlCalendarAdvance(Calendar,M42,"1M","f",,Trigger)</f>
        <v>43220</v>
      </c>
      <c r="N43" s="344">
        <f>_xll.qlCalendarAdvance(Calendar,M43,"3M","mf",,Trigger)</f>
        <v>43311</v>
      </c>
      <c r="O43" s="40" t="str">
        <f>_xll.qlMakeDatedOIS(,M43,N43,OvernightIndex,0,,,,EvaluationDate)</f>
        <v>obj_005e3#0000</v>
      </c>
      <c r="P43" s="40" t="b">
        <f>_xll.qlInstrumentSetPricingEngine(O43,OisEngine)</f>
        <v>1</v>
      </c>
      <c r="Q43" s="38">
        <f>_xll.qlIndexFixing(Currency&amp;IborType&amp;"3M",_xll.qlInterestRateIndexFixingDate(Currency&amp;IborType&amp;"3M",M43),TRUE,AllTriggers)</f>
        <v>5.2796682127018522E-3</v>
      </c>
      <c r="R43" s="38">
        <f>_xll.qlOvernightIndexedSwapFairRate(O43,AllTriggers)</f>
        <v>3.1924352662830832E-3</v>
      </c>
      <c r="S43" s="345">
        <f t="shared" si="2"/>
        <v>2.0872329464187689E-3</v>
      </c>
    </row>
    <row r="44" spans="5:19" ht="11.25" customHeight="1" x14ac:dyDescent="0.2">
      <c r="E44" s="254"/>
      <c r="F44" s="254"/>
      <c r="G44" s="39"/>
      <c r="J44" s="39"/>
      <c r="K44" s="39"/>
      <c r="M44" s="346">
        <f>_xll.qlCalendarAdvance(Calendar,M43,"1M","f",,Trigger)</f>
        <v>43250</v>
      </c>
      <c r="N44" s="344">
        <f>_xll.qlCalendarAdvance(Calendar,M44,"3M","mf",,Trigger)</f>
        <v>43342</v>
      </c>
      <c r="O44" s="40" t="str">
        <f>_xll.qlMakeDatedOIS(,M44,N44,OvernightIndex,0,,,,EvaluationDate)</f>
        <v>obj_005e4#0000</v>
      </c>
      <c r="P44" s="40" t="b">
        <f>_xll.qlInstrumentSetPricingEngine(O44,OisEngine)</f>
        <v>1</v>
      </c>
      <c r="Q44" s="38">
        <f>_xll.qlIndexFixing(Currency&amp;IborType&amp;"3M",_xll.qlInterestRateIndexFixingDate(Currency&amp;IborType&amp;"3M",M44),TRUE,AllTriggers)</f>
        <v>5.4863788361844091E-3</v>
      </c>
      <c r="R44" s="38">
        <f>_xll.qlOvernightIndexedSwapFairRate(O44,AllTriggers)</f>
        <v>3.381130336984086E-3</v>
      </c>
      <c r="S44" s="345">
        <f t="shared" si="2"/>
        <v>2.1052484992003231E-3</v>
      </c>
    </row>
    <row r="45" spans="5:19" ht="11.25" customHeight="1" x14ac:dyDescent="0.2">
      <c r="E45" s="254"/>
      <c r="F45" s="254"/>
      <c r="G45" s="39"/>
      <c r="J45" s="39"/>
      <c r="K45" s="39"/>
      <c r="M45" s="346">
        <f>_xll.qlCalendarAdvance(Calendar,M44,"1M","f",,Trigger)</f>
        <v>43283</v>
      </c>
      <c r="N45" s="344">
        <f>_xll.qlCalendarAdvance(Calendar,M45,"3M","mf",,Trigger)</f>
        <v>43375</v>
      </c>
      <c r="O45" s="40" t="str">
        <f>_xll.qlMakeDatedOIS(,M45,N45,OvernightIndex,0,,,,EvaluationDate)</f>
        <v>obj_005e5#0000</v>
      </c>
      <c r="P45" s="40" t="b">
        <f>_xll.qlInstrumentSetPricingEngine(O45,OisEngine)</f>
        <v>1</v>
      </c>
      <c r="Q45" s="38">
        <f>_xll.qlIndexFixing(Currency&amp;IborType&amp;"3M",_xll.qlInterestRateIndexFixingDate(Currency&amp;IborType&amp;"3M",M45),TRUE,AllTriggers)</f>
        <v>5.7153628767290052E-3</v>
      </c>
      <c r="R45" s="38">
        <f>_xll.qlOvernightIndexedSwapFairRate(O45,AllTriggers)</f>
        <v>3.5876772645784933E-3</v>
      </c>
      <c r="S45" s="345">
        <f t="shared" si="2"/>
        <v>2.127685612150512E-3</v>
      </c>
    </row>
    <row r="46" spans="5:19" ht="11.25" customHeight="1" x14ac:dyDescent="0.2">
      <c r="E46" s="254"/>
      <c r="F46" s="254"/>
      <c r="G46" s="39"/>
      <c r="J46" s="39"/>
      <c r="K46" s="39"/>
      <c r="M46" s="346">
        <f>_xll.qlCalendarAdvance(Calendar,M45,"1M","f",,Trigger)</f>
        <v>43314</v>
      </c>
      <c r="N46" s="344">
        <f>_xll.qlCalendarAdvance(Calendar,M46,"3M","mf",,Trigger)</f>
        <v>43406</v>
      </c>
      <c r="O46" s="40" t="str">
        <f>_xll.qlMakeDatedOIS(,M46,N46,OvernightIndex,0,,,,EvaluationDate)</f>
        <v>obj_005e6#0000</v>
      </c>
      <c r="P46" s="40" t="b">
        <f>_xll.qlInstrumentSetPricingEngine(O46,OisEngine)</f>
        <v>1</v>
      </c>
      <c r="Q46" s="38">
        <f>_xll.qlIndexFixing(Currency&amp;IborType&amp;"3M",_xll.qlInterestRateIndexFixingDate(Currency&amp;IborType&amp;"3M",M46),TRUE,AllTriggers)</f>
        <v>5.931998493836777E-3</v>
      </c>
      <c r="R46" s="38">
        <f>_xll.qlOvernightIndexedSwapFairRate(O46,AllTriggers)</f>
        <v>3.7839971915830332E-3</v>
      </c>
      <c r="S46" s="345">
        <f t="shared" si="2"/>
        <v>2.1480013022537438E-3</v>
      </c>
    </row>
    <row r="47" spans="5:19" ht="11.25" customHeight="1" x14ac:dyDescent="0.2">
      <c r="E47" s="254"/>
      <c r="F47" s="254"/>
      <c r="G47" s="39"/>
      <c r="J47" s="39"/>
      <c r="K47" s="39"/>
      <c r="M47" s="346">
        <f>_xll.qlCalendarAdvance(Calendar,M46,"1M","f",,Trigger)</f>
        <v>43346</v>
      </c>
      <c r="N47" s="344">
        <f>_xll.qlCalendarAdvance(Calendar,M47,"3M","mf",,Trigger)</f>
        <v>43437</v>
      </c>
      <c r="O47" s="40" t="str">
        <f>_xll.qlMakeDatedOIS(,M47,N47,OvernightIndex,0,,,,EvaluationDate)</f>
        <v>obj_005e7#0000</v>
      </c>
      <c r="P47" s="40" t="b">
        <f>_xll.qlInstrumentSetPricingEngine(O47,OisEngine)</f>
        <v>1</v>
      </c>
      <c r="Q47" s="38">
        <f>_xll.qlIndexFixing(Currency&amp;IborType&amp;"3M",_xll.qlInterestRateIndexFixingDate(Currency&amp;IborType&amp;"3M",M47),TRUE,AllTriggers)</f>
        <v>6.1536225428042912E-3</v>
      </c>
      <c r="R47" s="38">
        <f>_xll.qlOvernightIndexedSwapFairRate(O47,AllTriggers)</f>
        <v>3.9859639553585643E-3</v>
      </c>
      <c r="S47" s="345">
        <f t="shared" si="2"/>
        <v>2.1676585874457269E-3</v>
      </c>
    </row>
    <row r="48" spans="5:19" ht="11.25" customHeight="1" x14ac:dyDescent="0.2">
      <c r="E48" s="254"/>
      <c r="F48" s="254"/>
      <c r="G48" s="39"/>
      <c r="J48" s="39"/>
      <c r="K48" s="39"/>
      <c r="M48" s="346">
        <f>_xll.qlCalendarAdvance(Calendar,M47,"1M","f",,Trigger)</f>
        <v>43376</v>
      </c>
      <c r="N48" s="344">
        <f>_xll.qlCalendarAdvance(Calendar,M48,"3M","mf",,Trigger)</f>
        <v>43468</v>
      </c>
      <c r="O48" s="40" t="str">
        <f>_xll.qlMakeDatedOIS(,M48,N48,OvernightIndex,0,,,,EvaluationDate)</f>
        <v>obj_005e8#0000</v>
      </c>
      <c r="P48" s="40" t="b">
        <f>_xll.qlInstrumentSetPricingEngine(O48,OisEngine)</f>
        <v>1</v>
      </c>
      <c r="Q48" s="38">
        <f>_xll.qlIndexFixing(Currency&amp;IborType&amp;"3M",_xll.qlInterestRateIndexFixingDate(Currency&amp;IborType&amp;"3M",M48),TRUE,AllTriggers)</f>
        <v>6.3700089138343918E-3</v>
      </c>
      <c r="R48" s="38">
        <f>_xll.qlOvernightIndexedSwapFairRate(O48,AllTriggers)</f>
        <v>4.18507426790596E-3</v>
      </c>
      <c r="S48" s="345">
        <f t="shared" si="2"/>
        <v>2.1849346459284318E-3</v>
      </c>
    </row>
    <row r="49" spans="5:20" ht="11.25" customHeight="1" x14ac:dyDescent="0.2">
      <c r="E49" s="254"/>
      <c r="F49" s="254"/>
      <c r="G49" s="39"/>
      <c r="J49" s="39"/>
      <c r="K49" s="39"/>
      <c r="M49" s="346">
        <f>_xll.qlCalendarAdvance(Calendar,M48,"1M","f",,Trigger)</f>
        <v>43409</v>
      </c>
      <c r="N49" s="344">
        <f>_xll.qlCalendarAdvance(Calendar,M49,"3M","mf",,Trigger)</f>
        <v>43501</v>
      </c>
      <c r="O49" s="40" t="str">
        <f>_xll.qlMakeDatedOIS(,M49,N49,OvernightIndex,0,,,,EvaluationDate)</f>
        <v>obj_005e9#0000</v>
      </c>
      <c r="P49" s="40" t="b">
        <f>_xll.qlInstrumentSetPricingEngine(O49,OisEngine)</f>
        <v>1</v>
      </c>
      <c r="Q49" s="38">
        <f>_xll.qlIndexFixing(Currency&amp;IborType&amp;"3M",_xll.qlInterestRateIndexFixingDate(Currency&amp;IborType&amp;"3M",M49),TRUE,AllTriggers)</f>
        <v>6.6061331474201587E-3</v>
      </c>
      <c r="R49" s="38">
        <f>_xll.qlOvernightIndexedSwapFairRate(O49,AllTriggers)</f>
        <v>4.4056376417926828E-3</v>
      </c>
      <c r="S49" s="345">
        <f t="shared" si="2"/>
        <v>2.2004955056274759E-3</v>
      </c>
    </row>
    <row r="50" spans="5:20" ht="11.25" customHeight="1" x14ac:dyDescent="0.2">
      <c r="E50" s="254"/>
      <c r="F50" s="254"/>
      <c r="G50" s="39"/>
      <c r="J50" s="39"/>
      <c r="K50" s="39"/>
      <c r="M50" s="346">
        <f>_xll.qlCalendarAdvance(Calendar,M49,"1M","f",,Trigger)</f>
        <v>43439</v>
      </c>
      <c r="N50" s="344">
        <f>_xll.qlCalendarAdvance(Calendar,M50,"3M","mf",,Trigger)</f>
        <v>43529</v>
      </c>
      <c r="O50" s="40" t="str">
        <f>_xll.qlMakeDatedOIS(,M50,N50,OvernightIndex,0,,,,EvaluationDate)</f>
        <v>obj_005ea#0000</v>
      </c>
      <c r="P50" s="40" t="b">
        <f>_xll.qlInstrumentSetPricingEngine(O50,OisEngine)</f>
        <v>1</v>
      </c>
      <c r="Q50" s="38">
        <f>_xll.qlIndexFixing(Currency&amp;IborType&amp;"3M",_xll.qlInterestRateIndexFixingDate(Currency&amp;IborType&amp;"3M",M50),TRUE,AllTriggers)</f>
        <v>6.8153956938443727E-3</v>
      </c>
      <c r="R50" s="38">
        <f>_xll.qlOvernightIndexedSwapFairRate(O50,AllTriggers)</f>
        <v>4.6046286618270926E-3</v>
      </c>
      <c r="S50" s="345">
        <f t="shared" si="2"/>
        <v>2.2107670320172801E-3</v>
      </c>
    </row>
    <row r="51" spans="5:20" ht="11.25" customHeight="1" x14ac:dyDescent="0.2">
      <c r="E51" s="254"/>
      <c r="F51" s="254"/>
      <c r="G51" s="39"/>
      <c r="J51" s="39"/>
      <c r="K51" s="39"/>
      <c r="M51" s="346">
        <f>_xll.qlCalendarAdvance(Calendar,M50,"1M","f",,Trigger)</f>
        <v>43472</v>
      </c>
      <c r="N51" s="344">
        <f>_xll.qlCalendarAdvance(Calendar,M51,"3M","mf",,Trigger)</f>
        <v>43563</v>
      </c>
      <c r="O51" s="40" t="str">
        <f>_xll.qlMakeDatedOIS(,M51,N51,OvernightIndex,0,,,,EvaluationDate)</f>
        <v>obj_005eb#0000</v>
      </c>
      <c r="P51" s="40" t="b">
        <f>_xll.qlInstrumentSetPricingEngine(O51,OisEngine)</f>
        <v>1</v>
      </c>
      <c r="Q51" s="38">
        <f>_xll.qlIndexFixing(Currency&amp;IborType&amp;"3M",_xll.qlInterestRateIndexFixingDate(Currency&amp;IborType&amp;"3M",M51),TRUE,AllTriggers)</f>
        <v>7.059655059435759E-3</v>
      </c>
      <c r="R51" s="38">
        <f>_xll.qlOvernightIndexedSwapFairRate(O51,AllTriggers)</f>
        <v>4.8410839406466876E-3</v>
      </c>
      <c r="S51" s="345">
        <f t="shared" si="2"/>
        <v>2.2185711187890714E-3</v>
      </c>
    </row>
    <row r="52" spans="5:20" ht="11.25" customHeight="1" x14ac:dyDescent="0.2">
      <c r="E52" s="254"/>
      <c r="F52" s="254"/>
      <c r="G52" s="39"/>
      <c r="J52" s="39"/>
      <c r="K52" s="39"/>
      <c r="M52" s="346">
        <f>_xll.qlCalendarAdvance(Calendar,M51,"1M","f",,Trigger)</f>
        <v>43503</v>
      </c>
      <c r="N52" s="344">
        <f>_xll.qlCalendarAdvance(Calendar,M52,"3M","mf",,Trigger)</f>
        <v>43592</v>
      </c>
      <c r="O52" s="40" t="str">
        <f>_xll.qlMakeDatedOIS(,M52,N52,OvernightIndex,0,,,,EvaluationDate)</f>
        <v>obj_005ec#0000</v>
      </c>
      <c r="P52" s="40" t="b">
        <f>_xll.qlInstrumentSetPricingEngine(O52,OisEngine)</f>
        <v>1</v>
      </c>
      <c r="Q52" s="38">
        <f>_xll.qlIndexFixing(Currency&amp;IborType&amp;"3M",_xll.qlInterestRateIndexFixingDate(Currency&amp;IborType&amp;"3M",M52),TRUE,AllTriggers)</f>
        <v>7.2802018740736824E-3</v>
      </c>
      <c r="R52" s="38">
        <f>_xll.qlOvernightIndexedSwapFairRate(O52,AllTriggers)</f>
        <v>5.0583757091416069E-3</v>
      </c>
      <c r="S52" s="345">
        <f t="shared" si="2"/>
        <v>2.2218261649320755E-3</v>
      </c>
    </row>
    <row r="53" spans="5:20" ht="11.25" customHeight="1" x14ac:dyDescent="0.2">
      <c r="E53" s="254"/>
      <c r="F53" s="254"/>
      <c r="G53" s="39"/>
      <c r="J53" s="39"/>
      <c r="K53" s="39"/>
      <c r="M53" s="346">
        <f>_xll.qlCalendarAdvance(Calendar,M52,"1M","f",,Trigger)</f>
        <v>43531</v>
      </c>
      <c r="N53" s="344">
        <f>_xll.qlCalendarAdvance(Calendar,M53,"3M","mf",,Trigger)</f>
        <v>43623</v>
      </c>
      <c r="O53" s="40" t="str">
        <f>_xll.qlMakeDatedOIS(,M53,N53,OvernightIndex,0,,,,EvaluationDate)</f>
        <v>obj_005ee#0000</v>
      </c>
      <c r="P53" s="40" t="b">
        <f>_xll.qlInstrumentSetPricingEngine(O53,OisEngine)</f>
        <v>1</v>
      </c>
      <c r="Q53" s="38">
        <f>_xll.qlIndexFixing(Currency&amp;IborType&amp;"3M",_xll.qlInterestRateIndexFixingDate(Currency&amp;IborType&amp;"3M",M53),TRUE,AllTriggers)</f>
        <v>7.4994202620176408E-3</v>
      </c>
      <c r="R53" s="38">
        <f>_xll.qlOvernightIndexedSwapFairRate(O53,AllTriggers)</f>
        <v>5.2777684833506316E-3</v>
      </c>
      <c r="S53" s="345">
        <f t="shared" si="2"/>
        <v>2.2216517786670092E-3</v>
      </c>
    </row>
    <row r="54" spans="5:20" ht="11.25" customHeight="1" x14ac:dyDescent="0.2">
      <c r="E54" s="254"/>
      <c r="F54" s="254"/>
      <c r="G54" s="39"/>
      <c r="J54" s="39"/>
      <c r="K54" s="39"/>
      <c r="M54" s="346">
        <f>_xll.qlCalendarAdvance(Calendar,M53,"1M","f",,Trigger)</f>
        <v>43563</v>
      </c>
      <c r="N54" s="344">
        <f>_xll.qlCalendarAdvance(Calendar,M54,"3M","mf",,Trigger)</f>
        <v>43654</v>
      </c>
      <c r="O54" s="40" t="str">
        <f>_xll.qlMakeDatedOIS(,M54,N54,OvernightIndex,0,,,,EvaluationDate)</f>
        <v>obj_005f0#0000</v>
      </c>
      <c r="P54" s="40" t="b">
        <f>_xll.qlInstrumentSetPricingEngine(O54,OisEngine)</f>
        <v>1</v>
      </c>
      <c r="Q54" s="38">
        <f>_xll.qlIndexFixing(Currency&amp;IborType&amp;"3M",_xll.qlInterestRateIndexFixingDate(Currency&amp;IborType&amp;"3M",M54),TRUE,AllTriggers)</f>
        <v>7.7351913382583473E-3</v>
      </c>
      <c r="R54" s="38">
        <f>_xll.qlOvernightIndexedSwapFairRate(O54,AllTriggers)</f>
        <v>5.5175090134246324E-3</v>
      </c>
      <c r="S54" s="345">
        <f t="shared" si="2"/>
        <v>2.2176823248337149E-3</v>
      </c>
    </row>
    <row r="55" spans="5:20" ht="11.25" customHeight="1" x14ac:dyDescent="0.2">
      <c r="E55" s="254"/>
      <c r="F55" s="254"/>
      <c r="G55" s="39"/>
      <c r="J55" s="39"/>
      <c r="K55" s="39"/>
      <c r="M55" s="346">
        <f>_xll.qlCalendarAdvance(Calendar,M54,"1M","f",,Trigger)</f>
        <v>43593</v>
      </c>
      <c r="N55" s="344">
        <f>_xll.qlCalendarAdvance(Calendar,M55,"3M","mf",,Trigger)</f>
        <v>43685</v>
      </c>
      <c r="O55" s="40" t="str">
        <f>_xll.qlMakeDatedOIS(,M55,N55,OvernightIndex,0,,,,EvaluationDate)</f>
        <v>obj_005f1#0000</v>
      </c>
      <c r="P55" s="40" t="b">
        <f>_xll.qlInstrumentSetPricingEngine(O55,OisEngine)</f>
        <v>1</v>
      </c>
      <c r="Q55" s="38">
        <f>_xll.qlIndexFixing(Currency&amp;IborType&amp;"3M",_xll.qlInterestRateIndexFixingDate(Currency&amp;IborType&amp;"3M",M55),TRUE,AllTriggers)</f>
        <v>7.9657181204173533E-3</v>
      </c>
      <c r="R55" s="38">
        <f>_xll.qlOvernightIndexedSwapFairRate(O55,AllTriggers)</f>
        <v>5.7555431189302581E-3</v>
      </c>
      <c r="S55" s="345">
        <f t="shared" si="2"/>
        <v>2.2101750014870952E-3</v>
      </c>
    </row>
    <row r="56" spans="5:20" ht="11.25" customHeight="1" x14ac:dyDescent="0.2">
      <c r="E56" s="254"/>
      <c r="F56" s="254"/>
      <c r="G56" s="39"/>
      <c r="J56" s="39"/>
      <c r="K56" s="39"/>
      <c r="M56" s="346">
        <f>_xll.qlCalendarAdvance(Calendar,M55,"1M","f",,Trigger)</f>
        <v>43626</v>
      </c>
      <c r="N56" s="344">
        <f>_xll.qlCalendarAdvance(Calendar,M56,"3M","mf",,Trigger)</f>
        <v>43718</v>
      </c>
      <c r="O56" s="40" t="str">
        <f>_xll.qlMakeDatedOIS(,M56,N56,OvernightIndex,0,,,,EvaluationDate)</f>
        <v>obj_005f2#0000</v>
      </c>
      <c r="P56" s="40" t="b">
        <f>_xll.qlInstrumentSetPricingEngine(O56,OisEngine)</f>
        <v>1</v>
      </c>
      <c r="Q56" s="38">
        <f>_xll.qlIndexFixing(Currency&amp;IborType&amp;"3M",_xll.qlInterestRateIndexFixingDate(Currency&amp;IborType&amp;"3M",M56),TRUE,AllTriggers)</f>
        <v>8.2172993093509537E-3</v>
      </c>
      <c r="R56" s="38">
        <f>_xll.qlOvernightIndexedSwapFairRate(O56,AllTriggers)</f>
        <v>6.0193439986752518E-3</v>
      </c>
      <c r="S56" s="345">
        <f t="shared" si="2"/>
        <v>2.1979553106757019E-3</v>
      </c>
    </row>
    <row r="57" spans="5:20" ht="11.25" customHeight="1" x14ac:dyDescent="0.2">
      <c r="E57" s="254"/>
      <c r="F57" s="254"/>
      <c r="G57" s="39"/>
      <c r="J57" s="39"/>
      <c r="K57" s="39"/>
      <c r="M57" s="346">
        <f>_xll.qlCalendarAdvance(Calendar,M56,"1M","f",,Trigger)</f>
        <v>43656</v>
      </c>
      <c r="N57" s="344">
        <f>_xll.qlCalendarAdvance(Calendar,M57,"3M","mf",,Trigger)</f>
        <v>43748</v>
      </c>
      <c r="O57" s="40" t="str">
        <f>_xll.qlMakeDatedOIS(,M57,N57,OvernightIndex,0,,,,EvaluationDate)</f>
        <v>obj_005f3#0000</v>
      </c>
      <c r="P57" s="40" t="b">
        <f>_xll.qlInstrumentSetPricingEngine(O57,OisEngine)</f>
        <v>1</v>
      </c>
      <c r="Q57" s="38">
        <f>_xll.qlIndexFixing(Currency&amp;IborType&amp;"3M",_xll.qlInterestRateIndexFixingDate(Currency&amp;IborType&amp;"3M",M57),TRUE,AllTriggers)</f>
        <v>8.4480539437218876E-3</v>
      </c>
      <c r="R57" s="38">
        <f>_xll.qlOvernightIndexedSwapFairRate(O57,AllTriggers)</f>
        <v>6.2648925927034985E-3</v>
      </c>
      <c r="S57" s="345">
        <f t="shared" si="2"/>
        <v>2.1831613510183891E-3</v>
      </c>
    </row>
    <row r="58" spans="5:20" ht="11.25" customHeight="1" x14ac:dyDescent="0.2">
      <c r="E58" s="254"/>
      <c r="F58" s="254"/>
      <c r="G58" s="39"/>
      <c r="J58" s="39"/>
      <c r="K58" s="39"/>
      <c r="M58" s="346">
        <f>_xll.qlCalendarAdvance(Calendar,M57,"1M","f",,Trigger)</f>
        <v>43689</v>
      </c>
      <c r="N58" s="344">
        <f>_xll.qlCalendarAdvance(Calendar,M58,"3M","mf",,Trigger)</f>
        <v>43781</v>
      </c>
      <c r="O58" s="40" t="str">
        <f>_xll.qlMakeDatedOIS(,M58,N58,OvernightIndex,0,,,,EvaluationDate)</f>
        <v>obj_005f4#0000</v>
      </c>
      <c r="P58" s="40" t="b">
        <f>_xll.qlInstrumentSetPricingEngine(O58,OisEngine)</f>
        <v>1</v>
      </c>
      <c r="Q58" s="38">
        <f>_xll.qlIndexFixing(Currency&amp;IborType&amp;"3M",_xll.qlInterestRateIndexFixingDate(Currency&amp;IborType&amp;"3M",M58),TRUE,AllTriggers)</f>
        <v>8.7041395276403182E-3</v>
      </c>
      <c r="R58" s="38">
        <f>_xll.qlOvernightIndexedSwapFairRate(O58,AllTriggers)</f>
        <v>6.5412900432384163E-3</v>
      </c>
      <c r="S58" s="345">
        <f t="shared" si="2"/>
        <v>2.1628494844019019E-3</v>
      </c>
    </row>
    <row r="59" spans="5:20" ht="11.25" customHeight="1" x14ac:dyDescent="0.2">
      <c r="E59" s="254"/>
      <c r="F59" s="254"/>
      <c r="G59" s="39"/>
      <c r="J59" s="39"/>
      <c r="K59" s="39"/>
      <c r="M59" s="346">
        <f>_xll.qlCalendarAdvance(Calendar,M58,"1M","f",,Trigger)</f>
        <v>43720</v>
      </c>
      <c r="N59" s="344">
        <f>_xll.qlCalendarAdvance(Calendar,M59,"3M","mf",,Trigger)</f>
        <v>43811</v>
      </c>
      <c r="O59" s="40" t="str">
        <f>_xll.qlMakeDatedOIS(,M59,N59,OvernightIndex,0,,,,EvaluationDate)</f>
        <v>obj_005f5#0000</v>
      </c>
      <c r="P59" s="40" t="b">
        <f>_xll.qlInstrumentSetPricingEngine(O59,OisEngine)</f>
        <v>1</v>
      </c>
      <c r="Q59" s="38">
        <f>_xll.qlIndexFixing(Currency&amp;IborType&amp;"3M",_xll.qlInterestRateIndexFixingDate(Currency&amp;IborType&amp;"3M",M59),TRUE,AllTriggers)</f>
        <v>8.9430481135422939E-3</v>
      </c>
      <c r="R59" s="38">
        <f>_xll.qlOvernightIndexedSwapFairRate(O59,AllTriggers)</f>
        <v>6.8021041032772954E-3</v>
      </c>
      <c r="S59" s="345">
        <f t="shared" si="2"/>
        <v>2.1409440102649986E-3</v>
      </c>
    </row>
    <row r="60" spans="5:20" ht="11.25" customHeight="1" x14ac:dyDescent="0.2">
      <c r="E60" s="254"/>
      <c r="F60" s="254"/>
      <c r="G60" s="39"/>
      <c r="J60" s="39"/>
      <c r="K60" s="39"/>
      <c r="M60" s="346">
        <f>_xll.qlCalendarAdvance(Calendar,M59,"1M","f",,Trigger)</f>
        <v>43752</v>
      </c>
      <c r="N60" s="344">
        <f>_xll.qlCalendarAdvance(Calendar,M60,"3M","mf",,Trigger)</f>
        <v>43844</v>
      </c>
      <c r="O60" s="40" t="str">
        <f>_xll.qlMakeDatedOIS(,M60,N60,OvernightIndex,0,,,,EvaluationDate)</f>
        <v>obj_005f6#0000</v>
      </c>
      <c r="P60" s="40" t="b">
        <f>_xll.qlInstrumentSetPricingEngine(O60,OisEngine)</f>
        <v>1</v>
      </c>
      <c r="Q60" s="38">
        <f>_xll.qlIndexFixing(Currency&amp;IborType&amp;"3M",_xll.qlInterestRateIndexFixingDate(Currency&amp;IborType&amp;"3M",M60),TRUE,AllTriggers)</f>
        <v>9.2010604575594769E-3</v>
      </c>
      <c r="R60" s="38">
        <f>_xll.qlOvernightIndexedSwapFairRate(O60,AllTriggers)</f>
        <v>7.0849277369115487E-3</v>
      </c>
      <c r="S60" s="345">
        <f t="shared" si="2"/>
        <v>2.1161327206479282E-3</v>
      </c>
    </row>
    <row r="61" spans="5:20" ht="11.25" customHeight="1" x14ac:dyDescent="0.2">
      <c r="E61" s="254"/>
      <c r="F61" s="254"/>
      <c r="G61" s="39"/>
      <c r="J61" s="39"/>
      <c r="K61" s="39"/>
      <c r="M61" s="346">
        <f>_xll.qlCalendarAdvance(Calendar,M60,"1M","f",,Trigger)</f>
        <v>43783</v>
      </c>
      <c r="N61" s="344">
        <f>_xll.qlCalendarAdvance(Calendar,M61,"3M","mf",,Trigger)</f>
        <v>43875</v>
      </c>
      <c r="O61" s="40" t="str">
        <f>_xll.qlMakeDatedOIS(,M61,N61,OvernightIndex,0,,,,EvaluationDate)</f>
        <v>obj_005f7#0000</v>
      </c>
      <c r="P61" s="40" t="b">
        <f>_xll.qlInstrumentSetPricingEngine(O61,OisEngine)</f>
        <v>1</v>
      </c>
      <c r="Q61" s="38">
        <f>_xll.qlIndexFixing(Currency&amp;IborType&amp;"3M",_xll.qlInterestRateIndexFixingDate(Currency&amp;IborType&amp;"3M",M61),TRUE,AllTriggers)</f>
        <v>9.4507256294341507E-3</v>
      </c>
      <c r="R61" s="38">
        <f>_xll.qlOvernightIndexedSwapFairRate(O61,AllTriggers)</f>
        <v>7.3580853524096972E-3</v>
      </c>
      <c r="S61" s="345">
        <f t="shared" si="2"/>
        <v>2.0926402770244535E-3</v>
      </c>
    </row>
    <row r="62" spans="5:20" ht="11.25" customHeight="1" x14ac:dyDescent="0.2">
      <c r="E62" s="254"/>
      <c r="F62" s="254"/>
      <c r="G62" s="39"/>
      <c r="J62" s="39"/>
      <c r="K62" s="39"/>
      <c r="M62" s="346">
        <f>_xll.qlCalendarAdvance(Calendar,M61,"1M","f",,Trigger)</f>
        <v>43815</v>
      </c>
      <c r="N62" s="344">
        <f>_xll.qlCalendarAdvance(Calendar,M62,"3M","mf",,Trigger)</f>
        <v>43906</v>
      </c>
      <c r="O62" s="40" t="str">
        <f>_xll.qlMakeDatedOIS(,M62,N62,OvernightIndex,0,,,,EvaluationDate)</f>
        <v>obj_005f8#0000</v>
      </c>
      <c r="P62" s="40" t="b">
        <f>_xll.qlInstrumentSetPricingEngine(O62,OisEngine)</f>
        <v>1</v>
      </c>
      <c r="Q62" s="38">
        <f>_xll.qlIndexFixing(Currency&amp;IborType&amp;"3M",_xll.qlInterestRateIndexFixingDate(Currency&amp;IborType&amp;"3M",M62),TRUE,AllTriggers)</f>
        <v>9.7083058698142089E-3</v>
      </c>
      <c r="R62" s="38">
        <f>_xll.qlOvernightIndexedSwapFairRate(O62,AllTriggers)</f>
        <v>7.6384534734486769E-3</v>
      </c>
      <c r="S62" s="345">
        <f t="shared" si="2"/>
        <v>2.069852396365532E-3</v>
      </c>
    </row>
    <row r="63" spans="5:20" ht="11.25" customHeight="1" x14ac:dyDescent="0.2">
      <c r="E63" s="254"/>
      <c r="F63" s="254"/>
      <c r="G63" s="39"/>
      <c r="J63" s="39"/>
      <c r="K63" s="39"/>
      <c r="M63" s="346">
        <f>_xll.qlCalendarAdvance(Calendar,M62,"1M","f",,Trigger)</f>
        <v>43846</v>
      </c>
      <c r="N63" s="344">
        <f>_xll.qlCalendarAdvance(Calendar,M63,"3M","mf",,Trigger)</f>
        <v>43937</v>
      </c>
      <c r="O63" s="40" t="str">
        <f>_xll.qlMakeDatedOIS(,M63,N63,OvernightIndex,0,,,,EvaluationDate)</f>
        <v>obj_005f9#0000</v>
      </c>
      <c r="P63" s="40" t="b">
        <f>_xll.qlInstrumentSetPricingEngine(O63,OisEngine)</f>
        <v>1</v>
      </c>
      <c r="Q63" s="38">
        <f>_xll.qlIndexFixing(Currency&amp;IborType&amp;"3M",_xll.qlInterestRateIndexFixingDate(Currency&amp;IborType&amp;"3M",M63),TRUE,AllTriggers)</f>
        <v>9.9659544981296286E-3</v>
      </c>
      <c r="R63" s="38">
        <f>_xll.qlOvernightIndexedSwapFairRate(O63,AllTriggers)</f>
        <v>7.9173011300630296E-3</v>
      </c>
      <c r="S63" s="345">
        <f t="shared" si="2"/>
        <v>2.048653368066599E-3</v>
      </c>
      <c r="T63" s="36" t="s">
        <v>152</v>
      </c>
    </row>
    <row r="64" spans="5:20" ht="11.25" customHeight="1" x14ac:dyDescent="0.2">
      <c r="E64" s="254"/>
      <c r="F64" s="254"/>
      <c r="G64" s="39"/>
      <c r="J64" s="39"/>
      <c r="K64" s="39"/>
      <c r="M64" s="346">
        <f>_xll.qlCalendarAdvance(Calendar,M63,"1M","f",,Trigger)</f>
        <v>43878</v>
      </c>
      <c r="N64" s="344">
        <f>_xll.qlCalendarAdvance(Calendar,M64,"3M","mf",,Trigger)</f>
        <v>43969</v>
      </c>
      <c r="O64" s="40" t="str">
        <f>_xll.qlMakeDatedOIS(,M64,N64,OvernightIndex,0,,,,EvaluationDate)</f>
        <v>obj_005fb#0000</v>
      </c>
      <c r="P64" s="40" t="b">
        <f>_xll.qlInstrumentSetPricingEngine(O64,OisEngine)</f>
        <v>1</v>
      </c>
      <c r="Q64" s="38">
        <f>_xll.qlIndexFixing(Currency&amp;IborType&amp;"3M",_xll.qlInterestRateIndexFixingDate(Currency&amp;IborType&amp;"3M",M64),TRUE,AllTriggers)</f>
        <v>1.0236081521903953E-2</v>
      </c>
      <c r="R64" s="38">
        <f>_xll.qlOvernightIndexedSwapFairRate(O64,AllTriggers)</f>
        <v>8.2080933949776388E-3</v>
      </c>
      <c r="S64" s="345">
        <f t="shared" si="2"/>
        <v>2.0279881269263146E-3</v>
      </c>
    </row>
    <row r="65" spans="5:19" ht="11.25" customHeight="1" x14ac:dyDescent="0.2">
      <c r="E65" s="254"/>
      <c r="F65" s="254"/>
      <c r="G65" s="39"/>
      <c r="J65" s="39"/>
      <c r="K65" s="39"/>
      <c r="M65" s="346">
        <f>_xll.qlCalendarAdvance(Calendar,M64,"1M","f",,Trigger)</f>
        <v>43907</v>
      </c>
      <c r="N65" s="344">
        <f>_xll.qlCalendarAdvance(Calendar,M65,"3M","mf",,Trigger)</f>
        <v>43999</v>
      </c>
      <c r="O65" s="40" t="str">
        <f>_xll.qlMakeDatedOIS(,M65,N65,OvernightIndex,0,,,,EvaluationDate)</f>
        <v>obj_005fc#0000</v>
      </c>
      <c r="P65" s="40" t="b">
        <f>_xll.qlInstrumentSetPricingEngine(O65,OisEngine)</f>
        <v>1</v>
      </c>
      <c r="Q65" s="38">
        <f>_xll.qlIndexFixing(Currency&amp;IborType&amp;"3M",_xll.qlInterestRateIndexFixingDate(Currency&amp;IborType&amp;"3M",M65),TRUE,AllTriggers)</f>
        <v>1.0489039791644473E-2</v>
      </c>
      <c r="R65" s="38">
        <f>_xll.qlOvernightIndexedSwapFairRate(O65,AllTriggers)</f>
        <v>8.4789443605967525E-3</v>
      </c>
      <c r="S65" s="345">
        <f t="shared" si="2"/>
        <v>2.01009543104772E-3</v>
      </c>
    </row>
    <row r="66" spans="5:19" ht="11.25" customHeight="1" x14ac:dyDescent="0.2">
      <c r="E66" s="254"/>
      <c r="F66" s="254"/>
      <c r="G66" s="39"/>
      <c r="J66" s="39"/>
      <c r="K66" s="39"/>
      <c r="M66" s="346">
        <f>_xll.qlCalendarAdvance(Calendar,M65,"1M","f",,Trigger)</f>
        <v>43938</v>
      </c>
      <c r="N66" s="344">
        <f>_xll.qlCalendarAdvance(Calendar,M66,"3M","mf",,Trigger)</f>
        <v>44029</v>
      </c>
      <c r="O66" s="40" t="str">
        <f>_xll.qlMakeDatedOIS(,M66,N66,OvernightIndex,0,,,,EvaluationDate)</f>
        <v>obj_005fe#0000</v>
      </c>
      <c r="P66" s="40" t="b">
        <f>_xll.qlInstrumentSetPricingEngine(O66,OisEngine)</f>
        <v>1</v>
      </c>
      <c r="Q66" s="38">
        <f>_xll.qlIndexFixing(Currency&amp;IborType&amp;"3M",_xll.qlInterestRateIndexFixingDate(Currency&amp;IborType&amp;"3M",M66),TRUE,AllTriggers)</f>
        <v>1.07539827326737E-2</v>
      </c>
      <c r="R66" s="38">
        <f>_xll.qlOvernightIndexedSwapFairRate(O66,AllTriggers)</f>
        <v>8.7614072373955638E-3</v>
      </c>
      <c r="S66" s="345">
        <f t="shared" si="2"/>
        <v>1.9925754952781361E-3</v>
      </c>
    </row>
    <row r="67" spans="5:19" ht="11.25" customHeight="1" x14ac:dyDescent="0.2">
      <c r="E67" s="254"/>
      <c r="F67" s="254"/>
      <c r="G67" s="39"/>
      <c r="J67" s="39"/>
      <c r="K67" s="39"/>
      <c r="M67" s="346">
        <f>_xll.qlCalendarAdvance(Calendar,M66,"1M","f",,Trigger)</f>
        <v>43969</v>
      </c>
      <c r="N67" s="344">
        <f>_xll.qlCalendarAdvance(Calendar,M67,"3M","mf",,Trigger)</f>
        <v>44061</v>
      </c>
      <c r="O67" s="40" t="str">
        <f>_xll.qlMakeDatedOIS(,M67,N67,OvernightIndex,0,,,,EvaluationDate)</f>
        <v>obj_00600#0000</v>
      </c>
      <c r="P67" s="40" t="b">
        <f>_xll.qlInstrumentSetPricingEngine(O67,OisEngine)</f>
        <v>1</v>
      </c>
      <c r="Q67" s="38">
        <f>_xll.qlIndexFixing(Currency&amp;IborType&amp;"3M",_xll.qlInterestRateIndexFixingDate(Currency&amp;IborType&amp;"3M",M67),TRUE,AllTriggers)</f>
        <v>1.1032042018928529E-2</v>
      </c>
      <c r="R67" s="38">
        <f>_xll.qlOvernightIndexedSwapFairRate(O67,AllTriggers)</f>
        <v>9.0562522751673653E-3</v>
      </c>
      <c r="S67" s="345">
        <f t="shared" ref="S67:S130" si="3">Q67-R67</f>
        <v>1.9757897437611641E-3</v>
      </c>
    </row>
    <row r="68" spans="5:19" ht="11.25" customHeight="1" x14ac:dyDescent="0.2">
      <c r="E68" s="254"/>
      <c r="F68" s="254"/>
      <c r="G68" s="39"/>
      <c r="J68" s="39"/>
      <c r="K68" s="39"/>
      <c r="M68" s="346">
        <f>_xll.qlCalendarAdvance(Calendar,M67,"1M","f",,Trigger)</f>
        <v>44000</v>
      </c>
      <c r="N68" s="344">
        <f>_xll.qlCalendarAdvance(Calendar,M68,"3M","mf",,Trigger)</f>
        <v>44092</v>
      </c>
      <c r="O68" s="40" t="str">
        <f>_xll.qlMakeDatedOIS(,M68,N68,OvernightIndex,0,,,,EvaluationDate)</f>
        <v>obj_00601#0000</v>
      </c>
      <c r="P68" s="40" t="b">
        <f>_xll.qlInstrumentSetPricingEngine(O68,OisEngine)</f>
        <v>1</v>
      </c>
      <c r="Q68" s="38">
        <f>_xll.qlIndexFixing(Currency&amp;IborType&amp;"3M",_xll.qlInterestRateIndexFixingDate(Currency&amp;IborType&amp;"3M",M68),TRUE,AllTriggers)</f>
        <v>1.1309507266655854E-2</v>
      </c>
      <c r="R68" s="38">
        <f>_xll.qlOvernightIndexedSwapFairRate(O68,AllTriggers)</f>
        <v>9.3491279830226776E-3</v>
      </c>
      <c r="S68" s="345">
        <f t="shared" si="3"/>
        <v>1.9603792836331759E-3</v>
      </c>
    </row>
    <row r="69" spans="5:19" ht="11.25" customHeight="1" x14ac:dyDescent="0.2">
      <c r="E69" s="254"/>
      <c r="F69" s="254"/>
      <c r="G69" s="39"/>
      <c r="J69" s="39"/>
      <c r="K69" s="39"/>
      <c r="M69" s="346">
        <f>_xll.qlCalendarAdvance(Calendar,M68,"1M","f",,Trigger)</f>
        <v>44032</v>
      </c>
      <c r="N69" s="344">
        <f>_xll.qlCalendarAdvance(Calendar,M69,"3M","mf",,Trigger)</f>
        <v>44124</v>
      </c>
      <c r="O69" s="40" t="str">
        <f>_xll.qlMakeDatedOIS(,M69,N69,OvernightIndex,0,,,,EvaluationDate)</f>
        <v>obj_00603#0000</v>
      </c>
      <c r="P69" s="40" t="b">
        <f>_xll.qlInstrumentSetPricingEngine(O69,OisEngine)</f>
        <v>1</v>
      </c>
      <c r="Q69" s="38">
        <f>_xll.qlIndexFixing(Currency&amp;IborType&amp;"3M",_xll.qlInterestRateIndexFixingDate(Currency&amp;IborType&amp;"3M",M69),TRUE,AllTriggers)</f>
        <v>1.1600094737002124E-2</v>
      </c>
      <c r="R69" s="38">
        <f>_xll.qlOvernightIndexedSwapFairRate(O69,AllTriggers)</f>
        <v>9.6544043269577162E-3</v>
      </c>
      <c r="S69" s="345">
        <f t="shared" si="3"/>
        <v>1.9456904100444081E-3</v>
      </c>
    </row>
    <row r="70" spans="5:19" ht="11.25" customHeight="1" x14ac:dyDescent="0.2">
      <c r="E70" s="254"/>
      <c r="F70" s="254"/>
      <c r="G70" s="39"/>
      <c r="J70" s="39"/>
      <c r="K70" s="39"/>
      <c r="M70" s="346">
        <f>_xll.qlCalendarAdvance(Calendar,M69,"1M","f",,Trigger)</f>
        <v>44063</v>
      </c>
      <c r="N70" s="344">
        <f>_xll.qlCalendarAdvance(Calendar,M70,"3M","mf",,Trigger)</f>
        <v>44155</v>
      </c>
      <c r="O70" s="40" t="str">
        <f>_xll.qlMakeDatedOIS(,M70,N70,OvernightIndex,0,,,,EvaluationDate)</f>
        <v>obj_00604#0000</v>
      </c>
      <c r="P70" s="40" t="b">
        <f>_xll.qlInstrumentSetPricingEngine(O70,OisEngine)</f>
        <v>1</v>
      </c>
      <c r="Q70" s="38">
        <f>_xll.qlIndexFixing(Currency&amp;IborType&amp;"3M",_xll.qlInterestRateIndexFixingDate(Currency&amp;IborType&amp;"3M",M70),TRUE,AllTriggers)</f>
        <v>1.1885540219037602E-2</v>
      </c>
      <c r="R70" s="38">
        <f>_xll.qlOvernightIndexedSwapFairRate(O70,AllTriggers)</f>
        <v>9.9529165060271395E-3</v>
      </c>
      <c r="S70" s="345">
        <f t="shared" si="3"/>
        <v>1.9326237130104628E-3</v>
      </c>
    </row>
    <row r="71" spans="5:19" ht="11.25" customHeight="1" x14ac:dyDescent="0.2">
      <c r="E71" s="254"/>
      <c r="F71" s="254"/>
      <c r="G71" s="39"/>
      <c r="J71" s="39"/>
      <c r="K71" s="39"/>
      <c r="M71" s="346">
        <f>_xll.qlCalendarAdvance(Calendar,M70,"1M","f",,Trigger)</f>
        <v>44095</v>
      </c>
      <c r="N71" s="344">
        <f>_xll.qlCalendarAdvance(Calendar,M71,"3M","mf",,Trigger)</f>
        <v>44186</v>
      </c>
      <c r="O71" s="40" t="str">
        <f>_xll.qlMakeDatedOIS(,M71,N71,OvernightIndex,0,,,,EvaluationDate)</f>
        <v>obj_00605#0000</v>
      </c>
      <c r="P71" s="40" t="b">
        <f>_xll.qlInstrumentSetPricingEngine(O71,OisEngine)</f>
        <v>1</v>
      </c>
      <c r="Q71" s="38">
        <f>_xll.qlIndexFixing(Currency&amp;IborType&amp;"3M",_xll.qlInterestRateIndexFixingDate(Currency&amp;IborType&amp;"3M",M71),TRUE,AllTriggers)</f>
        <v>1.2178049816491813E-2</v>
      </c>
      <c r="R71" s="38">
        <f>_xll.qlOvernightIndexedSwapFairRate(O71,AllTriggers)</f>
        <v>1.0257817834165262E-2</v>
      </c>
      <c r="S71" s="345">
        <f t="shared" si="3"/>
        <v>1.9202319823265514E-3</v>
      </c>
    </row>
    <row r="72" spans="5:19" ht="11.25" customHeight="1" x14ac:dyDescent="0.2">
      <c r="E72" s="254"/>
      <c r="F72" s="254"/>
      <c r="G72" s="39"/>
      <c r="J72" s="39"/>
      <c r="K72" s="39"/>
      <c r="M72" s="346">
        <f>_xll.qlCalendarAdvance(Calendar,M71,"1M","f",,Trigger)</f>
        <v>44125</v>
      </c>
      <c r="N72" s="344">
        <f>_xll.qlCalendarAdvance(Calendar,M72,"3M","mf",,Trigger)</f>
        <v>44217</v>
      </c>
      <c r="O72" s="40" t="str">
        <f>_xll.qlMakeDatedOIS(,M72,N72,OvernightIndex,0,,,,EvaluationDate)</f>
        <v>obj_00607#0000</v>
      </c>
      <c r="P72" s="40" t="b">
        <f>_xll.qlInstrumentSetPricingEngine(O72,OisEngine)</f>
        <v>1</v>
      </c>
      <c r="Q72" s="38">
        <f>_xll.qlIndexFixing(Currency&amp;IborType&amp;"3M",_xll.qlInterestRateIndexFixingDate(Currency&amp;IborType&amp;"3M",M72),TRUE,AllTriggers)</f>
        <v>1.2462295867227764E-2</v>
      </c>
      <c r="R72" s="38">
        <f>_xll.qlOvernightIndexedSwapFairRate(O72,AllTriggers)</f>
        <v>1.0553357615074274E-2</v>
      </c>
      <c r="S72" s="345">
        <f t="shared" si="3"/>
        <v>1.9089382521534897E-3</v>
      </c>
    </row>
    <row r="73" spans="5:19" ht="11.25" customHeight="1" x14ac:dyDescent="0.2">
      <c r="E73" s="254"/>
      <c r="F73" s="254"/>
      <c r="G73" s="39"/>
      <c r="J73" s="39"/>
      <c r="K73" s="39"/>
      <c r="M73" s="346">
        <f>_xll.qlCalendarAdvance(Calendar,M72,"1M","f",,Trigger)</f>
        <v>44158</v>
      </c>
      <c r="N73" s="344">
        <f>_xll.qlCalendarAdvance(Calendar,M73,"3M","mf",,Trigger)</f>
        <v>44250</v>
      </c>
      <c r="O73" s="40" t="str">
        <f>_xll.qlMakeDatedOIS(,M73,N73,OvernightIndex,0,,,,EvaluationDate)</f>
        <v>obj_00608#0000</v>
      </c>
      <c r="P73" s="40" t="b">
        <f>_xll.qlInstrumentSetPricingEngine(O73,OisEngine)</f>
        <v>1</v>
      </c>
      <c r="Q73" s="38">
        <f>_xll.qlIndexFixing(Currency&amp;IborType&amp;"3M",_xll.qlInterestRateIndexFixingDate(Currency&amp;IborType&amp;"3M",M73),TRUE,AllTriggers)</f>
        <v>1.276822474154818E-2</v>
      </c>
      <c r="R73" s="38">
        <f>_xll.qlOvernightIndexedSwapFairRate(O73,AllTriggers)</f>
        <v>1.0871288124174594E-2</v>
      </c>
      <c r="S73" s="345">
        <f t="shared" si="3"/>
        <v>1.8969366173735864E-3</v>
      </c>
    </row>
    <row r="74" spans="5:19" ht="11.25" customHeight="1" x14ac:dyDescent="0.2">
      <c r="E74" s="254"/>
      <c r="F74" s="254"/>
      <c r="G74" s="39"/>
      <c r="J74" s="39"/>
      <c r="K74" s="39"/>
      <c r="M74" s="346">
        <f>_xll.qlCalendarAdvance(Calendar,M73,"1M","f",,Trigger)</f>
        <v>44188</v>
      </c>
      <c r="N74" s="344">
        <f>_xll.qlCalendarAdvance(Calendar,M74,"3M","mf",,Trigger)</f>
        <v>44278</v>
      </c>
      <c r="O74" s="40" t="str">
        <f>_xll.qlMakeDatedOIS(,M74,N74,OvernightIndex,0,,,,EvaluationDate)</f>
        <v>obj_00609#0000</v>
      </c>
      <c r="P74" s="40" t="b">
        <f>_xll.qlInstrumentSetPricingEngine(O74,OisEngine)</f>
        <v>1</v>
      </c>
      <c r="Q74" s="38">
        <f>_xll.qlIndexFixing(Currency&amp;IborType&amp;"3M",_xll.qlInterestRateIndexFixingDate(Currency&amp;IborType&amp;"3M",M74),TRUE,AllTriggers)</f>
        <v>1.3034820633173183E-2</v>
      </c>
      <c r="R74" s="38">
        <f>_xll.qlOvernightIndexedSwapFairRate(O74,AllTriggers)</f>
        <v>1.1148418945803762E-2</v>
      </c>
      <c r="S74" s="345">
        <f t="shared" si="3"/>
        <v>1.8864016873694212E-3</v>
      </c>
    </row>
    <row r="75" spans="5:19" ht="11.25" customHeight="1" x14ac:dyDescent="0.2">
      <c r="E75" s="254"/>
      <c r="F75" s="254"/>
      <c r="G75" s="39"/>
      <c r="J75" s="39"/>
      <c r="K75" s="39"/>
      <c r="M75" s="346">
        <f>_xll.qlCalendarAdvance(Calendar,M74,"1M","f",,Trigger)</f>
        <v>44221</v>
      </c>
      <c r="N75" s="344">
        <f>_xll.qlCalendarAdvance(Calendar,M75,"3M","mf",,Trigger)</f>
        <v>44312</v>
      </c>
      <c r="O75" s="40" t="str">
        <f>_xll.qlMakeDatedOIS(,M75,N75,OvernightIndex,0,,,,EvaluationDate)</f>
        <v>obj_0060a#0000</v>
      </c>
      <c r="P75" s="40" t="b">
        <f>_xll.qlInstrumentSetPricingEngine(O75,OisEngine)</f>
        <v>1</v>
      </c>
      <c r="Q75" s="38">
        <f>_xll.qlIndexFixing(Currency&amp;IborType&amp;"3M",_xll.qlInterestRateIndexFixingDate(Currency&amp;IborType&amp;"3M",M75),TRUE,AllTriggers)</f>
        <v>1.3341385994831334E-2</v>
      </c>
      <c r="R75" s="38">
        <f>_xll.qlOvernightIndexedSwapFairRate(O75,AllTriggers)</f>
        <v>1.146677913989346E-2</v>
      </c>
      <c r="S75" s="345">
        <f t="shared" si="3"/>
        <v>1.8746068549378749E-3</v>
      </c>
    </row>
    <row r="76" spans="5:19" ht="11.25" customHeight="1" x14ac:dyDescent="0.2">
      <c r="E76" s="254"/>
      <c r="F76" s="254"/>
      <c r="G76" s="39"/>
      <c r="J76" s="39"/>
      <c r="K76" s="39"/>
      <c r="M76" s="346">
        <f>_xll.qlCalendarAdvance(Calendar,M75,"1M","f",,Trigger)</f>
        <v>44252</v>
      </c>
      <c r="N76" s="344">
        <f>_xll.qlCalendarAdvance(Calendar,M76,"3M","mf",,Trigger)</f>
        <v>44341</v>
      </c>
      <c r="O76" s="40" t="str">
        <f>_xll.qlMakeDatedOIS(,M76,N76,OvernightIndex,0,,,,EvaluationDate)</f>
        <v>obj_0060c#0000</v>
      </c>
      <c r="P76" s="40" t="b">
        <f>_xll.qlInstrumentSetPricingEngine(O76,OisEngine)</f>
        <v>1</v>
      </c>
      <c r="Q76" s="38">
        <f>_xll.qlIndexFixing(Currency&amp;IborType&amp;"3M",_xll.qlInterestRateIndexFixingDate(Currency&amp;IborType&amp;"3M",M76),TRUE,AllTriggers)</f>
        <v>1.3613314744486463E-2</v>
      </c>
      <c r="R76" s="38">
        <f>_xll.qlOvernightIndexedSwapFairRate(O76,AllTriggers)</f>
        <v>1.1749313532762748E-2</v>
      </c>
      <c r="S76" s="345">
        <f t="shared" si="3"/>
        <v>1.8640012117237155E-3</v>
      </c>
    </row>
    <row r="77" spans="5:19" ht="11.25" customHeight="1" x14ac:dyDescent="0.2">
      <c r="E77" s="254"/>
      <c r="F77" s="254"/>
      <c r="G77" s="39"/>
      <c r="J77" s="39"/>
      <c r="K77" s="39"/>
      <c r="M77" s="346">
        <f>_xll.qlCalendarAdvance(Calendar,M76,"1M","f",,Trigger)</f>
        <v>44280</v>
      </c>
      <c r="N77" s="344">
        <f>_xll.qlCalendarAdvance(Calendar,M77,"3M","mf",,Trigger)</f>
        <v>44372</v>
      </c>
      <c r="O77" s="40" t="str">
        <f>_xll.qlMakeDatedOIS(,M77,N77,OvernightIndex,0,,,,EvaluationDate)</f>
        <v>obj_0060d#0000</v>
      </c>
      <c r="P77" s="40" t="b">
        <f>_xll.qlInstrumentSetPricingEngine(O77,OisEngine)</f>
        <v>1</v>
      </c>
      <c r="Q77" s="38">
        <f>_xll.qlIndexFixing(Currency&amp;IborType&amp;"3M",_xll.qlInterestRateIndexFixingDate(Currency&amp;IborType&amp;"3M",M77),TRUE,AllTriggers)</f>
        <v>1.3880146630118703E-2</v>
      </c>
      <c r="R77" s="38">
        <f>_xll.qlOvernightIndexedSwapFairRate(O77,AllTriggers)</f>
        <v>1.2026105279992025E-2</v>
      </c>
      <c r="S77" s="345">
        <f t="shared" si="3"/>
        <v>1.8540413501266784E-3</v>
      </c>
    </row>
    <row r="78" spans="5:19" ht="11.25" customHeight="1" x14ac:dyDescent="0.2">
      <c r="E78" s="254"/>
      <c r="F78" s="254"/>
      <c r="G78" s="39"/>
      <c r="J78" s="39"/>
      <c r="K78" s="39"/>
      <c r="M78" s="346">
        <f>_xll.qlCalendarAdvance(Calendar,M77,"1M","f",,Trigger)</f>
        <v>44312</v>
      </c>
      <c r="N78" s="344">
        <f>_xll.qlCalendarAdvance(Calendar,M78,"3M","mf",,Trigger)</f>
        <v>44403</v>
      </c>
      <c r="O78" s="40" t="str">
        <f>_xll.qlMakeDatedOIS(,M78,N78,OvernightIndex,0,,,,EvaluationDate)</f>
        <v>obj_0060e#0000</v>
      </c>
      <c r="P78" s="40" t="b">
        <f>_xll.qlInstrumentSetPricingEngine(O78,OisEngine)</f>
        <v>1</v>
      </c>
      <c r="Q78" s="38">
        <f>_xll.qlIndexFixing(Currency&amp;IborType&amp;"3M",_xll.qlInterestRateIndexFixingDate(Currency&amp;IborType&amp;"3M",M78),TRUE,AllTriggers)</f>
        <v>1.4162088007188869E-2</v>
      </c>
      <c r="R78" s="38">
        <f>_xll.qlOvernightIndexedSwapFairRate(O78,AllTriggers)</f>
        <v>1.2318815012993093E-2</v>
      </c>
      <c r="S78" s="345">
        <f t="shared" si="3"/>
        <v>1.843272994195776E-3</v>
      </c>
    </row>
    <row r="79" spans="5:19" ht="11.25" customHeight="1" x14ac:dyDescent="0.2">
      <c r="E79" s="254"/>
      <c r="F79" s="254"/>
      <c r="G79" s="39"/>
      <c r="J79" s="39"/>
      <c r="K79" s="39"/>
      <c r="M79" s="346">
        <f>_xll.qlCalendarAdvance(Calendar,M78,"1M","f",,Trigger)</f>
        <v>44342</v>
      </c>
      <c r="N79" s="344">
        <f>_xll.qlCalendarAdvance(Calendar,M79,"3M","mf",,Trigger)</f>
        <v>44434</v>
      </c>
      <c r="O79" s="40" t="str">
        <f>_xll.qlMakeDatedOIS(,M79,N79,OvernightIndex,0,,,,EvaluationDate)</f>
        <v>obj_0060f#0000</v>
      </c>
      <c r="P79" s="40" t="b">
        <f>_xll.qlInstrumentSetPricingEngine(O79,OisEngine)</f>
        <v>1</v>
      </c>
      <c r="Q79" s="38">
        <f>_xll.qlIndexFixing(Currency&amp;IborType&amp;"3M",_xll.qlInterestRateIndexFixingDate(Currency&amp;IborType&amp;"3M",M79),TRUE,AllTriggers)</f>
        <v>1.443368237879702E-2</v>
      </c>
      <c r="R79" s="38">
        <f>_xll.qlOvernightIndexedSwapFairRate(O79,AllTriggers)</f>
        <v>1.2600553192534393E-2</v>
      </c>
      <c r="S79" s="345">
        <f t="shared" si="3"/>
        <v>1.8331291862626262E-3</v>
      </c>
    </row>
    <row r="80" spans="5:19" ht="11.25" customHeight="1" x14ac:dyDescent="0.2">
      <c r="E80" s="254"/>
      <c r="F80" s="254"/>
      <c r="G80" s="39"/>
      <c r="J80" s="39"/>
      <c r="K80" s="39"/>
      <c r="M80" s="346">
        <f>_xll.qlCalendarAdvance(Calendar,M79,"1M","f",,Trigger)</f>
        <v>44375</v>
      </c>
      <c r="N80" s="344">
        <f>_xll.qlCalendarAdvance(Calendar,M80,"3M","mf",,Trigger)</f>
        <v>44467</v>
      </c>
      <c r="O80" s="40" t="str">
        <f>_xll.qlMakeDatedOIS(,M80,N80,OvernightIndex,0,,,,EvaluationDate)</f>
        <v>obj_00610#0000</v>
      </c>
      <c r="P80" s="40" t="b">
        <f>_xll.qlInstrumentSetPricingEngine(O80,OisEngine)</f>
        <v>1</v>
      </c>
      <c r="Q80" s="38">
        <f>_xll.qlIndexFixing(Currency&amp;IborType&amp;"3M",_xll.qlInterestRateIndexFixingDate(Currency&amp;IborType&amp;"3M",M80),TRUE,AllTriggers)</f>
        <v>1.4725133576982977E-2</v>
      </c>
      <c r="R80" s="38">
        <f>_xll.qlOvernightIndexedSwapFairRate(O80,AllTriggers)</f>
        <v>1.290289109799689E-2</v>
      </c>
      <c r="S80" s="345">
        <f t="shared" si="3"/>
        <v>1.8222424789860869E-3</v>
      </c>
    </row>
    <row r="81" spans="5:19" ht="11.25" customHeight="1" x14ac:dyDescent="0.2">
      <c r="E81" s="254"/>
      <c r="F81" s="254"/>
      <c r="G81" s="39"/>
      <c r="J81" s="39"/>
      <c r="K81" s="39"/>
      <c r="M81" s="346">
        <f>_xll.qlCalendarAdvance(Calendar,M80,"1M","f",,Trigger)</f>
        <v>44405</v>
      </c>
      <c r="N81" s="344">
        <f>_xll.qlCalendarAdvance(Calendar,M81,"3M","mf",,Trigger)</f>
        <v>44497</v>
      </c>
      <c r="O81" s="40" t="str">
        <f>_xll.qlMakeDatedOIS(,M81,N81,OvernightIndex,0,,,,EvaluationDate)</f>
        <v>obj_00611#0000</v>
      </c>
      <c r="P81" s="40" t="b">
        <f>_xll.qlInstrumentSetPricingEngine(O81,OisEngine)</f>
        <v>1</v>
      </c>
      <c r="Q81" s="38">
        <f>_xll.qlIndexFixing(Currency&amp;IborType&amp;"3M",_xll.qlInterestRateIndexFixingDate(Currency&amp;IborType&amp;"3M",M81),TRUE,AllTriggers)</f>
        <v>1.4988175960505617E-2</v>
      </c>
      <c r="R81" s="38">
        <f>_xll.qlOvernightIndexedSwapFairRate(O81,AllTriggers)</f>
        <v>1.3175683347587071E-2</v>
      </c>
      <c r="S81" s="345">
        <f t="shared" si="3"/>
        <v>1.8124926129185464E-3</v>
      </c>
    </row>
    <row r="82" spans="5:19" ht="11.25" customHeight="1" x14ac:dyDescent="0.2">
      <c r="E82" s="254"/>
      <c r="F82" s="254"/>
      <c r="G82" s="39"/>
      <c r="J82" s="39"/>
      <c r="K82" s="39"/>
      <c r="M82" s="346">
        <f>_xll.qlCalendarAdvance(Calendar,M81,"1M","f",,Trigger)</f>
        <v>44438</v>
      </c>
      <c r="N82" s="344">
        <f>_xll.qlCalendarAdvance(Calendar,M82,"3M","mf",,Trigger)</f>
        <v>44530</v>
      </c>
      <c r="O82" s="40" t="str">
        <f>_xll.qlMakeDatedOIS(,M82,N82,OvernightIndex,0,,,,EvaluationDate)</f>
        <v>obj_00612#0000</v>
      </c>
      <c r="P82" s="40" t="b">
        <f>_xll.qlInstrumentSetPricingEngine(O82,OisEngine)</f>
        <v>1</v>
      </c>
      <c r="Q82" s="38">
        <f>_xll.qlIndexFixing(Currency&amp;IborType&amp;"3M",_xll.qlInterestRateIndexFixingDate(Currency&amp;IborType&amp;"3M",M82),TRUE,AllTriggers)</f>
        <v>1.5275163825033255E-2</v>
      </c>
      <c r="R82" s="38">
        <f>_xll.qlOvernightIndexedSwapFairRate(O82,AllTriggers)</f>
        <v>1.3473155180718403E-2</v>
      </c>
      <c r="S82" s="345">
        <f t="shared" si="3"/>
        <v>1.8020086443148522E-3</v>
      </c>
    </row>
    <row r="83" spans="5:19" ht="11.25" customHeight="1" x14ac:dyDescent="0.2">
      <c r="E83" s="254"/>
      <c r="F83" s="254"/>
      <c r="G83" s="39"/>
      <c r="J83" s="39"/>
      <c r="K83" s="39"/>
      <c r="M83" s="346">
        <f>_xll.qlCalendarAdvance(Calendar,M82,"1M","f",,Trigger)</f>
        <v>44469</v>
      </c>
      <c r="N83" s="344">
        <f>_xll.qlCalendarAdvance(Calendar,M83,"3M","mf",,Trigger)</f>
        <v>44560</v>
      </c>
      <c r="O83" s="40" t="str">
        <f>_xll.qlMakeDatedOIS(,M83,N83,OvernightIndex,0,,,,EvaluationDate)</f>
        <v>obj_00613#0000</v>
      </c>
      <c r="P83" s="40" t="b">
        <f>_xll.qlInstrumentSetPricingEngine(O83,OisEngine)</f>
        <v>1</v>
      </c>
      <c r="Q83" s="38">
        <f>_xll.qlIndexFixing(Currency&amp;IborType&amp;"3M",_xll.qlInterestRateIndexFixingDate(Currency&amp;IborType&amp;"3M",M83),TRUE,AllTriggers)</f>
        <v>1.554130502099646E-2</v>
      </c>
      <c r="R83" s="38">
        <f>_xll.qlOvernightIndexedSwapFairRate(O83,AllTriggers)</f>
        <v>1.3743927344165369E-2</v>
      </c>
      <c r="S83" s="345">
        <f t="shared" si="3"/>
        <v>1.7973776768310905E-3</v>
      </c>
    </row>
    <row r="84" spans="5:19" ht="11.25" customHeight="1" x14ac:dyDescent="0.2">
      <c r="E84" s="254"/>
      <c r="F84" s="254"/>
      <c r="G84" s="39"/>
      <c r="J84" s="39"/>
      <c r="K84" s="39"/>
      <c r="M84" s="346">
        <f>_xll.qlCalendarAdvance(Calendar,M83,"1M","f",,Trigger)</f>
        <v>44501</v>
      </c>
      <c r="N84" s="344">
        <f>_xll.qlCalendarAdvance(Calendar,M84,"3M","mf",,Trigger)</f>
        <v>44593</v>
      </c>
      <c r="O84" s="40" t="str">
        <f>_xll.qlMakeDatedOIS(,M84,N84,OvernightIndex,0,,,,EvaluationDate)</f>
        <v>obj_00614#0000</v>
      </c>
      <c r="P84" s="40" t="b">
        <f>_xll.qlInstrumentSetPricingEngine(O84,OisEngine)</f>
        <v>1</v>
      </c>
      <c r="Q84" s="38">
        <f>_xll.qlIndexFixing(Currency&amp;IborType&amp;"3M",_xll.qlInterestRateIndexFixingDate(Currency&amp;IborType&amp;"3M",M84),TRUE,AllTriggers)</f>
        <v>1.5811022948393302E-2</v>
      </c>
      <c r="R84" s="38">
        <f>_xll.qlOvernightIndexedSwapFairRate(O84,AllTriggers)</f>
        <v>1.4026721023220673E-2</v>
      </c>
      <c r="S84" s="345">
        <f t="shared" si="3"/>
        <v>1.7843019251726298E-3</v>
      </c>
    </row>
    <row r="85" spans="5:19" ht="11.25" customHeight="1" x14ac:dyDescent="0.2">
      <c r="E85" s="254"/>
      <c r="F85" s="254"/>
      <c r="G85" s="39"/>
      <c r="J85" s="39"/>
      <c r="K85" s="39"/>
      <c r="M85" s="346">
        <f>_xll.qlCalendarAdvance(Calendar,M84,"1M","f",,Trigger)</f>
        <v>44531</v>
      </c>
      <c r="N85" s="344">
        <f>_xll.qlCalendarAdvance(Calendar,M85,"3M","mf",,Trigger)</f>
        <v>44621</v>
      </c>
      <c r="O85" s="40" t="str">
        <f>_xll.qlMakeDatedOIS(,M85,N85,OvernightIndex,0,,,,EvaluationDate)</f>
        <v>obj_00615#0000</v>
      </c>
      <c r="P85" s="40" t="b">
        <f>_xll.qlInstrumentSetPricingEngine(O85,OisEngine)</f>
        <v>1</v>
      </c>
      <c r="Q85" s="38">
        <f>_xll.qlIndexFixing(Currency&amp;IborType&amp;"3M",_xll.qlInterestRateIndexFixingDate(Currency&amp;IborType&amp;"3M",M85),TRUE,AllTriggers)</f>
        <v>1.604943316130214E-2</v>
      </c>
      <c r="R85" s="38">
        <f>_xll.qlOvernightIndexedSwapFairRate(O85,AllTriggers)</f>
        <v>1.4271710334702092E-2</v>
      </c>
      <c r="S85" s="345">
        <f t="shared" si="3"/>
        <v>1.7777228266000478E-3</v>
      </c>
    </row>
    <row r="86" spans="5:19" ht="11.25" customHeight="1" x14ac:dyDescent="0.2">
      <c r="E86" s="254"/>
      <c r="F86" s="254"/>
      <c r="G86" s="39"/>
      <c r="J86" s="39"/>
      <c r="K86" s="39"/>
      <c r="M86" s="346">
        <f>_xll.qlCalendarAdvance(Calendar,M85,"1M","f",,Trigger)</f>
        <v>44564</v>
      </c>
      <c r="N86" s="344">
        <f>_xll.qlCalendarAdvance(Calendar,M86,"3M","mf",,Trigger)</f>
        <v>44655</v>
      </c>
      <c r="O86" s="40" t="str">
        <f>_xll.qlMakeDatedOIS(,M86,N86,OvernightIndex,0,,,,EvaluationDate)</f>
        <v>obj_00616#0000</v>
      </c>
      <c r="P86" s="40" t="b">
        <f>_xll.qlInstrumentSetPricingEngine(O86,OisEngine)</f>
        <v>1</v>
      </c>
      <c r="Q86" s="38">
        <f>_xll.qlIndexFixing(Currency&amp;IborType&amp;"3M",_xll.qlInterestRateIndexFixingDate(Currency&amp;IborType&amp;"3M",M86),TRUE,AllTriggers)</f>
        <v>1.6319251646951822E-2</v>
      </c>
      <c r="R86" s="38">
        <f>_xll.qlOvernightIndexedSwapFairRate(O86,AllTriggers)</f>
        <v>1.4547288370641377E-2</v>
      </c>
      <c r="S86" s="345">
        <f t="shared" si="3"/>
        <v>1.7719632763104447E-3</v>
      </c>
    </row>
    <row r="87" spans="5:19" ht="11.25" customHeight="1" x14ac:dyDescent="0.2">
      <c r="E87" s="254"/>
      <c r="F87" s="254"/>
      <c r="G87" s="39"/>
      <c r="J87" s="39"/>
      <c r="K87" s="39"/>
      <c r="M87" s="346">
        <f>_xll.qlCalendarAdvance(Calendar,M86,"1M","f",,Trigger)</f>
        <v>44595</v>
      </c>
      <c r="N87" s="344">
        <f>_xll.qlCalendarAdvance(Calendar,M87,"3M","mf",,Trigger)</f>
        <v>44684</v>
      </c>
      <c r="O87" s="40" t="str">
        <f>_xll.qlMakeDatedOIS(,M87,N87,OvernightIndex,0,,,,EvaluationDate)</f>
        <v>obj_00617#0000</v>
      </c>
      <c r="P87" s="40" t="b">
        <f>_xll.qlInstrumentSetPricingEngine(O87,OisEngine)</f>
        <v>1</v>
      </c>
      <c r="Q87" s="38">
        <f>_xll.qlIndexFixing(Currency&amp;IborType&amp;"3M",_xll.qlInterestRateIndexFixingDate(Currency&amp;IborType&amp;"3M",M87),TRUE,AllTriggers)</f>
        <v>1.6553932638867109E-2</v>
      </c>
      <c r="R87" s="38">
        <f>_xll.qlOvernightIndexedSwapFairRate(O87,AllTriggers)</f>
        <v>1.4785963276638784E-2</v>
      </c>
      <c r="S87" s="345">
        <f t="shared" si="3"/>
        <v>1.7679693622283249E-3</v>
      </c>
    </row>
    <row r="88" spans="5:19" ht="11.25" customHeight="1" x14ac:dyDescent="0.2">
      <c r="E88" s="254"/>
      <c r="F88" s="254"/>
      <c r="G88" s="39"/>
      <c r="J88" s="39"/>
      <c r="K88" s="39"/>
      <c r="M88" s="346">
        <f>_xll.qlCalendarAdvance(Calendar,M87,"1M","f",,Trigger)</f>
        <v>44623</v>
      </c>
      <c r="N88" s="344">
        <f>_xll.qlCalendarAdvance(Calendar,M88,"3M","mf",,Trigger)</f>
        <v>44715</v>
      </c>
      <c r="O88" s="40" t="str">
        <f>_xll.qlMakeDatedOIS(,M88,N88,OvernightIndex,0,,,,EvaluationDate)</f>
        <v>obj_00619#0000</v>
      </c>
      <c r="P88" s="40" t="b">
        <f>_xll.qlInstrumentSetPricingEngine(O88,OisEngine)</f>
        <v>1</v>
      </c>
      <c r="Q88" s="38">
        <f>_xll.qlIndexFixing(Currency&amp;IborType&amp;"3M",_xll.qlInterestRateIndexFixingDate(Currency&amp;IborType&amp;"3M",M88),TRUE,AllTriggers)</f>
        <v>1.6780830462690025E-2</v>
      </c>
      <c r="R88" s="38">
        <f>_xll.qlOvernightIndexedSwapFairRate(O88,AllTriggers)</f>
        <v>1.5015044639693257E-2</v>
      </c>
      <c r="S88" s="345">
        <f t="shared" si="3"/>
        <v>1.7657858229967686E-3</v>
      </c>
    </row>
    <row r="89" spans="5:19" ht="11.25" customHeight="1" x14ac:dyDescent="0.2">
      <c r="E89" s="254"/>
      <c r="F89" s="254"/>
      <c r="G89" s="39"/>
      <c r="J89" s="39"/>
      <c r="K89" s="39"/>
      <c r="M89" s="346">
        <f>_xll.qlCalendarAdvance(Calendar,M88,"1M","f",,Trigger)</f>
        <v>44655</v>
      </c>
      <c r="N89" s="344">
        <f>_xll.qlCalendarAdvance(Calendar,M89,"3M","mf",,Trigger)</f>
        <v>44746</v>
      </c>
      <c r="O89" s="40" t="str">
        <f>_xll.qlMakeDatedOIS(,M89,N89,OvernightIndex,0,,,,EvaluationDate)</f>
        <v>obj_0061a#0000</v>
      </c>
      <c r="P89" s="40" t="b">
        <f>_xll.qlInstrumentSetPricingEngine(O89,OisEngine)</f>
        <v>1</v>
      </c>
      <c r="Q89" s="38">
        <f>_xll.qlIndexFixing(Currency&amp;IborType&amp;"3M",_xll.qlInterestRateIndexFixingDate(Currency&amp;IborType&amp;"3M",M89),TRUE,AllTriggers)</f>
        <v>1.7015633761082009E-2</v>
      </c>
      <c r="R89" s="38">
        <f>_xll.qlOvernightIndexedSwapFairRate(O89,AllTriggers)</f>
        <v>1.5251122139290488E-2</v>
      </c>
      <c r="S89" s="345">
        <f t="shared" si="3"/>
        <v>1.7645116217915209E-3</v>
      </c>
    </row>
    <row r="90" spans="5:19" ht="11.25" customHeight="1" x14ac:dyDescent="0.2">
      <c r="E90" s="254"/>
      <c r="F90" s="254"/>
      <c r="G90" s="39"/>
      <c r="J90" s="39"/>
      <c r="K90" s="39"/>
      <c r="M90" s="346">
        <f>_xll.qlCalendarAdvance(Calendar,M89,"1M","f",,Trigger)</f>
        <v>44685</v>
      </c>
      <c r="N90" s="344">
        <f>_xll.qlCalendarAdvance(Calendar,M90,"3M","mf",,Trigger)</f>
        <v>44777</v>
      </c>
      <c r="O90" s="40" t="str">
        <f>_xll.qlMakeDatedOIS(,M90,N90,OvernightIndex,0,,,,EvaluationDate)</f>
        <v>obj_0061c#0000</v>
      </c>
      <c r="P90" s="40" t="b">
        <f>_xll.qlInstrumentSetPricingEngine(O90,OisEngine)</f>
        <v>1</v>
      </c>
      <c r="Q90" s="38">
        <f>_xll.qlIndexFixing(Currency&amp;IborType&amp;"3M",_xll.qlInterestRateIndexFixingDate(Currency&amp;IborType&amp;"3M",M90),TRUE,AllTriggers)</f>
        <v>1.723771445158755E-2</v>
      </c>
      <c r="R90" s="38">
        <f>_xll.qlOvernightIndexedSwapFairRate(O90,AllTriggers)</f>
        <v>1.5472851702627121E-2</v>
      </c>
      <c r="S90" s="345">
        <f t="shared" si="3"/>
        <v>1.7648627489604291E-3</v>
      </c>
    </row>
    <row r="91" spans="5:19" ht="11.25" customHeight="1" x14ac:dyDescent="0.2">
      <c r="E91" s="254"/>
      <c r="F91" s="254"/>
      <c r="G91" s="39"/>
      <c r="J91" s="39"/>
      <c r="K91" s="39"/>
      <c r="M91" s="346">
        <f>_xll.qlCalendarAdvance(Calendar,M90,"1M","f",,Trigger)</f>
        <v>44718</v>
      </c>
      <c r="N91" s="344">
        <f>_xll.qlCalendarAdvance(Calendar,M91,"3M","mf",,Trigger)</f>
        <v>44810</v>
      </c>
      <c r="O91" s="40" t="str">
        <f>_xll.qlMakeDatedOIS(,M91,N91,OvernightIndex,0,,,,EvaluationDate)</f>
        <v>obj_0061d#0000</v>
      </c>
      <c r="P91" s="40" t="b">
        <f>_xll.qlInstrumentSetPricingEngine(O91,OisEngine)</f>
        <v>1</v>
      </c>
      <c r="Q91" s="38">
        <f>_xll.qlIndexFixing(Currency&amp;IborType&amp;"3M",_xll.qlInterestRateIndexFixingDate(Currency&amp;IborType&amp;"3M",M91),TRUE,AllTriggers)</f>
        <v>1.747100599237994E-2</v>
      </c>
      <c r="R91" s="38">
        <f>_xll.qlOvernightIndexedSwapFairRate(O91,AllTriggers)</f>
        <v>1.5704301335822634E-2</v>
      </c>
      <c r="S91" s="345">
        <f t="shared" si="3"/>
        <v>1.7667046565573059E-3</v>
      </c>
    </row>
    <row r="92" spans="5:19" ht="11.25" customHeight="1" x14ac:dyDescent="0.2">
      <c r="E92" s="254"/>
      <c r="F92" s="254"/>
      <c r="G92" s="39"/>
      <c r="J92" s="39"/>
      <c r="K92" s="39"/>
      <c r="M92" s="346">
        <f>_xll.qlCalendarAdvance(Calendar,M91,"1M","f",,Trigger)</f>
        <v>44748</v>
      </c>
      <c r="N92" s="344">
        <f>_xll.qlCalendarAdvance(Calendar,M92,"3M","mf",,Trigger)</f>
        <v>44840</v>
      </c>
      <c r="O92" s="40" t="str">
        <f>_xll.qlMakeDatedOIS(,M92,N92,OvernightIndex,0,,,,EvaluationDate)</f>
        <v>obj_0061e#0000</v>
      </c>
      <c r="P92" s="40" t="b">
        <f>_xll.qlInstrumentSetPricingEngine(O92,OisEngine)</f>
        <v>1</v>
      </c>
      <c r="Q92" s="38">
        <f>_xll.qlIndexFixing(Currency&amp;IborType&amp;"3M",_xll.qlInterestRateIndexFixingDate(Currency&amp;IborType&amp;"3M",M92),TRUE,AllTriggers)</f>
        <v>1.7677126282797457E-2</v>
      </c>
      <c r="R92" s="38">
        <f>_xll.qlOvernightIndexedSwapFairRate(O92,AllTriggers)</f>
        <v>1.5907340224857399E-2</v>
      </c>
      <c r="S92" s="345">
        <f t="shared" si="3"/>
        <v>1.7697860579400579E-3</v>
      </c>
    </row>
    <row r="93" spans="5:19" ht="11.25" customHeight="1" x14ac:dyDescent="0.2">
      <c r="E93" s="254"/>
      <c r="F93" s="254"/>
      <c r="G93" s="39"/>
      <c r="J93" s="39"/>
      <c r="K93" s="39"/>
      <c r="M93" s="346">
        <f>_xll.qlCalendarAdvance(Calendar,M92,"1M","f",,Trigger)</f>
        <v>44781</v>
      </c>
      <c r="N93" s="344">
        <f>_xll.qlCalendarAdvance(Calendar,M93,"3M","mf",,Trigger)</f>
        <v>44873</v>
      </c>
      <c r="O93" s="40" t="str">
        <f>_xll.qlMakeDatedOIS(,M93,N93,OvernightIndex,0,,,,EvaluationDate)</f>
        <v>obj_0061f#0000</v>
      </c>
      <c r="P93" s="40" t="b">
        <f>_xll.qlInstrumentSetPricingEngine(O93,OisEngine)</f>
        <v>1</v>
      </c>
      <c r="Q93" s="38">
        <f>_xll.qlIndexFixing(Currency&amp;IborType&amp;"3M",_xll.qlInterestRateIndexFixingDate(Currency&amp;IborType&amp;"3M",M93),TRUE,AllTriggers)</f>
        <v>1.7897298861801639E-2</v>
      </c>
      <c r="R93" s="38">
        <f>_xll.qlOvernightIndexedSwapFairRate(O93,AllTriggers)</f>
        <v>1.612257943063947E-2</v>
      </c>
      <c r="S93" s="345">
        <f t="shared" si="3"/>
        <v>1.7747194311621695E-3</v>
      </c>
    </row>
    <row r="94" spans="5:19" ht="11.25" customHeight="1" x14ac:dyDescent="0.2">
      <c r="E94" s="254"/>
      <c r="F94" s="254"/>
      <c r="G94" s="39"/>
      <c r="J94" s="39"/>
      <c r="K94" s="39"/>
      <c r="M94" s="346">
        <f>_xll.qlCalendarAdvance(Calendar,M93,"1M","f",,Trigger)</f>
        <v>44812</v>
      </c>
      <c r="N94" s="344">
        <f>_xll.qlCalendarAdvance(Calendar,M94,"3M","mf",,Trigger)</f>
        <v>44903</v>
      </c>
      <c r="O94" s="40" t="str">
        <f>_xll.qlMakeDatedOIS(,M94,N94,OvernightIndex,0,,,,EvaluationDate)</f>
        <v>obj_00620#0000</v>
      </c>
      <c r="P94" s="40" t="b">
        <f>_xll.qlInstrumentSetPricingEngine(O94,OisEngine)</f>
        <v>1</v>
      </c>
      <c r="Q94" s="38">
        <f>_xll.qlIndexFixing(Currency&amp;IborType&amp;"3M",_xll.qlInterestRateIndexFixingDate(Currency&amp;IborType&amp;"3M",M94),TRUE,AllTriggers)</f>
        <v>1.8094335503183331E-2</v>
      </c>
      <c r="R94" s="38">
        <f>_xll.qlOvernightIndexedSwapFairRate(O94,AllTriggers)</f>
        <v>1.631414072488472E-2</v>
      </c>
      <c r="S94" s="345">
        <f t="shared" si="3"/>
        <v>1.7801947782986119E-3</v>
      </c>
    </row>
    <row r="95" spans="5:19" ht="11.25" customHeight="1" x14ac:dyDescent="0.2">
      <c r="E95" s="254"/>
      <c r="F95" s="254"/>
      <c r="G95" s="39"/>
      <c r="J95" s="39"/>
      <c r="K95" s="39"/>
      <c r="M95" s="346">
        <f>_xll.qlCalendarAdvance(Calendar,M94,"1M","f",,Trigger)</f>
        <v>44844</v>
      </c>
      <c r="N95" s="344">
        <f>_xll.qlCalendarAdvance(Calendar,M95,"3M","mf",,Trigger)</f>
        <v>44936</v>
      </c>
      <c r="O95" s="40" t="str">
        <f>_xll.qlMakeDatedOIS(,M95,N95,OvernightIndex,0,,,,EvaluationDate)</f>
        <v>obj_00622#0000</v>
      </c>
      <c r="P95" s="40" t="b">
        <f>_xll.qlInstrumentSetPricingEngine(O95,OisEngine)</f>
        <v>1</v>
      </c>
      <c r="Q95" s="38">
        <f>_xll.qlIndexFixing(Currency&amp;IborType&amp;"3M",_xll.qlInterestRateIndexFixingDate(Currency&amp;IborType&amp;"3M",M95),TRUE,AllTriggers)</f>
        <v>1.8298945622863081E-2</v>
      </c>
      <c r="R95" s="38">
        <f>_xll.qlOvernightIndexedSwapFairRate(O95,AllTriggers)</f>
        <v>1.6513118359134119E-2</v>
      </c>
      <c r="S95" s="345">
        <f t="shared" si="3"/>
        <v>1.7858272637289625E-3</v>
      </c>
    </row>
    <row r="96" spans="5:19" ht="11.25" customHeight="1" x14ac:dyDescent="0.2">
      <c r="E96" s="254"/>
      <c r="F96" s="254"/>
      <c r="G96" s="39"/>
      <c r="J96" s="39"/>
      <c r="K96" s="39"/>
      <c r="M96" s="346">
        <f>_xll.qlCalendarAdvance(Calendar,M95,"1M","f",,Trigger)</f>
        <v>44875</v>
      </c>
      <c r="N96" s="344">
        <f>_xll.qlCalendarAdvance(Calendar,M96,"3M","mf",,Trigger)</f>
        <v>44967</v>
      </c>
      <c r="O96" s="40" t="str">
        <f>_xll.qlMakeDatedOIS(,M96,N96,OvernightIndex,0,,,,EvaluationDate)</f>
        <v>obj_00624#0000</v>
      </c>
      <c r="P96" s="40" t="b">
        <f>_xll.qlInstrumentSetPricingEngine(O96,OisEngine)</f>
        <v>1</v>
      </c>
      <c r="Q96" s="38">
        <f>_xll.qlIndexFixing(Currency&amp;IborType&amp;"3M",_xll.qlInterestRateIndexFixingDate(Currency&amp;IborType&amp;"3M",M96),TRUE,AllTriggers)</f>
        <v>1.8487981907003993E-2</v>
      </c>
      <c r="R96" s="38">
        <f>_xll.qlOvernightIndexedSwapFairRate(O96,AllTriggers)</f>
        <v>1.6698675463901736E-2</v>
      </c>
      <c r="S96" s="345">
        <f t="shared" si="3"/>
        <v>1.7893064431022572E-3</v>
      </c>
    </row>
    <row r="97" spans="5:19" ht="11.25" customHeight="1" x14ac:dyDescent="0.2">
      <c r="E97" s="254"/>
      <c r="F97" s="254"/>
      <c r="G97" s="39"/>
      <c r="J97" s="39"/>
      <c r="K97" s="39"/>
      <c r="M97" s="346">
        <f>_xll.qlCalendarAdvance(Calendar,M96,"1M","f",,Trigger)</f>
        <v>44907</v>
      </c>
      <c r="N97" s="344">
        <f>_xll.qlCalendarAdvance(Calendar,M97,"3M","mf",,Trigger)</f>
        <v>44998</v>
      </c>
      <c r="O97" s="40" t="str">
        <f>_xll.qlMakeDatedOIS(,M97,N97,OvernightIndex,0,,,,EvaluationDate)</f>
        <v>obj_00625#0000</v>
      </c>
      <c r="P97" s="40" t="b">
        <f>_xll.qlInstrumentSetPricingEngine(O97,OisEngine)</f>
        <v>1</v>
      </c>
      <c r="Q97" s="38">
        <f>_xll.qlIndexFixing(Currency&amp;IborType&amp;"3M",_xll.qlInterestRateIndexFixingDate(Currency&amp;IborType&amp;"3M",M97),TRUE,AllTriggers)</f>
        <v>1.8674019027446837E-2</v>
      </c>
      <c r="R97" s="38">
        <f>_xll.qlOvernightIndexedSwapFairRate(O97,AllTriggers)</f>
        <v>1.6883993954410002E-2</v>
      </c>
      <c r="S97" s="345">
        <f t="shared" si="3"/>
        <v>1.7900250730368342E-3</v>
      </c>
    </row>
    <row r="98" spans="5:19" ht="11.25" customHeight="1" x14ac:dyDescent="0.2">
      <c r="E98" s="254"/>
      <c r="F98" s="254"/>
      <c r="G98" s="39"/>
      <c r="J98" s="39"/>
      <c r="K98" s="39"/>
      <c r="M98" s="346">
        <f>_xll.qlCalendarAdvance(Calendar,M97,"1M","f",,Trigger)</f>
        <v>44938</v>
      </c>
      <c r="N98" s="344">
        <f>_xll.qlCalendarAdvance(Calendar,M98,"3M","mf",,Trigger)</f>
        <v>45028</v>
      </c>
      <c r="O98" s="40" t="str">
        <f>_xll.qlMakeDatedOIS(,M98,N98,OvernightIndex,0,,,,EvaluationDate)</f>
        <v>obj_00627#0000</v>
      </c>
      <c r="P98" s="40" t="b">
        <f>_xll.qlInstrumentSetPricingEngine(O98,OisEngine)</f>
        <v>1</v>
      </c>
      <c r="Q98" s="38">
        <f>_xll.qlIndexFixing(Currency&amp;IborType&amp;"3M",_xll.qlInterestRateIndexFixingDate(Currency&amp;IborType&amp;"3M",M98),TRUE,AllTriggers)</f>
        <v>1.8848740587277923E-2</v>
      </c>
      <c r="R98" s="38">
        <f>_xll.qlOvernightIndexedSwapFairRate(O98,AllTriggers)</f>
        <v>1.7060737060580422E-2</v>
      </c>
      <c r="S98" s="345">
        <f t="shared" si="3"/>
        <v>1.7880035266975014E-3</v>
      </c>
    </row>
    <row r="99" spans="5:19" ht="11.25" customHeight="1" x14ac:dyDescent="0.2">
      <c r="E99" s="254"/>
      <c r="F99" s="254"/>
      <c r="G99" s="39"/>
      <c r="J99" s="39"/>
      <c r="K99" s="39"/>
      <c r="M99" s="346">
        <f>_xll.qlCalendarAdvance(Calendar,M98,"1M","f",,Trigger)</f>
        <v>44970</v>
      </c>
      <c r="N99" s="344">
        <f>_xll.qlCalendarAdvance(Calendar,M99,"3M","mf",,Trigger)</f>
        <v>45061</v>
      </c>
      <c r="O99" s="40" t="str">
        <f>_xll.qlMakeDatedOIS(,M99,N99,OvernightIndex,0,,,,EvaluationDate)</f>
        <v>obj_00628#0000</v>
      </c>
      <c r="P99" s="40" t="b">
        <f>_xll.qlInstrumentSetPricingEngine(O99,OisEngine)</f>
        <v>1</v>
      </c>
      <c r="Q99" s="38">
        <f>_xll.qlIndexFixing(Currency&amp;IborType&amp;"3M",_xll.qlInterestRateIndexFixingDate(Currency&amp;IborType&amp;"3M",M99),TRUE,AllTriggers)</f>
        <v>1.9030025661748308E-2</v>
      </c>
      <c r="R99" s="38">
        <f>_xll.qlOvernightIndexedSwapFairRate(O99,AllTriggers)</f>
        <v>1.7246975426637161E-2</v>
      </c>
      <c r="S99" s="345">
        <f t="shared" si="3"/>
        <v>1.7830502351111471E-3</v>
      </c>
    </row>
    <row r="100" spans="5:19" ht="11.25" customHeight="1" x14ac:dyDescent="0.2">
      <c r="E100" s="254"/>
      <c r="F100" s="254"/>
      <c r="G100" s="39"/>
      <c r="J100" s="39"/>
      <c r="K100" s="39"/>
      <c r="M100" s="346">
        <f>_xll.qlCalendarAdvance(Calendar,M99,"1M","f",,Trigger)</f>
        <v>44998</v>
      </c>
      <c r="N100" s="344">
        <f>_xll.qlCalendarAdvance(Calendar,M100,"3M","mf",,Trigger)</f>
        <v>45090</v>
      </c>
      <c r="O100" s="40" t="str">
        <f>_xll.qlMakeDatedOIS(,M100,N100,OvernightIndex,0,,,,EvaluationDate)</f>
        <v>obj_00629#0000</v>
      </c>
      <c r="P100" s="40" t="b">
        <f>_xll.qlInstrumentSetPricingEngine(O100,OisEngine)</f>
        <v>1</v>
      </c>
      <c r="Q100" s="38">
        <f>_xll.qlIndexFixing(Currency&amp;IborType&amp;"3M",_xll.qlInterestRateIndexFixingDate(Currency&amp;IborType&amp;"3M",M100),TRUE,AllTriggers)</f>
        <v>1.9184126755091752E-2</v>
      </c>
      <c r="R100" s="38">
        <f>_xll.qlOvernightIndexedSwapFairRate(O100,AllTriggers)</f>
        <v>1.7407906198145903E-2</v>
      </c>
      <c r="S100" s="345">
        <f t="shared" si="3"/>
        <v>1.776220556945849E-3</v>
      </c>
    </row>
    <row r="101" spans="5:19" ht="11.25" customHeight="1" x14ac:dyDescent="0.2">
      <c r="E101" s="254"/>
      <c r="F101" s="254"/>
      <c r="G101" s="39"/>
      <c r="J101" s="39"/>
      <c r="K101" s="39"/>
      <c r="M101" s="346">
        <f>_xll.qlCalendarAdvance(Calendar,M100,"1M","f",,Trigger)</f>
        <v>45029</v>
      </c>
      <c r="N101" s="344">
        <f>_xll.qlCalendarAdvance(Calendar,M101,"3M","mf",,Trigger)</f>
        <v>45120</v>
      </c>
      <c r="O101" s="40" t="str">
        <f>_xll.qlMakeDatedOIS(,M101,N101,OvernightIndex,0,,,,EvaluationDate)</f>
        <v>obj_0062a#0000</v>
      </c>
      <c r="P101" s="40" t="b">
        <f>_xll.qlInstrumentSetPricingEngine(O101,OisEngine)</f>
        <v>1</v>
      </c>
      <c r="Q101" s="38">
        <f>_xll.qlIndexFixing(Currency&amp;IborType&amp;"3M",_xll.qlInterestRateIndexFixingDate(Currency&amp;IborType&amp;"3M",M101),TRUE,AllTriggers)</f>
        <v>1.9342956829049858E-2</v>
      </c>
      <c r="R101" s="38">
        <f>_xll.qlOvernightIndexedSwapFairRate(O101,AllTriggers)</f>
        <v>1.757676936506453E-2</v>
      </c>
      <c r="S101" s="345">
        <f t="shared" si="3"/>
        <v>1.7661874639853282E-3</v>
      </c>
    </row>
    <row r="102" spans="5:19" ht="11.25" customHeight="1" x14ac:dyDescent="0.2">
      <c r="E102" s="254"/>
      <c r="F102" s="254"/>
      <c r="G102" s="39"/>
      <c r="J102" s="39"/>
      <c r="K102" s="39"/>
      <c r="M102" s="346">
        <f>_xll.qlCalendarAdvance(Calendar,M101,"1M","f",,Trigger)</f>
        <v>45061</v>
      </c>
      <c r="N102" s="344">
        <f>_xll.qlCalendarAdvance(Calendar,M102,"3M","mf",,Trigger)</f>
        <v>45153</v>
      </c>
      <c r="O102" s="40" t="str">
        <f>_xll.qlMakeDatedOIS(,M102,N102,OvernightIndex,0,,,,EvaluationDate)</f>
        <v>obj_0062b#0000</v>
      </c>
      <c r="P102" s="40" t="b">
        <f>_xll.qlInstrumentSetPricingEngine(O102,OisEngine)</f>
        <v>1</v>
      </c>
      <c r="Q102" s="38">
        <f>_xll.qlIndexFixing(Currency&amp;IborType&amp;"3M",_xll.qlInterestRateIndexFixingDate(Currency&amp;IborType&amp;"3M",M102),TRUE,AllTriggers)</f>
        <v>1.9507358951485598E-2</v>
      </c>
      <c r="R102" s="38">
        <f>_xll.qlOvernightIndexedSwapFairRate(O102,AllTriggers)</f>
        <v>1.7754660554753283E-2</v>
      </c>
      <c r="S102" s="345">
        <f t="shared" si="3"/>
        <v>1.7526983967323141E-3</v>
      </c>
    </row>
    <row r="103" spans="5:19" ht="11.25" customHeight="1" x14ac:dyDescent="0.2">
      <c r="E103" s="254"/>
      <c r="F103" s="254"/>
      <c r="G103" s="39"/>
      <c r="J103" s="39"/>
      <c r="K103" s="39"/>
      <c r="M103" s="346">
        <f>_xll.qlCalendarAdvance(Calendar,M102,"1M","f",,Trigger)</f>
        <v>45092</v>
      </c>
      <c r="N103" s="344">
        <f>_xll.qlCalendarAdvance(Calendar,M103,"3M","mf",,Trigger)</f>
        <v>45184</v>
      </c>
      <c r="O103" s="40" t="str">
        <f>_xll.qlMakeDatedOIS(,M103,N103,OvernightIndex,0,,,,EvaluationDate)</f>
        <v>obj_0062c#0000</v>
      </c>
      <c r="P103" s="40" t="b">
        <f>_xll.qlInstrumentSetPricingEngine(O103,OisEngine)</f>
        <v>1</v>
      </c>
      <c r="Q103" s="38">
        <f>_xll.qlIndexFixing(Currency&amp;IborType&amp;"3M",_xll.qlInterestRateIndexFixingDate(Currency&amp;IborType&amp;"3M",M103),TRUE,AllTriggers)</f>
        <v>1.9658118943259573E-2</v>
      </c>
      <c r="R103" s="38">
        <f>_xll.qlOvernightIndexedSwapFairRate(O103,AllTriggers)</f>
        <v>1.7921178746924865E-2</v>
      </c>
      <c r="S103" s="345">
        <f t="shared" si="3"/>
        <v>1.7369401963347082E-3</v>
      </c>
    </row>
    <row r="104" spans="5:19" ht="11.25" customHeight="1" x14ac:dyDescent="0.2">
      <c r="E104" s="254"/>
      <c r="F104" s="254"/>
      <c r="G104" s="39"/>
      <c r="J104" s="39"/>
      <c r="K104" s="39"/>
      <c r="M104" s="346">
        <f>_xll.qlCalendarAdvance(Calendar,M103,"1M","f",,Trigger)</f>
        <v>45124</v>
      </c>
      <c r="N104" s="344">
        <f>_xll.qlCalendarAdvance(Calendar,M104,"3M","mf",,Trigger)</f>
        <v>45216</v>
      </c>
      <c r="O104" s="40" t="str">
        <f>_xll.qlMakeDatedOIS(,M104,N104,OvernightIndex,0,,,,EvaluationDate)</f>
        <v>obj_0062e#0000</v>
      </c>
      <c r="P104" s="40" t="b">
        <f>_xll.qlInstrumentSetPricingEngine(O104,OisEngine)</f>
        <v>1</v>
      </c>
      <c r="Q104" s="38">
        <f>_xll.qlIndexFixing(Currency&amp;IborType&amp;"3M",_xll.qlInterestRateIndexFixingDate(Currency&amp;IborType&amp;"3M",M104),TRUE,AllTriggers)</f>
        <v>1.9808005432552764E-2</v>
      </c>
      <c r="R104" s="38">
        <f>_xll.qlOvernightIndexedSwapFairRate(O104,AllTriggers)</f>
        <v>1.809022666789506E-2</v>
      </c>
      <c r="S104" s="345">
        <f t="shared" si="3"/>
        <v>1.7177787646577049E-3</v>
      </c>
    </row>
    <row r="105" spans="5:19" ht="11.25" customHeight="1" x14ac:dyDescent="0.2">
      <c r="E105" s="254"/>
      <c r="F105" s="254"/>
      <c r="G105" s="39"/>
      <c r="J105" s="39"/>
      <c r="K105" s="39"/>
      <c r="M105" s="346">
        <f>_xll.qlCalendarAdvance(Calendar,M104,"1M","f",,Trigger)</f>
        <v>45155</v>
      </c>
      <c r="N105" s="344">
        <f>_xll.qlCalendarAdvance(Calendar,M105,"3M","mf",,Trigger)</f>
        <v>45247</v>
      </c>
      <c r="O105" s="40" t="str">
        <f>_xll.qlMakeDatedOIS(,M105,N105,OvernightIndex,0,,,,EvaluationDate)</f>
        <v>obj_0062f#0000</v>
      </c>
      <c r="P105" s="40" t="b">
        <f>_xll.qlInstrumentSetPricingEngine(O105,OisEngine)</f>
        <v>1</v>
      </c>
      <c r="Q105" s="38">
        <f>_xll.qlIndexFixing(Currency&amp;IborType&amp;"3M",_xll.qlInterestRateIndexFixingDate(Currency&amp;IborType&amp;"3M",M105),TRUE,AllTriggers)</f>
        <v>1.9947689369756706E-2</v>
      </c>
      <c r="R105" s="38">
        <f>_xll.qlOvernightIndexedSwapFairRate(O105,AllTriggers)</f>
        <v>1.8251212300941899E-2</v>
      </c>
      <c r="S105" s="345">
        <f t="shared" si="3"/>
        <v>1.6964770688148063E-3</v>
      </c>
    </row>
    <row r="106" spans="5:19" ht="11.25" customHeight="1" x14ac:dyDescent="0.2">
      <c r="E106" s="254"/>
      <c r="F106" s="254"/>
      <c r="G106" s="39"/>
      <c r="J106" s="39"/>
      <c r="K106" s="39"/>
      <c r="M106" s="346">
        <f>_xll.qlCalendarAdvance(Calendar,M105,"1M","f",,Trigger)</f>
        <v>45187</v>
      </c>
      <c r="N106" s="344">
        <f>_xll.qlCalendarAdvance(Calendar,M106,"3M","mf",,Trigger)</f>
        <v>45278</v>
      </c>
      <c r="O106" s="40" t="str">
        <f>_xll.qlMakeDatedOIS(,M106,N106,OvernightIndex,0,,,,EvaluationDate)</f>
        <v>obj_00630#0000</v>
      </c>
      <c r="P106" s="40" t="b">
        <f>_xll.qlInstrumentSetPricingEngine(O106,OisEngine)</f>
        <v>1</v>
      </c>
      <c r="Q106" s="38">
        <f>_xll.qlIndexFixing(Currency&amp;IborType&amp;"3M",_xll.qlInterestRateIndexFixingDate(Currency&amp;IborType&amp;"3M",M106),TRUE,AllTriggers)</f>
        <v>2.0084325764062168E-2</v>
      </c>
      <c r="R106" s="38">
        <f>_xll.qlOvernightIndexedSwapFairRate(O106,AllTriggers)</f>
        <v>1.8411027154359064E-2</v>
      </c>
      <c r="S106" s="345">
        <f t="shared" si="3"/>
        <v>1.6732986097031041E-3</v>
      </c>
    </row>
    <row r="107" spans="5:19" ht="11.25" customHeight="1" x14ac:dyDescent="0.2">
      <c r="E107" s="254"/>
      <c r="F107" s="254"/>
      <c r="G107" s="39"/>
      <c r="J107" s="39"/>
      <c r="K107" s="39"/>
      <c r="M107" s="346">
        <f>_xll.qlCalendarAdvance(Calendar,M106,"1M","f",,Trigger)</f>
        <v>45217</v>
      </c>
      <c r="N107" s="344">
        <f>_xll.qlCalendarAdvance(Calendar,M107,"3M","mf",,Trigger)</f>
        <v>45309</v>
      </c>
      <c r="O107" s="40" t="str">
        <f>_xll.qlMakeDatedOIS(,M107,N107,OvernightIndex,0,,,,EvaluationDate)</f>
        <v>obj_00631#0000</v>
      </c>
      <c r="P107" s="40" t="b">
        <f>_xll.qlInstrumentSetPricingEngine(O107,OisEngine)</f>
        <v>1</v>
      </c>
      <c r="Q107" s="38">
        <f>_xll.qlIndexFixing(Currency&amp;IborType&amp;"3M",_xll.qlInterestRateIndexFixingDate(Currency&amp;IborType&amp;"3M",M107),TRUE,AllTriggers)</f>
        <v>2.0214489016552897E-2</v>
      </c>
      <c r="R107" s="38">
        <f>_xll.qlOvernightIndexedSwapFairRate(O107,AllTriggers)</f>
        <v>1.8562504957173986E-2</v>
      </c>
      <c r="S107" s="345">
        <f t="shared" si="3"/>
        <v>1.6519840593789102E-3</v>
      </c>
    </row>
    <row r="108" spans="5:19" ht="11.25" customHeight="1" x14ac:dyDescent="0.2">
      <c r="E108" s="254"/>
      <c r="F108" s="254"/>
      <c r="G108" s="39"/>
      <c r="J108" s="39"/>
      <c r="K108" s="39"/>
      <c r="M108" s="346">
        <f>_xll.qlCalendarAdvance(Calendar,M107,"1M","f",,Trigger)</f>
        <v>45250</v>
      </c>
      <c r="N108" s="344">
        <f>_xll.qlCalendarAdvance(Calendar,M108,"3M","mf",,Trigger)</f>
        <v>45342</v>
      </c>
      <c r="O108" s="40" t="str">
        <f>_xll.qlMakeDatedOIS(,M108,N108,OvernightIndex,0,,,,EvaluationDate)</f>
        <v>obj_00632#0000</v>
      </c>
      <c r="P108" s="40" t="b">
        <f>_xll.qlInstrumentSetPricingEngine(O108,OisEngine)</f>
        <v>1</v>
      </c>
      <c r="Q108" s="38">
        <f>_xll.qlIndexFixing(Currency&amp;IborType&amp;"3M",_xll.qlInterestRateIndexFixingDate(Currency&amp;IborType&amp;"3M",M108),TRUE,AllTriggers)</f>
        <v>2.0352747109427274E-2</v>
      </c>
      <c r="R108" s="38">
        <f>_xll.qlOvernightIndexedSwapFairRate(O108,AllTriggers)</f>
        <v>1.8720339953173914E-2</v>
      </c>
      <c r="S108" s="345">
        <f t="shared" si="3"/>
        <v>1.6324071562533599E-3</v>
      </c>
    </row>
    <row r="109" spans="5:19" ht="11.25" customHeight="1" x14ac:dyDescent="0.2">
      <c r="E109" s="254"/>
      <c r="F109" s="254"/>
      <c r="G109" s="39"/>
      <c r="J109" s="39"/>
      <c r="K109" s="39"/>
      <c r="M109" s="346">
        <f>_xll.qlCalendarAdvance(Calendar,M108,"1M","f",,Trigger)</f>
        <v>45280</v>
      </c>
      <c r="N109" s="344">
        <f>_xll.qlCalendarAdvance(Calendar,M109,"3M","mf",,Trigger)</f>
        <v>45371</v>
      </c>
      <c r="O109" s="40" t="str">
        <f>_xll.qlMakeDatedOIS(,M109,N109,OvernightIndex,0,,,,EvaluationDate)</f>
        <v>obj_00633#0000</v>
      </c>
      <c r="P109" s="40" t="b">
        <f>_xll.qlInstrumentSetPricingEngine(O109,OisEngine)</f>
        <v>1</v>
      </c>
      <c r="Q109" s="38">
        <f>_xll.qlIndexFixing(Currency&amp;IborType&amp;"3M",_xll.qlInterestRateIndexFixingDate(Currency&amp;IborType&amp;"3M",M109),TRUE,AllTriggers)</f>
        <v>2.0474594801446238E-2</v>
      </c>
      <c r="R109" s="38">
        <f>_xll.qlOvernightIndexedSwapFairRate(O109,AllTriggers)</f>
        <v>1.8855683991163306E-2</v>
      </c>
      <c r="S109" s="345">
        <f t="shared" si="3"/>
        <v>1.6189108102829322E-3</v>
      </c>
    </row>
    <row r="110" spans="5:19" ht="11.25" customHeight="1" x14ac:dyDescent="0.2">
      <c r="E110" s="254"/>
      <c r="F110" s="254"/>
      <c r="G110" s="39"/>
      <c r="J110" s="39"/>
      <c r="K110" s="39"/>
      <c r="M110" s="346">
        <f>_xll.qlCalendarAdvance(Calendar,M109,"1M","f",,Trigger)</f>
        <v>45313</v>
      </c>
      <c r="N110" s="344">
        <f>_xll.qlCalendarAdvance(Calendar,M110,"3M","mf",,Trigger)</f>
        <v>45404</v>
      </c>
      <c r="O110" s="40" t="str">
        <f>_xll.qlMakeDatedOIS(,M110,N110,OvernightIndex,0,,,,EvaluationDate)</f>
        <v>obj_00635#0000</v>
      </c>
      <c r="P110" s="40" t="b">
        <f>_xll.qlInstrumentSetPricingEngine(O110,OisEngine)</f>
        <v>1</v>
      </c>
      <c r="Q110" s="38">
        <f>_xll.qlIndexFixing(Currency&amp;IborType&amp;"3M",_xll.qlInterestRateIndexFixingDate(Currency&amp;IborType&amp;"3M",M110),TRUE,AllTriggers)</f>
        <v>2.0610233790694547E-2</v>
      </c>
      <c r="R110" s="38">
        <f>_xll.qlOvernightIndexedSwapFairRate(O110,AllTriggers)</f>
        <v>1.900163722123744E-2</v>
      </c>
      <c r="S110" s="345">
        <f t="shared" si="3"/>
        <v>1.6085965694571068E-3</v>
      </c>
    </row>
    <row r="111" spans="5:19" ht="11.25" customHeight="1" x14ac:dyDescent="0.2">
      <c r="E111" s="254"/>
      <c r="F111" s="254"/>
      <c r="G111" s="39"/>
      <c r="J111" s="39"/>
      <c r="K111" s="39"/>
      <c r="M111" s="346">
        <f>_xll.qlCalendarAdvance(Calendar,M110,"1M","f",,Trigger)</f>
        <v>45344</v>
      </c>
      <c r="N111" s="344">
        <f>_xll.qlCalendarAdvance(Calendar,M111,"3M","mf",,Trigger)</f>
        <v>45434</v>
      </c>
      <c r="O111" s="40" t="str">
        <f>_xll.qlMakeDatedOIS(,M111,N111,OvernightIndex,0,,,,EvaluationDate)</f>
        <v>obj_00636#0000</v>
      </c>
      <c r="P111" s="40" t="b">
        <f>_xll.qlInstrumentSetPricingEngine(O111,OisEngine)</f>
        <v>1</v>
      </c>
      <c r="Q111" s="38">
        <f>_xll.qlIndexFixing(Currency&amp;IborType&amp;"3M",_xll.qlInterestRateIndexFixingDate(Currency&amp;IborType&amp;"3M",M111),TRUE,AllTriggers)</f>
        <v>2.0733792613965463E-2</v>
      </c>
      <c r="R111" s="38">
        <f>_xll.qlOvernightIndexedSwapFairRate(O111,AllTriggers)</f>
        <v>1.9130488168203286E-2</v>
      </c>
      <c r="S111" s="345">
        <f t="shared" si="3"/>
        <v>1.603304445762177E-3</v>
      </c>
    </row>
    <row r="112" spans="5:19" ht="11.25" customHeight="1" x14ac:dyDescent="0.2">
      <c r="E112" s="254"/>
      <c r="F112" s="254"/>
      <c r="G112" s="39"/>
      <c r="J112" s="39"/>
      <c r="K112" s="39"/>
      <c r="M112" s="346">
        <f>_xll.qlCalendarAdvance(Calendar,M111,"1M","f",,Trigger)</f>
        <v>45373</v>
      </c>
      <c r="N112" s="344">
        <f>_xll.qlCalendarAdvance(Calendar,M112,"3M","mf",,Trigger)</f>
        <v>45467</v>
      </c>
      <c r="O112" s="40" t="str">
        <f>_xll.qlMakeDatedOIS(,M112,N112,OvernightIndex,0,,,,EvaluationDate)</f>
        <v>obj_00637#0000</v>
      </c>
      <c r="P112" s="40" t="b">
        <f>_xll.qlInstrumentSetPricingEngine(O112,OisEngine)</f>
        <v>1</v>
      </c>
      <c r="Q112" s="38">
        <f>_xll.qlIndexFixing(Currency&amp;IborType&amp;"3M",_xll.qlInterestRateIndexFixingDate(Currency&amp;IborType&amp;"3M",M112),TRUE,AllTriggers)</f>
        <v>2.0861141341054094E-2</v>
      </c>
      <c r="R112" s="38">
        <f>_xll.qlOvernightIndexedSwapFairRate(O112,AllTriggers)</f>
        <v>1.9258301697639788E-2</v>
      </c>
      <c r="S112" s="345">
        <f t="shared" si="3"/>
        <v>1.6028396434143062E-3</v>
      </c>
    </row>
    <row r="113" spans="5:19" ht="11.25" customHeight="1" x14ac:dyDescent="0.2">
      <c r="E113" s="254"/>
      <c r="F113" s="254"/>
      <c r="G113" s="39"/>
      <c r="J113" s="39"/>
      <c r="K113" s="39"/>
      <c r="M113" s="346">
        <f>_xll.qlCalendarAdvance(Calendar,M112,"1M","f",,Trigger)</f>
        <v>45404</v>
      </c>
      <c r="N113" s="344">
        <f>_xll.qlCalendarAdvance(Calendar,M113,"3M","mf",,Trigger)</f>
        <v>45495</v>
      </c>
      <c r="O113" s="40" t="str">
        <f>_xll.qlMakeDatedOIS(,M113,N113,OvernightIndex,0,,,,EvaluationDate)</f>
        <v>obj_00638#0000</v>
      </c>
      <c r="P113" s="40" t="b">
        <f>_xll.qlInstrumentSetPricingEngine(O113,OisEngine)</f>
        <v>1</v>
      </c>
      <c r="Q113" s="38">
        <f>_xll.qlIndexFixing(Currency&amp;IborType&amp;"3M",_xll.qlInterestRateIndexFixingDate(Currency&amp;IborType&amp;"3M",M113),TRUE,AllTriggers)</f>
        <v>2.0977172050653452E-2</v>
      </c>
      <c r="R113" s="38">
        <f>_xll.qlOvernightIndexedSwapFairRate(O113,AllTriggers)</f>
        <v>1.9371594596139449E-2</v>
      </c>
      <c r="S113" s="345">
        <f t="shared" si="3"/>
        <v>1.6055774545140032E-3</v>
      </c>
    </row>
    <row r="114" spans="5:19" ht="11.25" customHeight="1" x14ac:dyDescent="0.2">
      <c r="E114" s="254"/>
      <c r="F114" s="254"/>
      <c r="G114" s="39"/>
      <c r="J114" s="39"/>
      <c r="K114" s="39"/>
      <c r="M114" s="346">
        <f>_xll.qlCalendarAdvance(Calendar,M113,"1M","f",,Trigger)</f>
        <v>45434</v>
      </c>
      <c r="N114" s="344">
        <f>_xll.qlCalendarAdvance(Calendar,M114,"3M","mf",,Trigger)</f>
        <v>45526</v>
      </c>
      <c r="O114" s="40" t="str">
        <f>_xll.qlMakeDatedOIS(,M114,N114,OvernightIndex,0,,,,EvaluationDate)</f>
        <v>obj_00639#0000</v>
      </c>
      <c r="P114" s="40" t="b">
        <f>_xll.qlInstrumentSetPricingEngine(O114,OisEngine)</f>
        <v>1</v>
      </c>
      <c r="Q114" s="38">
        <f>_xll.qlIndexFixing(Currency&amp;IborType&amp;"3M",_xll.qlInterestRateIndexFixingDate(Currency&amp;IborType&amp;"3M",M114),TRUE,AllTriggers)</f>
        <v>2.1098433444779754E-2</v>
      </c>
      <c r="R114" s="38">
        <f>_xll.qlOvernightIndexedSwapFairRate(O114,AllTriggers)</f>
        <v>1.9485392354847409E-2</v>
      </c>
      <c r="S114" s="345">
        <f t="shared" si="3"/>
        <v>1.6130410899323454E-3</v>
      </c>
    </row>
    <row r="115" spans="5:19" ht="11.25" customHeight="1" x14ac:dyDescent="0.2">
      <c r="E115" s="254"/>
      <c r="F115" s="254"/>
      <c r="G115" s="39"/>
      <c r="J115" s="39"/>
      <c r="K115" s="39"/>
      <c r="M115" s="346">
        <f>_xll.qlCalendarAdvance(Calendar,M114,"1M","f",,Trigger)</f>
        <v>45467</v>
      </c>
      <c r="N115" s="344">
        <f>_xll.qlCalendarAdvance(Calendar,M115,"3M","mf",,Trigger)</f>
        <v>45559</v>
      </c>
      <c r="O115" s="40" t="str">
        <f>_xll.qlMakeDatedOIS(,M115,N115,OvernightIndex,0,,,,EvaluationDate)</f>
        <v>obj_0063a#0000</v>
      </c>
      <c r="P115" s="40" t="b">
        <f>_xll.qlInstrumentSetPricingEngine(O115,OisEngine)</f>
        <v>1</v>
      </c>
      <c r="Q115" s="38">
        <f>_xll.qlIndexFixing(Currency&amp;IborType&amp;"3M",_xll.qlInterestRateIndexFixingDate(Currency&amp;IborType&amp;"3M",M115),TRUE,AllTriggers)</f>
        <v>2.1227666291016266E-2</v>
      </c>
      <c r="R115" s="38">
        <f>_xll.qlOvernightIndexedSwapFairRate(O115,AllTriggers)</f>
        <v>1.9601961165157042E-2</v>
      </c>
      <c r="S115" s="345">
        <f t="shared" si="3"/>
        <v>1.6257051258592239E-3</v>
      </c>
    </row>
    <row r="116" spans="5:19" ht="11.25" customHeight="1" x14ac:dyDescent="0.2">
      <c r="E116" s="254"/>
      <c r="F116" s="254"/>
      <c r="G116" s="39"/>
      <c r="J116" s="39"/>
      <c r="K116" s="39"/>
      <c r="M116" s="346">
        <f>_xll.qlCalendarAdvance(Calendar,M115,"1M","f",,Trigger)</f>
        <v>45497</v>
      </c>
      <c r="N116" s="344">
        <f>_xll.qlCalendarAdvance(Calendar,M116,"3M","mf",,Trigger)</f>
        <v>45589</v>
      </c>
      <c r="O116" s="40" t="str">
        <f>_xll.qlMakeDatedOIS(,M116,N116,OvernightIndex,0,,,,EvaluationDate)</f>
        <v>obj_0063b#0000</v>
      </c>
      <c r="P116" s="40" t="b">
        <f>_xll.qlInstrumentSetPricingEngine(O116,OisEngine)</f>
        <v>1</v>
      </c>
      <c r="Q116" s="38">
        <f>_xll.qlIndexFixing(Currency&amp;IborType&amp;"3M",_xll.qlInterestRateIndexFixingDate(Currency&amp;IborType&amp;"3M",M116),TRUE,AllTriggers)</f>
        <v>2.1343961561618489E-2</v>
      </c>
      <c r="R116" s="38">
        <f>_xll.qlOvernightIndexedSwapFairRate(O116,AllTriggers)</f>
        <v>1.9702483576194734E-2</v>
      </c>
      <c r="S116" s="345">
        <f t="shared" si="3"/>
        <v>1.6414779854237553E-3</v>
      </c>
    </row>
    <row r="117" spans="5:19" ht="11.25" customHeight="1" x14ac:dyDescent="0.2">
      <c r="E117" s="254"/>
      <c r="F117" s="254"/>
      <c r="G117" s="39"/>
      <c r="J117" s="39"/>
      <c r="K117" s="39"/>
      <c r="M117" s="346">
        <f>_xll.qlCalendarAdvance(Calendar,M116,"1M","f",,Trigger)</f>
        <v>45530</v>
      </c>
      <c r="N117" s="344">
        <f>_xll.qlCalendarAdvance(Calendar,M117,"3M","mf",,Trigger)</f>
        <v>45622</v>
      </c>
      <c r="O117" s="40" t="str">
        <f>_xll.qlMakeDatedOIS(,M117,N117,OvernightIndex,0,,,,EvaluationDate)</f>
        <v>obj_0063c#0000</v>
      </c>
      <c r="P117" s="40" t="b">
        <f>_xll.qlInstrumentSetPricingEngine(O117,OisEngine)</f>
        <v>1</v>
      </c>
      <c r="Q117" s="38">
        <f>_xll.qlIndexFixing(Currency&amp;IborType&amp;"3M",_xll.qlInterestRateIndexFixingDate(Currency&amp;IborType&amp;"3M",M117),TRUE,AllTriggers)</f>
        <v>2.1470514815849329E-2</v>
      </c>
      <c r="R117" s="38">
        <f>_xll.qlOvernightIndexedSwapFairRate(O117,AllTriggers)</f>
        <v>1.9807291624885009E-2</v>
      </c>
      <c r="S117" s="345">
        <f t="shared" si="3"/>
        <v>1.6632231909643191E-3</v>
      </c>
    </row>
    <row r="118" spans="5:19" ht="11.25" customHeight="1" x14ac:dyDescent="0.2">
      <c r="E118" s="254"/>
      <c r="F118" s="254"/>
      <c r="G118" s="39"/>
      <c r="J118" s="39"/>
      <c r="K118" s="39"/>
      <c r="M118" s="346">
        <f>_xll.qlCalendarAdvance(Calendar,M117,"1M","f",,Trigger)</f>
        <v>45561</v>
      </c>
      <c r="N118" s="344">
        <f>_xll.qlCalendarAdvance(Calendar,M118,"3M","mf",,Trigger)</f>
        <v>45653</v>
      </c>
      <c r="O118" s="40" t="str">
        <f>_xll.qlMakeDatedOIS(,M118,N118,OvernightIndex,0,,,,EvaluationDate)</f>
        <v>obj_0063e#0000</v>
      </c>
      <c r="P118" s="40" t="b">
        <f>_xll.qlInstrumentSetPricingEngine(O118,OisEngine)</f>
        <v>1</v>
      </c>
      <c r="Q118" s="38">
        <f>_xll.qlIndexFixing(Currency&amp;IborType&amp;"3M",_xll.qlInterestRateIndexFixingDate(Currency&amp;IborType&amp;"3M",M118),TRUE,AllTriggers)</f>
        <v>2.1587604827065742E-2</v>
      </c>
      <c r="R118" s="38">
        <f>_xll.qlOvernightIndexedSwapFairRate(O118,AllTriggers)</f>
        <v>1.9901987145414347E-2</v>
      </c>
      <c r="S118" s="345">
        <f t="shared" si="3"/>
        <v>1.6856176816513954E-3</v>
      </c>
    </row>
    <row r="119" spans="5:19" ht="11.25" customHeight="1" x14ac:dyDescent="0.2">
      <c r="E119" s="254"/>
      <c r="F119" s="254"/>
      <c r="G119" s="39"/>
      <c r="J119" s="39"/>
      <c r="K119" s="39"/>
      <c r="M119" s="346">
        <f>_xll.qlCalendarAdvance(Calendar,M118,"1M","f",,Trigger)</f>
        <v>45593</v>
      </c>
      <c r="N119" s="344">
        <f>_xll.qlCalendarAdvance(Calendar,M119,"3M","mf",,Trigger)</f>
        <v>45685</v>
      </c>
      <c r="O119" s="40" t="str">
        <f>_xll.qlMakeDatedOIS(,M119,N119,OvernightIndex,0,,,,EvaluationDate)</f>
        <v>obj_0063f#0000</v>
      </c>
      <c r="P119" s="40" t="b">
        <f>_xll.qlInstrumentSetPricingEngine(O119,OisEngine)</f>
        <v>1</v>
      </c>
      <c r="Q119" s="38">
        <f>_xll.qlIndexFixing(Currency&amp;IborType&amp;"3M",_xll.qlInterestRateIndexFixingDate(Currency&amp;IborType&amp;"3M",M119),TRUE,AllTriggers)</f>
        <v>2.1705952831422248E-2</v>
      </c>
      <c r="R119" s="38">
        <f>_xll.qlOvernightIndexedSwapFairRate(O119,AllTriggers)</f>
        <v>1.9998422861228941E-2</v>
      </c>
      <c r="S119" s="345">
        <f t="shared" si="3"/>
        <v>1.7075299701933069E-3</v>
      </c>
    </row>
    <row r="120" spans="5:19" ht="11.25" customHeight="1" x14ac:dyDescent="0.2">
      <c r="E120" s="254"/>
      <c r="F120" s="254"/>
      <c r="G120" s="39"/>
      <c r="J120" s="39"/>
      <c r="K120" s="39"/>
      <c r="M120" s="346">
        <f>_xll.qlCalendarAdvance(Calendar,M119,"1M","f",,Trigger)</f>
        <v>45624</v>
      </c>
      <c r="N120" s="344">
        <f>_xll.qlCalendarAdvance(Calendar,M120,"3M","mf",,Trigger)</f>
        <v>45716</v>
      </c>
      <c r="O120" s="40" t="str">
        <f>_xll.qlMakeDatedOIS(,M120,N120,OvernightIndex,0,,,,EvaluationDate)</f>
        <v>obj_00640#0000</v>
      </c>
      <c r="P120" s="40" t="b">
        <f>_xll.qlInstrumentSetPricingEngine(O120,OisEngine)</f>
        <v>1</v>
      </c>
      <c r="Q120" s="38">
        <f>_xll.qlIndexFixing(Currency&amp;IborType&amp;"3M",_xll.qlInterestRateIndexFixingDate(Currency&amp;IborType&amp;"3M",M120),TRUE,AllTriggers)</f>
        <v>2.181757904880911E-2</v>
      </c>
      <c r="R120" s="38">
        <f>_xll.qlOvernightIndexedSwapFairRate(O120,AllTriggers)</f>
        <v>2.0092668717797427E-2</v>
      </c>
      <c r="S120" s="345">
        <f t="shared" si="3"/>
        <v>1.724910331011683E-3</v>
      </c>
    </row>
    <row r="121" spans="5:19" ht="11.25" customHeight="1" x14ac:dyDescent="0.2">
      <c r="E121" s="254"/>
      <c r="F121" s="254"/>
      <c r="G121" s="39"/>
      <c r="J121" s="39"/>
      <c r="K121" s="39"/>
      <c r="M121" s="346">
        <f>_xll.qlCalendarAdvance(Calendar,M120,"1M","f",,Trigger)</f>
        <v>45656</v>
      </c>
      <c r="N121" s="344">
        <f>_xll.qlCalendarAdvance(Calendar,M121,"3M","mf",,Trigger)</f>
        <v>45747</v>
      </c>
      <c r="O121" s="40" t="str">
        <f>_xll.qlMakeDatedOIS(,M121,N121,OvernightIndex,0,,,,EvaluationDate)</f>
        <v>obj_008b3#0000</v>
      </c>
      <c r="P121" s="40" t="b">
        <f>_xll.qlInstrumentSetPricingEngine(O121,OisEngine)</f>
        <v>1</v>
      </c>
      <c r="Q121" s="38">
        <f>_xll.qlIndexFixing(Currency&amp;IborType&amp;"3M",_xll.qlInterestRateIndexFixingDate(Currency&amp;IborType&amp;"3M",M121),TRUE,AllTriggers)</f>
        <v>2.1927165183285975E-2</v>
      </c>
      <c r="R121" s="38">
        <f>_xll.qlOvernightIndexedSwapFairRate(O121,AllTriggers)</f>
        <v>2.0189231601506798E-2</v>
      </c>
      <c r="S121" s="345">
        <f t="shared" si="3"/>
        <v>1.7379335817791774E-3</v>
      </c>
    </row>
    <row r="122" spans="5:19" ht="11.25" customHeight="1" x14ac:dyDescent="0.2">
      <c r="E122" s="254"/>
      <c r="F122" s="254"/>
      <c r="G122" s="39"/>
      <c r="J122" s="39"/>
      <c r="K122" s="39"/>
      <c r="M122" s="346">
        <f>_xll.qlCalendarAdvance(Calendar,M121,"1M","f",,Trigger)</f>
        <v>45687</v>
      </c>
      <c r="N122" s="344">
        <f>_xll.qlCalendarAdvance(Calendar,M122,"3M","mf",,Trigger)</f>
        <v>45777</v>
      </c>
      <c r="O122" s="40" t="str">
        <f>_xll.qlMakeDatedOIS(,M122,N122,OvernightIndex,0,,,,EvaluationDate)</f>
        <v>obj_00641#0000</v>
      </c>
      <c r="P122" s="40" t="b">
        <f>_xll.qlInstrumentSetPricingEngine(O122,OisEngine)</f>
        <v>1</v>
      </c>
      <c r="Q122" s="38">
        <f>_xll.qlIndexFixing(Currency&amp;IborType&amp;"3M",_xll.qlInterestRateIndexFixingDate(Currency&amp;IborType&amp;"3M",M122),TRUE,AllTriggers)</f>
        <v>2.2030166380941019E-2</v>
      </c>
      <c r="R122" s="38">
        <f>_xll.qlOvernightIndexedSwapFairRate(O122,AllTriggers)</f>
        <v>2.0284019106259876E-2</v>
      </c>
      <c r="S122" s="345">
        <f t="shared" si="3"/>
        <v>1.7461472746811424E-3</v>
      </c>
    </row>
    <row r="123" spans="5:19" ht="11.25" customHeight="1" x14ac:dyDescent="0.2">
      <c r="E123" s="254"/>
      <c r="F123" s="254"/>
      <c r="G123" s="39"/>
      <c r="J123" s="39"/>
      <c r="K123" s="39"/>
      <c r="M123" s="346">
        <f>_xll.qlCalendarAdvance(Calendar,M122,"1M","f",,Trigger)</f>
        <v>45716</v>
      </c>
      <c r="N123" s="344">
        <f>_xll.qlCalendarAdvance(Calendar,M123,"3M","mf",,Trigger)</f>
        <v>45805</v>
      </c>
      <c r="O123" s="40" t="str">
        <f>_xll.qlMakeDatedOIS(,M123,N123,OvernightIndex,0,,,,EvaluationDate)</f>
        <v>obj_00642#0000</v>
      </c>
      <c r="P123" s="40" t="b">
        <f>_xll.qlInstrumentSetPricingEngine(O123,OisEngine)</f>
        <v>1</v>
      </c>
      <c r="Q123" s="38">
        <f>_xll.qlIndexFixing(Currency&amp;IborType&amp;"3M",_xll.qlInterestRateIndexFixingDate(Currency&amp;IborType&amp;"3M",M123),TRUE,AllTriggers)</f>
        <v>2.2128189631178199E-2</v>
      </c>
      <c r="R123" s="38">
        <f>_xll.qlOvernightIndexedSwapFairRate(O123,AllTriggers)</f>
        <v>2.0373715723671335E-2</v>
      </c>
      <c r="S123" s="345">
        <f t="shared" si="3"/>
        <v>1.7544739075068642E-3</v>
      </c>
    </row>
    <row r="124" spans="5:19" ht="11.25" customHeight="1" x14ac:dyDescent="0.2">
      <c r="E124" s="254"/>
      <c r="F124" s="254"/>
      <c r="G124" s="39"/>
      <c r="J124" s="39"/>
      <c r="K124" s="39"/>
      <c r="M124" s="346">
        <f>_xll.qlCalendarAdvance(Calendar,M123,"1M","f",,Trigger)</f>
        <v>45744</v>
      </c>
      <c r="N124" s="344">
        <f>_xll.qlCalendarAdvance(Calendar,M124,"3M","mf",,Trigger)</f>
        <v>45838</v>
      </c>
      <c r="O124" s="40" t="str">
        <f>_xll.qlMakeDatedOIS(,M124,N124,OvernightIndex,0,,,,EvaluationDate)</f>
        <v>obj_00643#0000</v>
      </c>
      <c r="P124" s="40" t="b">
        <f>_xll.qlInstrumentSetPricingEngine(O124,OisEngine)</f>
        <v>1</v>
      </c>
      <c r="Q124" s="38">
        <f>_xll.qlIndexFixing(Currency&amp;IborType&amp;"3M",_xll.qlInterestRateIndexFixingDate(Currency&amp;IborType&amp;"3M",M124),TRUE,AllTriggers)</f>
        <v>2.2224714814580437E-2</v>
      </c>
      <c r="R124" s="38">
        <f>_xll.qlOvernightIndexedSwapFairRate(O124,AllTriggers)</f>
        <v>2.0474542271138787E-2</v>
      </c>
      <c r="S124" s="345">
        <f t="shared" si="3"/>
        <v>1.7501725434416505E-3</v>
      </c>
    </row>
    <row r="125" spans="5:19" ht="11.25" customHeight="1" x14ac:dyDescent="0.2">
      <c r="E125" s="254"/>
      <c r="F125" s="254"/>
      <c r="G125" s="39"/>
      <c r="J125" s="39"/>
      <c r="K125" s="39"/>
      <c r="M125" s="346">
        <f>_xll.qlCalendarAdvance(Calendar,M124,"1M","f",,Trigger)</f>
        <v>45775</v>
      </c>
      <c r="N125" s="344">
        <f>_xll.qlCalendarAdvance(Calendar,M125,"3M","mf",,Trigger)</f>
        <v>45866</v>
      </c>
      <c r="O125" s="40" t="str">
        <f>_xll.qlMakeDatedOIS(,M125,N125,OvernightIndex,0,,,,EvaluationDate)</f>
        <v>obj_00644#0000</v>
      </c>
      <c r="P125" s="40" t="b">
        <f>_xll.qlInstrumentSetPricingEngine(O125,OisEngine)</f>
        <v>1</v>
      </c>
      <c r="Q125" s="38">
        <f>_xll.qlIndexFixing(Currency&amp;IborType&amp;"3M",_xll.qlInterestRateIndexFixingDate(Currency&amp;IborType&amp;"3M",M125),TRUE,AllTriggers)</f>
        <v>2.2314453782354558E-2</v>
      </c>
      <c r="R125" s="38">
        <f>_xll.qlOvernightIndexedSwapFairRate(O125,AllTriggers)</f>
        <v>2.0568670985193101E-2</v>
      </c>
      <c r="S125" s="345">
        <f t="shared" si="3"/>
        <v>1.7457827971614562E-3</v>
      </c>
    </row>
    <row r="126" spans="5:19" ht="11.25" customHeight="1" x14ac:dyDescent="0.2">
      <c r="E126" s="254"/>
      <c r="F126" s="254"/>
      <c r="G126" s="39"/>
      <c r="J126" s="39"/>
      <c r="K126" s="39"/>
      <c r="M126" s="346">
        <f>_xll.qlCalendarAdvance(Calendar,M125,"1M","f",,Trigger)</f>
        <v>45805</v>
      </c>
      <c r="N126" s="344">
        <f>_xll.qlCalendarAdvance(Calendar,M126,"3M","mf",,Trigger)</f>
        <v>45897</v>
      </c>
      <c r="O126" s="40" t="str">
        <f>_xll.qlMakeDatedOIS(,M126,N126,OvernightIndex,0,,,,EvaluationDate)</f>
        <v>obj_00645#0000</v>
      </c>
      <c r="P126" s="40" t="b">
        <f>_xll.qlInstrumentSetPricingEngine(O126,OisEngine)</f>
        <v>1</v>
      </c>
      <c r="Q126" s="38">
        <f>_xll.qlIndexFixing(Currency&amp;IborType&amp;"3M",_xll.qlInterestRateIndexFixingDate(Currency&amp;IborType&amp;"3M",M126),TRUE,AllTriggers)</f>
        <v>2.2406977382488213E-2</v>
      </c>
      <c r="R126" s="38">
        <f>_xll.qlOvernightIndexedSwapFairRate(O126,AllTriggers)</f>
        <v>2.0669706010169476E-2</v>
      </c>
      <c r="S126" s="345">
        <f t="shared" si="3"/>
        <v>1.7372713723187369E-3</v>
      </c>
    </row>
    <row r="127" spans="5:19" ht="11.25" customHeight="1" x14ac:dyDescent="0.2">
      <c r="E127" s="254"/>
      <c r="F127" s="254"/>
      <c r="G127" s="39"/>
      <c r="J127" s="39"/>
      <c r="K127" s="39"/>
      <c r="M127" s="346">
        <f>_xll.qlCalendarAdvance(Calendar,M126,"1M","f",,Trigger)</f>
        <v>45838</v>
      </c>
      <c r="N127" s="344">
        <f>_xll.qlCalendarAdvance(Calendar,M127,"3M","mf",,Trigger)</f>
        <v>45930</v>
      </c>
      <c r="O127" s="40" t="str">
        <f>_xll.qlMakeDatedOIS(,M127,N127,OvernightIndex,0,,,,EvaluationDate)</f>
        <v>obj_00646#0000</v>
      </c>
      <c r="P127" s="40" t="b">
        <f>_xll.qlInstrumentSetPricingEngine(O127,OisEngine)</f>
        <v>1</v>
      </c>
      <c r="Q127" s="38">
        <f>_xll.qlIndexFixing(Currency&amp;IborType&amp;"3M",_xll.qlInterestRateIndexFixingDate(Currency&amp;IborType&amp;"3M",M127),TRUE,AllTriggers)</f>
        <v>2.2502958521079992E-2</v>
      </c>
      <c r="R127" s="38">
        <f>_xll.qlOvernightIndexedSwapFairRate(O127,AllTriggers)</f>
        <v>2.0779838550480403E-2</v>
      </c>
      <c r="S127" s="345">
        <f t="shared" si="3"/>
        <v>1.7231199705995889E-3</v>
      </c>
    </row>
    <row r="128" spans="5:19" ht="11.25" customHeight="1" x14ac:dyDescent="0.2">
      <c r="E128" s="254"/>
      <c r="F128" s="254"/>
      <c r="G128" s="39"/>
      <c r="J128" s="39"/>
      <c r="K128" s="39"/>
      <c r="M128" s="346">
        <f>_xll.qlCalendarAdvance(Calendar,M127,"1M","f",,Trigger)</f>
        <v>45868</v>
      </c>
      <c r="N128" s="344">
        <f>_xll.qlCalendarAdvance(Calendar,M128,"3M","mf",,Trigger)</f>
        <v>45960</v>
      </c>
      <c r="O128" s="40" t="str">
        <f>_xll.qlMakeDatedOIS(,M128,N128,OvernightIndex,0,,,,EvaluationDate)</f>
        <v>obj_00647#0000</v>
      </c>
      <c r="P128" s="40" t="b">
        <f>_xll.qlInstrumentSetPricingEngine(O128,OisEngine)</f>
        <v>1</v>
      </c>
      <c r="Q128" s="38">
        <f>_xll.qlIndexFixing(Currency&amp;IborType&amp;"3M",_xll.qlInterestRateIndexFixingDate(Currency&amp;IborType&amp;"3M",M128),TRUE,AllTriggers)</f>
        <v>2.2587141611280483E-2</v>
      </c>
      <c r="R128" s="38">
        <f>_xll.qlOvernightIndexedSwapFairRate(O128,AllTriggers)</f>
        <v>2.0881277879682969E-2</v>
      </c>
      <c r="S128" s="345">
        <f t="shared" si="3"/>
        <v>1.7058637315975136E-3</v>
      </c>
    </row>
    <row r="129" spans="5:19" ht="11.25" customHeight="1" x14ac:dyDescent="0.2">
      <c r="E129" s="254"/>
      <c r="F129" s="254"/>
      <c r="G129" s="39"/>
      <c r="J129" s="39"/>
      <c r="K129" s="39"/>
      <c r="M129" s="346">
        <f>_xll.qlCalendarAdvance(Calendar,M128,"1M","f",,Trigger)</f>
        <v>45901</v>
      </c>
      <c r="N129" s="344">
        <f>_xll.qlCalendarAdvance(Calendar,M129,"3M","mf",,Trigger)</f>
        <v>45992</v>
      </c>
      <c r="O129" s="40" t="str">
        <f>_xll.qlMakeDatedOIS(,M129,N129,OvernightIndex,0,,,,EvaluationDate)</f>
        <v>obj_00648#0000</v>
      </c>
      <c r="P129" s="40" t="b">
        <f>_xll.qlInstrumentSetPricingEngine(O129,OisEngine)</f>
        <v>1</v>
      </c>
      <c r="Q129" s="38">
        <f>_xll.qlIndexFixing(Currency&amp;IborType&amp;"3M",_xll.qlInterestRateIndexFixingDate(Currency&amp;IborType&amp;"3M",M129),TRUE,AllTriggers)</f>
        <v>2.2674349709263564E-2</v>
      </c>
      <c r="R129" s="38">
        <f>_xll.qlOvernightIndexedSwapFairRate(O129,AllTriggers)</f>
        <v>2.099162273796747E-2</v>
      </c>
      <c r="S129" s="345">
        <f t="shared" si="3"/>
        <v>1.6827269712960946E-3</v>
      </c>
    </row>
    <row r="130" spans="5:19" ht="11.25" customHeight="1" x14ac:dyDescent="0.2">
      <c r="E130" s="254"/>
      <c r="F130" s="254"/>
      <c r="G130" s="39"/>
      <c r="J130" s="39"/>
      <c r="K130" s="39"/>
      <c r="M130" s="346">
        <f>_xll.qlCalendarAdvance(Calendar,M129,"1M","f",,Trigger)</f>
        <v>45931</v>
      </c>
      <c r="N130" s="344">
        <f>_xll.qlCalendarAdvance(Calendar,M130,"3M","mf",,Trigger)</f>
        <v>46024</v>
      </c>
      <c r="O130" s="40" t="str">
        <f>_xll.qlMakeDatedOIS(,M130,N130,OvernightIndex,0,,,,EvaluationDate)</f>
        <v>obj_0064a#0000</v>
      </c>
      <c r="P130" s="40" t="b">
        <f>_xll.qlInstrumentSetPricingEngine(O130,OisEngine)</f>
        <v>1</v>
      </c>
      <c r="Q130" s="38">
        <f>_xll.qlIndexFixing(Currency&amp;IborType&amp;"3M",_xll.qlInterestRateIndexFixingDate(Currency&amp;IborType&amp;"3M",M130),TRUE,AllTriggers)</f>
        <v>2.2756369100461353E-2</v>
      </c>
      <c r="R130" s="38">
        <f>_xll.qlOvernightIndexedSwapFairRate(O130,AllTriggers)</f>
        <v>2.109793954661731E-2</v>
      </c>
      <c r="S130" s="345">
        <f t="shared" si="3"/>
        <v>1.658429553844043E-3</v>
      </c>
    </row>
    <row r="131" spans="5:19" ht="11.25" customHeight="1" x14ac:dyDescent="0.2">
      <c r="E131" s="254"/>
      <c r="F131" s="254"/>
      <c r="G131" s="39"/>
      <c r="J131" s="39"/>
      <c r="K131" s="39"/>
      <c r="M131" s="346">
        <f>_xll.qlCalendarAdvance(Calendar,M130,"1M","f",,Trigger)</f>
        <v>45964</v>
      </c>
      <c r="N131" s="344">
        <f>_xll.qlCalendarAdvance(Calendar,M131,"3M","mf",,Trigger)</f>
        <v>46056</v>
      </c>
      <c r="O131" s="40" t="str">
        <f>_xll.qlMakeDatedOIS(,M131,N131,OvernightIndex,0,,,,EvaluationDate)</f>
        <v>obj_0064b#0000</v>
      </c>
      <c r="P131" s="40" t="b">
        <f>_xll.qlInstrumentSetPricingEngine(O131,OisEngine)</f>
        <v>1</v>
      </c>
      <c r="Q131" s="38">
        <f>_xll.qlIndexFixing(Currency&amp;IborType&amp;"3M",_xll.qlInterestRateIndexFixingDate(Currency&amp;IborType&amp;"3M",M131),TRUE,AllTriggers)</f>
        <v>2.283686137220409E-2</v>
      </c>
      <c r="R131" s="38">
        <f>_xll.qlOvernightIndexedSwapFairRate(O131,AllTriggers)</f>
        <v>2.1204541092940676E-2</v>
      </c>
      <c r="S131" s="345">
        <f t="shared" ref="S131:S194" si="4">Q131-R131</f>
        <v>1.6323202792634141E-3</v>
      </c>
    </row>
    <row r="132" spans="5:19" ht="11.25" customHeight="1" x14ac:dyDescent="0.2">
      <c r="E132" s="254"/>
      <c r="F132" s="254"/>
      <c r="G132" s="39"/>
      <c r="J132" s="39"/>
      <c r="K132" s="39"/>
      <c r="M132" s="346">
        <f>_xll.qlCalendarAdvance(Calendar,M131,"1M","f",,Trigger)</f>
        <v>45994</v>
      </c>
      <c r="N132" s="344">
        <f>_xll.qlCalendarAdvance(Calendar,M132,"3M","mf",,Trigger)</f>
        <v>46084</v>
      </c>
      <c r="O132" s="40" t="str">
        <f>_xll.qlMakeDatedOIS(,M132,N132,OvernightIndex,0,,,,EvaluationDate)</f>
        <v>obj_0064d#0000</v>
      </c>
      <c r="P132" s="40" t="b">
        <f>_xll.qlInstrumentSetPricingEngine(O132,OisEngine)</f>
        <v>1</v>
      </c>
      <c r="Q132" s="38">
        <f>_xll.qlIndexFixing(Currency&amp;IborType&amp;"3M",_xll.qlInterestRateIndexFixingDate(Currency&amp;IborType&amp;"3M",M132),TRUE,AllTriggers)</f>
        <v>2.2904998015623512E-2</v>
      </c>
      <c r="R132" s="38">
        <f>_xll.qlOvernightIndexedSwapFairRate(O132,AllTriggers)</f>
        <v>2.1294895096453104E-2</v>
      </c>
      <c r="S132" s="345">
        <f t="shared" si="4"/>
        <v>1.6101029191704086E-3</v>
      </c>
    </row>
    <row r="133" spans="5:19" ht="11.25" customHeight="1" x14ac:dyDescent="0.2">
      <c r="E133" s="254"/>
      <c r="F133" s="254"/>
      <c r="G133" s="39"/>
      <c r="J133" s="39"/>
      <c r="K133" s="39"/>
      <c r="M133" s="346">
        <f>_xll.qlCalendarAdvance(Calendar,M132,"1M","f",,Trigger)</f>
        <v>46027</v>
      </c>
      <c r="N133" s="344">
        <f>_xll.qlCalendarAdvance(Calendar,M133,"3M","mf",,Trigger)</f>
        <v>46119</v>
      </c>
      <c r="O133" s="40" t="str">
        <f>_xll.qlMakeDatedOIS(,M133,N133,OvernightIndex,0,,,,EvaluationDate)</f>
        <v>obj_0064e#0000</v>
      </c>
      <c r="P133" s="40" t="b">
        <f>_xll.qlInstrumentSetPricingEngine(O133,OisEngine)</f>
        <v>1</v>
      </c>
      <c r="Q133" s="38">
        <f>_xll.qlIndexFixing(Currency&amp;IborType&amp;"3M",_xll.qlInterestRateIndexFixingDate(Currency&amp;IborType&amp;"3M",M133),TRUE,AllTriggers)</f>
        <v>2.2984451939083356E-2</v>
      </c>
      <c r="R133" s="38">
        <f>_xll.qlOvernightIndexedSwapFairRate(O133,AllTriggers)</f>
        <v>2.1398144777621111E-2</v>
      </c>
      <c r="S133" s="345">
        <f t="shared" si="4"/>
        <v>1.586307161462245E-3</v>
      </c>
    </row>
    <row r="134" spans="5:19" ht="11.25" customHeight="1" x14ac:dyDescent="0.2">
      <c r="E134" s="254"/>
      <c r="F134" s="254"/>
      <c r="G134" s="39"/>
      <c r="J134" s="39"/>
      <c r="K134" s="39"/>
      <c r="M134" s="346">
        <f>_xll.qlCalendarAdvance(Calendar,M133,"1M","f",,Trigger)</f>
        <v>46058</v>
      </c>
      <c r="N134" s="344">
        <f>_xll.qlCalendarAdvance(Calendar,M134,"3M","mf",,Trigger)</f>
        <v>46147</v>
      </c>
      <c r="O134" s="40" t="str">
        <f>_xll.qlMakeDatedOIS(,M134,N134,OvernightIndex,0,,,,EvaluationDate)</f>
        <v>obj_0064f#0000</v>
      </c>
      <c r="P134" s="40" t="b">
        <f>_xll.qlInstrumentSetPricingEngine(O134,OisEngine)</f>
        <v>1</v>
      </c>
      <c r="Q134" s="38">
        <f>_xll.qlIndexFixing(Currency&amp;IborType&amp;"3M",_xll.qlInterestRateIndexFixingDate(Currency&amp;IborType&amp;"3M",M134),TRUE,AllTriggers)</f>
        <v>2.3046988732537091E-2</v>
      </c>
      <c r="R134" s="38">
        <f>_xll.qlOvernightIndexedSwapFairRate(O134,AllTriggers)</f>
        <v>2.1480300430285482E-2</v>
      </c>
      <c r="S134" s="345">
        <f t="shared" si="4"/>
        <v>1.5666883022516093E-3</v>
      </c>
    </row>
    <row r="135" spans="5:19" ht="11.25" customHeight="1" x14ac:dyDescent="0.2">
      <c r="E135" s="254"/>
      <c r="F135" s="254"/>
      <c r="G135" s="39"/>
      <c r="J135" s="39"/>
      <c r="K135" s="39"/>
      <c r="M135" s="346">
        <f>_xll.qlCalendarAdvance(Calendar,M134,"1M","f",,Trigger)</f>
        <v>46086</v>
      </c>
      <c r="N135" s="344">
        <f>_xll.qlCalendarAdvance(Calendar,M135,"3M","mf",,Trigger)</f>
        <v>46178</v>
      </c>
      <c r="O135" s="40" t="str">
        <f>_xll.qlMakeDatedOIS(,M135,N135,OvernightIndex,0,,,,EvaluationDate)</f>
        <v>obj_00650#0000</v>
      </c>
      <c r="P135" s="40" t="b">
        <f>_xll.qlInstrumentSetPricingEngine(O135,OisEngine)</f>
        <v>1</v>
      </c>
      <c r="Q135" s="38">
        <f>_xll.qlIndexFixing(Currency&amp;IborType&amp;"3M",_xll.qlInterestRateIndexFixingDate(Currency&amp;IborType&amp;"3M",M135),TRUE,AllTriggers)</f>
        <v>2.3110965913484369E-2</v>
      </c>
      <c r="R135" s="38">
        <f>_xll.qlOvernightIndexedSwapFairRate(O135,AllTriggers)</f>
        <v>2.1561803820913304E-2</v>
      </c>
      <c r="S135" s="345">
        <f t="shared" si="4"/>
        <v>1.5491620925710652E-3</v>
      </c>
    </row>
    <row r="136" spans="5:19" ht="11.25" customHeight="1" x14ac:dyDescent="0.2">
      <c r="E136" s="254"/>
      <c r="F136" s="254"/>
      <c r="G136" s="39"/>
      <c r="J136" s="39"/>
      <c r="K136" s="39"/>
      <c r="M136" s="346">
        <f>_xll.qlCalendarAdvance(Calendar,M135,"1M","f",,Trigger)</f>
        <v>46119</v>
      </c>
      <c r="N136" s="344">
        <f>_xll.qlCalendarAdvance(Calendar,M136,"3M","mf",,Trigger)</f>
        <v>46210</v>
      </c>
      <c r="O136" s="40" t="str">
        <f>_xll.qlMakeDatedOIS(,M136,N136,OvernightIndex,0,,,,EvaluationDate)</f>
        <v>obj_00652#0000</v>
      </c>
      <c r="P136" s="40" t="b">
        <f>_xll.qlInstrumentSetPricingEngine(O136,OisEngine)</f>
        <v>1</v>
      </c>
      <c r="Q136" s="38">
        <f>_xll.qlIndexFixing(Currency&amp;IborType&amp;"3M",_xll.qlInterestRateIndexFixingDate(Currency&amp;IborType&amp;"3M",M136),TRUE,AllTriggers)</f>
        <v>2.3175099631560333E-2</v>
      </c>
      <c r="R136" s="38">
        <f>_xll.qlOvernightIndexedSwapFairRate(O136,AllTriggers)</f>
        <v>2.1644049314657469E-2</v>
      </c>
      <c r="S136" s="345">
        <f t="shared" si="4"/>
        <v>1.5310503169028641E-3</v>
      </c>
    </row>
    <row r="137" spans="5:19" ht="11.25" customHeight="1" x14ac:dyDescent="0.2">
      <c r="E137" s="254"/>
      <c r="F137" s="254"/>
      <c r="G137" s="39"/>
      <c r="J137" s="39"/>
      <c r="K137" s="39"/>
      <c r="M137" s="346">
        <f>_xll.qlCalendarAdvance(Calendar,M136,"1M","f",,Trigger)</f>
        <v>46149</v>
      </c>
      <c r="N137" s="344">
        <f>_xll.qlCalendarAdvance(Calendar,M137,"3M","mf",,Trigger)</f>
        <v>46241</v>
      </c>
      <c r="O137" s="40" t="str">
        <f>_xll.qlMakeDatedOIS(,M137,N137,OvernightIndex,0,,,,EvaluationDate)</f>
        <v>obj_00653#0000</v>
      </c>
      <c r="P137" s="40" t="b">
        <f>_xll.qlInstrumentSetPricingEngine(O137,OisEngine)</f>
        <v>1</v>
      </c>
      <c r="Q137" s="38">
        <f>_xll.qlIndexFixing(Currency&amp;IborType&amp;"3M",_xll.qlInterestRateIndexFixingDate(Currency&amp;IborType&amp;"3M",M137),TRUE,AllTriggers)</f>
        <v>2.3233556472509322E-2</v>
      </c>
      <c r="R137" s="38">
        <f>_xll.qlOvernightIndexedSwapFairRate(O137,AllTriggers)</f>
        <v>2.1717706820288805E-2</v>
      </c>
      <c r="S137" s="345">
        <f t="shared" si="4"/>
        <v>1.5158496522205168E-3</v>
      </c>
    </row>
    <row r="138" spans="5:19" ht="11.25" customHeight="1" x14ac:dyDescent="0.2">
      <c r="E138" s="254"/>
      <c r="F138" s="254"/>
      <c r="G138" s="39"/>
      <c r="J138" s="39"/>
      <c r="K138" s="39"/>
      <c r="M138" s="346">
        <f>_xll.qlCalendarAdvance(Calendar,M137,"1M","f",,Trigger)</f>
        <v>46181</v>
      </c>
      <c r="N138" s="344">
        <f>_xll.qlCalendarAdvance(Calendar,M138,"3M","mf",,Trigger)</f>
        <v>46273</v>
      </c>
      <c r="O138" s="40" t="str">
        <f>_xll.qlMakeDatedOIS(,M138,N138,OvernightIndex,0,,,,EvaluationDate)</f>
        <v>obj_00654#0000</v>
      </c>
      <c r="P138" s="40" t="b">
        <f>_xll.qlInstrumentSetPricingEngine(O138,OisEngine)</f>
        <v>1</v>
      </c>
      <c r="Q138" s="38">
        <f>_xll.qlIndexFixing(Currency&amp;IborType&amp;"3M",_xll.qlInterestRateIndexFixingDate(Currency&amp;IborType&amp;"3M",M138),TRUE,AllTriggers)</f>
        <v>2.3290880007336052E-2</v>
      </c>
      <c r="R138" s="38">
        <f>_xll.qlOvernightIndexedSwapFairRate(O138,AllTriggers)</f>
        <v>2.178943865783689E-2</v>
      </c>
      <c r="S138" s="345">
        <f t="shared" si="4"/>
        <v>1.5014413494991614E-3</v>
      </c>
    </row>
    <row r="139" spans="5:19" ht="11.25" customHeight="1" x14ac:dyDescent="0.2">
      <c r="E139" s="254"/>
      <c r="F139" s="254"/>
      <c r="G139" s="39"/>
      <c r="J139" s="39"/>
      <c r="K139" s="39"/>
      <c r="M139" s="346">
        <f>_xll.qlCalendarAdvance(Calendar,M138,"1M","f",,Trigger)</f>
        <v>46211</v>
      </c>
      <c r="N139" s="344">
        <f>_xll.qlCalendarAdvance(Calendar,M139,"3M","mf",,Trigger)</f>
        <v>46303</v>
      </c>
      <c r="O139" s="40" t="str">
        <f>_xll.qlMakeDatedOIS(,M139,N139,OvernightIndex,0,,,,EvaluationDate)</f>
        <v>obj_00655#0000</v>
      </c>
      <c r="P139" s="40" t="b">
        <f>_xll.qlInstrumentSetPricingEngine(O139,OisEngine)</f>
        <v>1</v>
      </c>
      <c r="Q139" s="38">
        <f>_xll.qlIndexFixing(Currency&amp;IborType&amp;"3M",_xll.qlInterestRateIndexFixingDate(Currency&amp;IborType&amp;"3M",M139),TRUE,AllTriggers)</f>
        <v>2.3341595279656881E-2</v>
      </c>
      <c r="R139" s="38">
        <f>_xll.qlOvernightIndexedSwapFairRate(O139,AllTriggers)</f>
        <v>2.1852124425748146E-2</v>
      </c>
      <c r="S139" s="345">
        <f t="shared" si="4"/>
        <v>1.4894708539087351E-3</v>
      </c>
    </row>
    <row r="140" spans="5:19" ht="11.25" customHeight="1" x14ac:dyDescent="0.2">
      <c r="E140" s="254"/>
      <c r="F140" s="254"/>
      <c r="G140" s="39"/>
      <c r="J140" s="39"/>
      <c r="K140" s="39"/>
      <c r="M140" s="346">
        <f>_xll.qlCalendarAdvance(Calendar,M139,"1M","f",,Trigger)</f>
        <v>46244</v>
      </c>
      <c r="N140" s="344">
        <f>_xll.qlCalendarAdvance(Calendar,M140,"3M","mf",,Trigger)</f>
        <v>46336</v>
      </c>
      <c r="O140" s="40" t="str">
        <f>_xll.qlMakeDatedOIS(,M140,N140,OvernightIndex,0,,,,EvaluationDate)</f>
        <v>obj_00656#0000</v>
      </c>
      <c r="P140" s="40" t="b">
        <f>_xll.qlInstrumentSetPricingEngine(O140,OisEngine)</f>
        <v>1</v>
      </c>
      <c r="Q140" s="38">
        <f>_xll.qlIndexFixing(Currency&amp;IborType&amp;"3M",_xll.qlInterestRateIndexFixingDate(Currency&amp;IborType&amp;"3M",M140),TRUE,AllTriggers)</f>
        <v>2.3394004670859413E-2</v>
      </c>
      <c r="R140" s="38">
        <f>_xll.qlOvernightIndexedSwapFairRate(O140,AllTriggers)</f>
        <v>2.191598700064255E-2</v>
      </c>
      <c r="S140" s="345">
        <f t="shared" si="4"/>
        <v>1.4780176702168628E-3</v>
      </c>
    </row>
    <row r="141" spans="5:19" ht="11.25" customHeight="1" x14ac:dyDescent="0.2">
      <c r="E141" s="254"/>
      <c r="F141" s="254"/>
      <c r="G141" s="39"/>
      <c r="J141" s="39"/>
      <c r="K141" s="39"/>
      <c r="M141" s="346">
        <f>_xll.qlCalendarAdvance(Calendar,M140,"1M","f",,Trigger)</f>
        <v>46275</v>
      </c>
      <c r="N141" s="344">
        <f>_xll.qlCalendarAdvance(Calendar,M141,"3M","mf",,Trigger)</f>
        <v>46366</v>
      </c>
      <c r="O141" s="40" t="str">
        <f>_xll.qlMakeDatedOIS(,M141,N141,OvernightIndex,0,,,,EvaluationDate)</f>
        <v>obj_00657#0000</v>
      </c>
      <c r="P141" s="40" t="b">
        <f>_xll.qlInstrumentSetPricingEngine(O141,OisEngine)</f>
        <v>1</v>
      </c>
      <c r="Q141" s="38">
        <f>_xll.qlIndexFixing(Currency&amp;IborType&amp;"3M",_xll.qlInterestRateIndexFixingDate(Currency&amp;IborType&amp;"3M",M141),TRUE,AllTriggers)</f>
        <v>2.3438783432697029E-2</v>
      </c>
      <c r="R141" s="38">
        <f>_xll.qlOvernightIndexedSwapFairRate(O141,AllTriggers)</f>
        <v>2.1970059517223944E-2</v>
      </c>
      <c r="S141" s="345">
        <f t="shared" si="4"/>
        <v>1.4687239154730844E-3</v>
      </c>
    </row>
    <row r="142" spans="5:19" ht="11.25" customHeight="1" x14ac:dyDescent="0.2">
      <c r="E142" s="254"/>
      <c r="F142" s="254"/>
      <c r="G142" s="39"/>
      <c r="J142" s="39"/>
      <c r="K142" s="39"/>
      <c r="M142" s="346">
        <f>_xll.qlCalendarAdvance(Calendar,M141,"1M","f",,Trigger)</f>
        <v>46307</v>
      </c>
      <c r="N142" s="344">
        <f>_xll.qlCalendarAdvance(Calendar,M142,"3M","mf",,Trigger)</f>
        <v>46399</v>
      </c>
      <c r="O142" s="40" t="str">
        <f>_xll.qlMakeDatedOIS(,M142,N142,OvernightIndex,0,,,,EvaluationDate)</f>
        <v>obj_00658#0000</v>
      </c>
      <c r="P142" s="40" t="b">
        <f>_xll.qlInstrumentSetPricingEngine(O142,OisEngine)</f>
        <v>1</v>
      </c>
      <c r="Q142" s="38">
        <f>_xll.qlIndexFixing(Currency&amp;IborType&amp;"3M",_xll.qlInterestRateIndexFixingDate(Currency&amp;IborType&amp;"3M",M142),TRUE,AllTriggers)</f>
        <v>2.3485578440078252E-2</v>
      </c>
      <c r="R142" s="38">
        <f>_xll.qlOvernightIndexedSwapFairRate(O142,AllTriggers)</f>
        <v>2.2025647588187914E-2</v>
      </c>
      <c r="S142" s="345">
        <f t="shared" si="4"/>
        <v>1.4599308518903377E-3</v>
      </c>
    </row>
    <row r="143" spans="5:19" ht="11.25" customHeight="1" x14ac:dyDescent="0.2">
      <c r="E143" s="254"/>
      <c r="F143" s="254"/>
      <c r="G143" s="39"/>
      <c r="J143" s="39"/>
      <c r="K143" s="39"/>
      <c r="M143" s="346">
        <f>_xll.qlCalendarAdvance(Calendar,M142,"1M","f",,Trigger)</f>
        <v>46338</v>
      </c>
      <c r="N143" s="344">
        <f>_xll.qlCalendarAdvance(Calendar,M143,"3M","mf",,Trigger)</f>
        <v>46430</v>
      </c>
      <c r="O143" s="40" t="str">
        <f>_xll.qlMakeDatedOIS(,M143,N143,OvernightIndex,0,,,,EvaluationDate)</f>
        <v>obj_00659#0000</v>
      </c>
      <c r="P143" s="40" t="b">
        <f>_xll.qlInstrumentSetPricingEngine(O143,OisEngine)</f>
        <v>1</v>
      </c>
      <c r="Q143" s="38">
        <f>_xll.qlIndexFixing(Currency&amp;IborType&amp;"3M",_xll.qlInterestRateIndexFixingDate(Currency&amp;IborType&amp;"3M",M143),TRUE,AllTriggers)</f>
        <v>2.3527764191524265E-2</v>
      </c>
      <c r="R143" s="38">
        <f>_xll.qlOvernightIndexedSwapFairRate(O143,AllTriggers)</f>
        <v>2.2076002064132492E-2</v>
      </c>
      <c r="S143" s="345">
        <f t="shared" si="4"/>
        <v>1.451762127391773E-3</v>
      </c>
    </row>
    <row r="144" spans="5:19" ht="11.25" customHeight="1" x14ac:dyDescent="0.2">
      <c r="E144" s="254"/>
      <c r="F144" s="254"/>
      <c r="G144" s="39"/>
      <c r="J144" s="39"/>
      <c r="K144" s="39"/>
      <c r="M144" s="346">
        <f>_xll.qlCalendarAdvance(Calendar,M143,"1M","f",,Trigger)</f>
        <v>46370</v>
      </c>
      <c r="N144" s="344">
        <f>_xll.qlCalendarAdvance(Calendar,M144,"3M","mf",,Trigger)</f>
        <v>46461</v>
      </c>
      <c r="O144" s="40" t="str">
        <f>_xll.qlMakeDatedOIS(,M144,N144,OvernightIndex,0,,,,EvaluationDate)</f>
        <v>obj_0065a#0000</v>
      </c>
      <c r="P144" s="40" t="b">
        <f>_xll.qlInstrumentSetPricingEngine(O144,OisEngine)</f>
        <v>1</v>
      </c>
      <c r="Q144" s="38">
        <f>_xll.qlIndexFixing(Currency&amp;IborType&amp;"3M",_xll.qlInterestRateIndexFixingDate(Currency&amp;IborType&amp;"3M",M144),TRUE,AllTriggers)</f>
        <v>2.3568486864814706E-2</v>
      </c>
      <c r="R144" s="38">
        <f>_xll.qlOvernightIndexedSwapFairRate(O144,AllTriggers)</f>
        <v>2.2125123962842747E-2</v>
      </c>
      <c r="S144" s="345">
        <f t="shared" si="4"/>
        <v>1.443362901971959E-3</v>
      </c>
    </row>
    <row r="145" spans="5:19" ht="11.25" customHeight="1" x14ac:dyDescent="0.2">
      <c r="E145" s="254"/>
      <c r="F145" s="254"/>
      <c r="G145" s="39"/>
      <c r="J145" s="39"/>
      <c r="K145" s="39"/>
      <c r="M145" s="346">
        <f>_xll.qlCalendarAdvance(Calendar,M144,"1M","f",,Trigger)</f>
        <v>46401</v>
      </c>
      <c r="N145" s="344">
        <f>_xll.qlCalendarAdvance(Calendar,M145,"3M","mf",,Trigger)</f>
        <v>46491</v>
      </c>
      <c r="O145" s="40" t="str">
        <f>_xll.qlMakeDatedOIS(,M145,N145,OvernightIndex,0,,,,EvaluationDate)</f>
        <v>obj_0065b#0000</v>
      </c>
      <c r="P145" s="40" t="b">
        <f>_xll.qlInstrumentSetPricingEngine(O145,OisEngine)</f>
        <v>1</v>
      </c>
      <c r="Q145" s="38">
        <f>_xll.qlIndexFixing(Currency&amp;IborType&amp;"3M",_xll.qlInterestRateIndexFixingDate(Currency&amp;IborType&amp;"3M",M145),TRUE,AllTriggers)</f>
        <v>2.3606577287095476E-2</v>
      </c>
      <c r="R145" s="38">
        <f>_xll.qlOvernightIndexedSwapFairRate(O145,AllTriggers)</f>
        <v>2.2171373791453952E-2</v>
      </c>
      <c r="S145" s="345">
        <f t="shared" si="4"/>
        <v>1.4352034956415238E-3</v>
      </c>
    </row>
    <row r="146" spans="5:19" ht="11.25" customHeight="1" x14ac:dyDescent="0.2">
      <c r="E146" s="254"/>
      <c r="F146" s="254"/>
      <c r="G146" s="39"/>
      <c r="J146" s="39"/>
      <c r="K146" s="39"/>
      <c r="M146" s="346">
        <f>_xll.qlCalendarAdvance(Calendar,M145,"1M","f",,Trigger)</f>
        <v>46433</v>
      </c>
      <c r="N146" s="344">
        <f>_xll.qlCalendarAdvance(Calendar,M146,"3M","mf",,Trigger)</f>
        <v>46524</v>
      </c>
      <c r="O146" s="40" t="str">
        <f>_xll.qlMakeDatedOIS(,M146,N146,OvernightIndex,0,,,,EvaluationDate)</f>
        <v>obj_0065d#0000</v>
      </c>
      <c r="P146" s="40" t="b">
        <f>_xll.qlInstrumentSetPricingEngine(O146,OisEngine)</f>
        <v>1</v>
      </c>
      <c r="Q146" s="38">
        <f>_xll.qlIndexFixing(Currency&amp;IborType&amp;"3M",_xll.qlInterestRateIndexFixingDate(Currency&amp;IborType&amp;"3M",M146),TRUE,AllTriggers)</f>
        <v>2.3647320887928144E-2</v>
      </c>
      <c r="R146" s="38">
        <f>_xll.qlOvernightIndexedSwapFairRate(O146,AllTriggers)</f>
        <v>2.2220650923863744E-2</v>
      </c>
      <c r="S146" s="345">
        <f t="shared" si="4"/>
        <v>1.4266699640643997E-3</v>
      </c>
    </row>
    <row r="147" spans="5:19" ht="11.25" customHeight="1" x14ac:dyDescent="0.2">
      <c r="E147" s="254"/>
      <c r="F147" s="254"/>
      <c r="G147" s="39"/>
      <c r="J147" s="39"/>
      <c r="K147" s="39"/>
      <c r="M147" s="346">
        <f>_xll.qlCalendarAdvance(Calendar,M146,"1M","f",,Trigger)</f>
        <v>46461</v>
      </c>
      <c r="N147" s="344">
        <f>_xll.qlCalendarAdvance(Calendar,M147,"3M","mf",,Trigger)</f>
        <v>46553</v>
      </c>
      <c r="O147" s="40" t="str">
        <f>_xll.qlMakeDatedOIS(,M147,N147,OvernightIndex,0,,,,EvaluationDate)</f>
        <v>obj_0065e#0000</v>
      </c>
      <c r="P147" s="40" t="b">
        <f>_xll.qlInstrumentSetPricingEngine(O147,OisEngine)</f>
        <v>1</v>
      </c>
      <c r="Q147" s="38">
        <f>_xll.qlIndexFixing(Currency&amp;IborType&amp;"3M",_xll.qlInterestRateIndexFixingDate(Currency&amp;IborType&amp;"3M",M147),TRUE,AllTriggers)</f>
        <v>2.3681943897523077E-2</v>
      </c>
      <c r="R147" s="38">
        <f>_xll.qlOvernightIndexedSwapFairRate(O147,AllTriggers)</f>
        <v>2.2262769319827399E-2</v>
      </c>
      <c r="S147" s="345">
        <f t="shared" si="4"/>
        <v>1.4191745776956782E-3</v>
      </c>
    </row>
    <row r="148" spans="5:19" ht="11.25" customHeight="1" x14ac:dyDescent="0.2">
      <c r="E148" s="254"/>
      <c r="F148" s="254"/>
      <c r="G148" s="39"/>
      <c r="J148" s="39"/>
      <c r="K148" s="39"/>
      <c r="M148" s="346">
        <f>_xll.qlCalendarAdvance(Calendar,M147,"1M","f",,Trigger)</f>
        <v>46492</v>
      </c>
      <c r="N148" s="344">
        <f>_xll.qlCalendarAdvance(Calendar,M148,"3M","mf",,Trigger)</f>
        <v>46583</v>
      </c>
      <c r="O148" s="40" t="str">
        <f>_xll.qlMakeDatedOIS(,M148,N148,OvernightIndex,0,,,,EvaluationDate)</f>
        <v>obj_0065f#0000</v>
      </c>
      <c r="P148" s="40" t="b">
        <f>_xll.qlInstrumentSetPricingEngine(O148,OisEngine)</f>
        <v>1</v>
      </c>
      <c r="Q148" s="38">
        <f>_xll.qlIndexFixing(Currency&amp;IborType&amp;"3M",_xll.qlInterestRateIndexFixingDate(Currency&amp;IborType&amp;"3M",M148),TRUE,AllTriggers)</f>
        <v>2.3716162381227878E-2</v>
      </c>
      <c r="R148" s="38">
        <f>_xll.qlOvernightIndexedSwapFairRate(O148,AllTriggers)</f>
        <v>2.2305219090346547E-2</v>
      </c>
      <c r="S148" s="345">
        <f t="shared" si="4"/>
        <v>1.4109432908813307E-3</v>
      </c>
    </row>
    <row r="149" spans="5:19" ht="11.25" customHeight="1" x14ac:dyDescent="0.2">
      <c r="E149" s="254"/>
      <c r="F149" s="254"/>
      <c r="G149" s="39"/>
      <c r="J149" s="39"/>
      <c r="K149" s="39"/>
      <c r="M149" s="346">
        <f>_xll.qlCalendarAdvance(Calendar,M148,"1M","f",,Trigger)</f>
        <v>46524</v>
      </c>
      <c r="N149" s="344">
        <f>_xll.qlCalendarAdvance(Calendar,M149,"3M","mf",,Trigger)</f>
        <v>46616</v>
      </c>
      <c r="O149" s="40" t="str">
        <f>_xll.qlMakeDatedOIS(,M149,N149,OvernightIndex,0,,,,EvaluationDate)</f>
        <v>obj_00660#0000</v>
      </c>
      <c r="P149" s="40" t="b">
        <f>_xll.qlInstrumentSetPricingEngine(O149,OisEngine)</f>
        <v>1</v>
      </c>
      <c r="Q149" s="38">
        <f>_xll.qlIndexFixing(Currency&amp;IborType&amp;"3M",_xll.qlInterestRateIndexFixingDate(Currency&amp;IborType&amp;"3M",M149),TRUE,AllTriggers)</f>
        <v>2.3752794498260687E-2</v>
      </c>
      <c r="R149" s="38">
        <f>_xll.qlOvernightIndexedSwapFairRate(O149,AllTriggers)</f>
        <v>2.2350463526212647E-2</v>
      </c>
      <c r="S149" s="345">
        <f t="shared" si="4"/>
        <v>1.4023309720480395E-3</v>
      </c>
    </row>
    <row r="150" spans="5:19" ht="11.25" customHeight="1" x14ac:dyDescent="0.2">
      <c r="E150" s="254"/>
      <c r="F150" s="254"/>
      <c r="G150" s="39"/>
      <c r="J150" s="39"/>
      <c r="K150" s="39"/>
      <c r="M150" s="346">
        <f>_xll.qlCalendarAdvance(Calendar,M149,"1M","f",,Trigger)</f>
        <v>46555</v>
      </c>
      <c r="N150" s="344">
        <f>_xll.qlCalendarAdvance(Calendar,M150,"3M","mf",,Trigger)</f>
        <v>46647</v>
      </c>
      <c r="O150" s="40" t="str">
        <f>_xll.qlMakeDatedOIS(,M150,N150,OvernightIndex,0,,,,EvaluationDate)</f>
        <v>obj_00661#0000</v>
      </c>
      <c r="P150" s="40" t="b">
        <f>_xll.qlInstrumentSetPricingEngine(O150,OisEngine)</f>
        <v>1</v>
      </c>
      <c r="Q150" s="38">
        <f>_xll.qlIndexFixing(Currency&amp;IborType&amp;"3M",_xll.qlInterestRateIndexFixingDate(Currency&amp;IborType&amp;"3M",M150),TRUE,AllTriggers)</f>
        <v>2.378563823046069E-2</v>
      </c>
      <c r="R150" s="38">
        <f>_xll.qlOvernightIndexedSwapFairRate(O150,AllTriggers)</f>
        <v>2.2391633258832196E-2</v>
      </c>
      <c r="S150" s="345">
        <f t="shared" si="4"/>
        <v>1.3940049716284937E-3</v>
      </c>
    </row>
    <row r="151" spans="5:19" ht="11.25" customHeight="1" x14ac:dyDescent="0.2">
      <c r="E151" s="254"/>
      <c r="F151" s="254"/>
      <c r="G151" s="39"/>
      <c r="J151" s="39"/>
      <c r="K151" s="39"/>
      <c r="M151" s="346">
        <f>_xll.qlCalendarAdvance(Calendar,M150,"1M","f",,Trigger)</f>
        <v>46587</v>
      </c>
      <c r="N151" s="344">
        <f>_xll.qlCalendarAdvance(Calendar,M151,"3M","mf",,Trigger)</f>
        <v>46679</v>
      </c>
      <c r="O151" s="40" t="str">
        <f>_xll.qlMakeDatedOIS(,M151,N151,OvernightIndex,0,,,,EvaluationDate)</f>
        <v>obj_00662#0000</v>
      </c>
      <c r="P151" s="40" t="b">
        <f>_xll.qlInstrumentSetPricingEngine(O151,OisEngine)</f>
        <v>1</v>
      </c>
      <c r="Q151" s="38">
        <f>_xll.qlIndexFixing(Currency&amp;IborType&amp;"3M",_xll.qlInterestRateIndexFixingDate(Currency&amp;IborType&amp;"3M",M151),TRUE,AllTriggers)</f>
        <v>2.3818144399018436E-2</v>
      </c>
      <c r="R151" s="38">
        <f>_xll.qlOvernightIndexedSwapFairRate(O151,AllTriggers)</f>
        <v>2.2432760202109239E-2</v>
      </c>
      <c r="S151" s="345">
        <f t="shared" si="4"/>
        <v>1.3853841969091972E-3</v>
      </c>
    </row>
    <row r="152" spans="5:19" ht="11.25" customHeight="1" x14ac:dyDescent="0.2">
      <c r="E152" s="254"/>
      <c r="F152" s="254"/>
      <c r="G152" s="39"/>
      <c r="J152" s="39"/>
      <c r="K152" s="39"/>
      <c r="M152" s="346">
        <f>_xll.qlCalendarAdvance(Calendar,M151,"1M","f",,Trigger)</f>
        <v>46618</v>
      </c>
      <c r="N152" s="344">
        <f>_xll.qlCalendarAdvance(Calendar,M152,"3M","mf",,Trigger)</f>
        <v>46710</v>
      </c>
      <c r="O152" s="40" t="str">
        <f>_xll.qlMakeDatedOIS(,M152,N152,OvernightIndex,0,,,,EvaluationDate)</f>
        <v>obj_00663#0000</v>
      </c>
      <c r="P152" s="40" t="b">
        <f>_xll.qlInstrumentSetPricingEngine(O152,OisEngine)</f>
        <v>1</v>
      </c>
      <c r="Q152" s="38">
        <f>_xll.qlIndexFixing(Currency&amp;IborType&amp;"3M",_xll.qlInterestRateIndexFixingDate(Currency&amp;IborType&amp;"3M",M152),TRUE,AllTriggers)</f>
        <v>2.3848281335569078E-2</v>
      </c>
      <c r="R152" s="38">
        <f>_xll.qlOvernightIndexedSwapFairRate(O152,AllTriggers)</f>
        <v>2.2471273881313324E-2</v>
      </c>
      <c r="S152" s="345">
        <f t="shared" si="4"/>
        <v>1.3770074542557541E-3</v>
      </c>
    </row>
    <row r="153" spans="5:19" ht="11.25" customHeight="1" x14ac:dyDescent="0.2">
      <c r="E153" s="254"/>
      <c r="F153" s="254"/>
      <c r="G153" s="39"/>
      <c r="J153" s="39"/>
      <c r="K153" s="39"/>
      <c r="M153" s="346">
        <f>_xll.qlCalendarAdvance(Calendar,M152,"1M","f",,Trigger)</f>
        <v>46650</v>
      </c>
      <c r="N153" s="344">
        <f>_xll.qlCalendarAdvance(Calendar,M153,"3M","mf",,Trigger)</f>
        <v>46741</v>
      </c>
      <c r="O153" s="40" t="str">
        <f>_xll.qlMakeDatedOIS(,M153,N153,OvernightIndex,0,,,,EvaluationDate)</f>
        <v>obj_00665#0000</v>
      </c>
      <c r="P153" s="40" t="b">
        <f>_xll.qlInstrumentSetPricingEngine(O153,OisEngine)</f>
        <v>1</v>
      </c>
      <c r="Q153" s="38">
        <f>_xll.qlIndexFixing(Currency&amp;IborType&amp;"3M",_xll.qlInterestRateIndexFixingDate(Currency&amp;IborType&amp;"3M",M153),TRUE,AllTriggers)</f>
        <v>2.3876760326886397E-2</v>
      </c>
      <c r="R153" s="38">
        <f>_xll.qlOvernightIndexedSwapFairRate(O153,AllTriggers)</f>
        <v>2.2508377992530332E-2</v>
      </c>
      <c r="S153" s="345">
        <f t="shared" si="4"/>
        <v>1.368382334356065E-3</v>
      </c>
    </row>
    <row r="154" spans="5:19" ht="11.25" customHeight="1" x14ac:dyDescent="0.2">
      <c r="E154" s="254"/>
      <c r="F154" s="254"/>
      <c r="G154" s="39"/>
      <c r="J154" s="39"/>
      <c r="K154" s="39"/>
      <c r="M154" s="346">
        <f>_xll.qlCalendarAdvance(Calendar,M153,"1M","f",,Trigger)</f>
        <v>46680</v>
      </c>
      <c r="N154" s="344">
        <f>_xll.qlCalendarAdvance(Calendar,M154,"3M","mf",,Trigger)</f>
        <v>46772</v>
      </c>
      <c r="O154" s="40" t="str">
        <f>_xll.qlMakeDatedOIS(,M154,N154,OvernightIndex,0,,,,EvaluationDate)</f>
        <v>obj_00666#0000</v>
      </c>
      <c r="P154" s="40" t="b">
        <f>_xll.qlInstrumentSetPricingEngine(O154,OisEngine)</f>
        <v>1</v>
      </c>
      <c r="Q154" s="38">
        <f>_xll.qlIndexFixing(Currency&amp;IborType&amp;"3M",_xll.qlInterestRateIndexFixingDate(Currency&amp;IborType&amp;"3M",M154),TRUE,AllTriggers)</f>
        <v>2.3904559292216118E-2</v>
      </c>
      <c r="R154" s="38">
        <f>_xll.qlOvernightIndexedSwapFairRate(O154,AllTriggers)</f>
        <v>2.2544380185289911E-2</v>
      </c>
      <c r="S154" s="345">
        <f t="shared" si="4"/>
        <v>1.360179106926207E-3</v>
      </c>
    </row>
    <row r="155" spans="5:19" ht="11.25" customHeight="1" x14ac:dyDescent="0.2">
      <c r="E155" s="254"/>
      <c r="F155" s="254"/>
      <c r="G155" s="39"/>
      <c r="J155" s="39"/>
      <c r="K155" s="39"/>
      <c r="M155" s="346">
        <f>_xll.qlCalendarAdvance(Calendar,M154,"1M","f",,Trigger)</f>
        <v>46713</v>
      </c>
      <c r="N155" s="344">
        <f>_xll.qlCalendarAdvance(Calendar,M155,"3M","mf",,Trigger)</f>
        <v>46805</v>
      </c>
      <c r="O155" s="40" t="str">
        <f>_xll.qlMakeDatedOIS(,M155,N155,OvernightIndex,0,,,,EvaluationDate)</f>
        <v>obj_00667#0000</v>
      </c>
      <c r="P155" s="40" t="b">
        <f>_xll.qlInstrumentSetPricingEngine(O155,OisEngine)</f>
        <v>1</v>
      </c>
      <c r="Q155" s="38">
        <f>_xll.qlIndexFixing(Currency&amp;IborType&amp;"3M",_xll.qlInterestRateIndexFixingDate(Currency&amp;IborType&amp;"3M",M155),TRUE,AllTriggers)</f>
        <v>2.3932341027762975E-2</v>
      </c>
      <c r="R155" s="38">
        <f>_xll.qlOvernightIndexedSwapFairRate(O155,AllTriggers)</f>
        <v>2.25811596298581E-2</v>
      </c>
      <c r="S155" s="345">
        <f t="shared" si="4"/>
        <v>1.3511813979048756E-3</v>
      </c>
    </row>
    <row r="156" spans="5:19" ht="11.25" customHeight="1" x14ac:dyDescent="0.2">
      <c r="E156" s="254"/>
      <c r="F156" s="254"/>
      <c r="G156" s="39"/>
      <c r="J156" s="39"/>
      <c r="K156" s="39"/>
      <c r="M156" s="346">
        <f>_xll.qlCalendarAdvance(Calendar,M155,"1M","f",,Trigger)</f>
        <v>46743</v>
      </c>
      <c r="N156" s="344">
        <f>_xll.qlCalendarAdvance(Calendar,M156,"3M","mf",,Trigger)</f>
        <v>46834</v>
      </c>
      <c r="O156" s="40" t="str">
        <f>_xll.qlMakeDatedOIS(,M156,N156,OvernightIndex,0,,,,EvaluationDate)</f>
        <v>obj_00669#0000</v>
      </c>
      <c r="P156" s="40" t="b">
        <f>_xll.qlInstrumentSetPricingEngine(O156,OisEngine)</f>
        <v>1</v>
      </c>
      <c r="Q156" s="38">
        <f>_xll.qlIndexFixing(Currency&amp;IborType&amp;"3M",_xll.qlInterestRateIndexFixingDate(Currency&amp;IborType&amp;"3M",M156),TRUE,AllTriggers)</f>
        <v>2.3955113546510507E-2</v>
      </c>
      <c r="R156" s="38">
        <f>_xll.qlOvernightIndexedSwapFairRate(O156,AllTriggers)</f>
        <v>2.2612085886681378E-2</v>
      </c>
      <c r="S156" s="345">
        <f t="shared" si="4"/>
        <v>1.3430276598291289E-3</v>
      </c>
    </row>
    <row r="157" spans="5:19" ht="11.25" customHeight="1" x14ac:dyDescent="0.2">
      <c r="E157" s="254"/>
      <c r="F157" s="254"/>
      <c r="G157" s="39"/>
      <c r="J157" s="39"/>
      <c r="K157" s="39"/>
      <c r="M157" s="346">
        <f>_xll.qlCalendarAdvance(Calendar,M156,"1M","f",,Trigger)</f>
        <v>46776</v>
      </c>
      <c r="N157" s="344">
        <f>_xll.qlCalendarAdvance(Calendar,M157,"3M","mf",,Trigger)</f>
        <v>46867</v>
      </c>
      <c r="O157" s="40" t="str">
        <f>_xll.qlMakeDatedOIS(,M157,N157,OvernightIndex,0,,,,EvaluationDate)</f>
        <v>obj_0066a#0000</v>
      </c>
      <c r="P157" s="40" t="b">
        <f>_xll.qlInstrumentSetPricingEngine(O157,OisEngine)</f>
        <v>1</v>
      </c>
      <c r="Q157" s="38">
        <f>_xll.qlIndexFixing(Currency&amp;IborType&amp;"3M",_xll.qlInterestRateIndexFixingDate(Currency&amp;IborType&amp;"3M",M157),TRUE,AllTriggers)</f>
        <v>2.3980034758959792E-2</v>
      </c>
      <c r="R157" s="38">
        <f>_xll.qlOvernightIndexedSwapFairRate(O157,AllTriggers)</f>
        <v>2.2646057834888877E-2</v>
      </c>
      <c r="S157" s="345">
        <f t="shared" si="4"/>
        <v>1.3339769240709141E-3</v>
      </c>
    </row>
    <row r="158" spans="5:19" ht="11.25" customHeight="1" x14ac:dyDescent="0.2">
      <c r="E158" s="254"/>
      <c r="F158" s="254"/>
      <c r="G158" s="39"/>
      <c r="J158" s="39"/>
      <c r="K158" s="39"/>
      <c r="M158" s="346">
        <f>_xll.qlCalendarAdvance(Calendar,M157,"1M","f",,Trigger)</f>
        <v>46807</v>
      </c>
      <c r="N158" s="344">
        <f>_xll.qlCalendarAdvance(Calendar,M158,"3M","mf",,Trigger)</f>
        <v>46897</v>
      </c>
      <c r="O158" s="40" t="str">
        <f>_xll.qlMakeDatedOIS(,M158,N158,OvernightIndex,0,,,,EvaluationDate)</f>
        <v>obj_0066c#0000</v>
      </c>
      <c r="P158" s="40" t="b">
        <f>_xll.qlInstrumentSetPricingEngine(O158,OisEngine)</f>
        <v>1</v>
      </c>
      <c r="Q158" s="38">
        <f>_xll.qlIndexFixing(Currency&amp;IborType&amp;"3M",_xll.qlInterestRateIndexFixingDate(Currency&amp;IborType&amp;"3M",M158),TRUE,AllTriggers)</f>
        <v>2.4000937738750672E-2</v>
      </c>
      <c r="R158" s="38">
        <f>_xll.qlOvernightIndexedSwapFairRate(O158,AllTriggers)</f>
        <v>2.2675436476995436E-2</v>
      </c>
      <c r="S158" s="345">
        <f t="shared" si="4"/>
        <v>1.3255012617552353E-3</v>
      </c>
    </row>
    <row r="159" spans="5:19" ht="11.25" customHeight="1" x14ac:dyDescent="0.2">
      <c r="E159" s="254"/>
      <c r="F159" s="254"/>
      <c r="G159" s="39"/>
      <c r="J159" s="39"/>
      <c r="K159" s="39"/>
      <c r="M159" s="346">
        <f>_xll.qlCalendarAdvance(Calendar,M158,"1M","f",,Trigger)</f>
        <v>46836</v>
      </c>
      <c r="N159" s="344">
        <f>_xll.qlCalendarAdvance(Calendar,M159,"3M","mf",,Trigger)</f>
        <v>46930</v>
      </c>
      <c r="O159" s="40" t="str">
        <f>_xll.qlMakeDatedOIS(,M159,N159,OvernightIndex,0,,,,EvaluationDate)</f>
        <v>obj_0066d#0000</v>
      </c>
      <c r="P159" s="40" t="b">
        <f>_xll.qlInstrumentSetPricingEngine(O159,OisEngine)</f>
        <v>1</v>
      </c>
      <c r="Q159" s="38">
        <f>_xll.qlIndexFixing(Currency&amp;IborType&amp;"3M",_xll.qlInterestRateIndexFixingDate(Currency&amp;IborType&amp;"3M",M159),TRUE,AllTriggers)</f>
        <v>2.4024818817387539E-2</v>
      </c>
      <c r="R159" s="38">
        <f>_xll.qlOvernightIndexedSwapFairRate(O159,AllTriggers)</f>
        <v>2.2707529385438428E-2</v>
      </c>
      <c r="S159" s="345">
        <f t="shared" si="4"/>
        <v>1.3172894319491112E-3</v>
      </c>
    </row>
    <row r="160" spans="5:19" ht="11.25" customHeight="1" x14ac:dyDescent="0.2">
      <c r="E160" s="254"/>
      <c r="F160" s="254"/>
      <c r="G160" s="39"/>
      <c r="J160" s="39"/>
      <c r="K160" s="39"/>
      <c r="M160" s="346">
        <f>_xll.qlCalendarAdvance(Calendar,M159,"1M","f",,Trigger)</f>
        <v>46867</v>
      </c>
      <c r="N160" s="344">
        <f>_xll.qlCalendarAdvance(Calendar,M160,"3M","mf",,Trigger)</f>
        <v>46958</v>
      </c>
      <c r="O160" s="40" t="str">
        <f>_xll.qlMakeDatedOIS(,M160,N160,OvernightIndex,0,,,,EvaluationDate)</f>
        <v>obj_0066f#0000</v>
      </c>
      <c r="P160" s="40" t="b">
        <f>_xll.qlInstrumentSetPricingEngine(O160,OisEngine)</f>
        <v>1</v>
      </c>
      <c r="Q160" s="38">
        <f>_xll.qlIndexFixing(Currency&amp;IborType&amp;"3M",_xll.qlInterestRateIndexFixingDate(Currency&amp;IborType&amp;"3M",M160),TRUE,AllTriggers)</f>
        <v>2.4040936623243747E-2</v>
      </c>
      <c r="R160" s="38">
        <f>_xll.qlOvernightIndexedSwapFairRate(O160,AllTriggers)</f>
        <v>2.2732063996650575E-2</v>
      </c>
      <c r="S160" s="345">
        <f t="shared" si="4"/>
        <v>1.3088726265931723E-3</v>
      </c>
    </row>
    <row r="161" spans="5:19" ht="11.25" customHeight="1" x14ac:dyDescent="0.2">
      <c r="E161" s="254"/>
      <c r="F161" s="254"/>
      <c r="G161" s="39"/>
      <c r="J161" s="39"/>
      <c r="K161" s="39"/>
      <c r="M161" s="346">
        <f>_xll.qlCalendarAdvance(Calendar,M160,"1M","f",,Trigger)</f>
        <v>46897</v>
      </c>
      <c r="N161" s="344">
        <f>_xll.qlCalendarAdvance(Calendar,M161,"3M","mf",,Trigger)</f>
        <v>46989</v>
      </c>
      <c r="O161" s="40" t="str">
        <f>_xll.qlMakeDatedOIS(,M161,N161,OvernightIndex,0,,,,EvaluationDate)</f>
        <v>obj_00671#0000</v>
      </c>
      <c r="P161" s="40" t="b">
        <f>_xll.qlInstrumentSetPricingEngine(O161,OisEngine)</f>
        <v>1</v>
      </c>
      <c r="Q161" s="38">
        <f>_xll.qlIndexFixing(Currency&amp;IborType&amp;"3M",_xll.qlInterestRateIndexFixingDate(Currency&amp;IborType&amp;"3M",M161),TRUE,AllTriggers)</f>
        <v>2.4059572231425189E-2</v>
      </c>
      <c r="R161" s="38">
        <f>_xll.qlOvernightIndexedSwapFairRate(O161,AllTriggers)</f>
        <v>2.2759077558110873E-2</v>
      </c>
      <c r="S161" s="345">
        <f t="shared" si="4"/>
        <v>1.3004946733143168E-3</v>
      </c>
    </row>
    <row r="162" spans="5:19" ht="11.25" customHeight="1" x14ac:dyDescent="0.2">
      <c r="E162" s="254"/>
      <c r="F162" s="254"/>
      <c r="G162" s="39"/>
      <c r="J162" s="39"/>
      <c r="K162" s="39"/>
      <c r="M162" s="346">
        <f>_xll.qlCalendarAdvance(Calendar,M161,"1M","f",,Trigger)</f>
        <v>46930</v>
      </c>
      <c r="N162" s="344">
        <f>_xll.qlCalendarAdvance(Calendar,M162,"3M","mf",,Trigger)</f>
        <v>47022</v>
      </c>
      <c r="O162" s="40" t="str">
        <f>_xll.qlMakeDatedOIS(,M162,N162,OvernightIndex,0,,,,EvaluationDate)</f>
        <v>obj_009d6#0000</v>
      </c>
      <c r="P162" s="40" t="b">
        <f>_xll.qlInstrumentSetPricingEngine(O162,OisEngine)</f>
        <v>1</v>
      </c>
      <c r="Q162" s="38">
        <f>_xll.qlIndexFixing(Currency&amp;IborType&amp;"3M",_xll.qlInterestRateIndexFixingDate(Currency&amp;IborType&amp;"3M",M162),TRUE,AllTriggers)</f>
        <v>2.4077427557514158E-2</v>
      </c>
      <c r="R162" s="38">
        <f>_xll.qlOvernightIndexedSwapFairRate(O162,AllTriggers)</f>
        <v>2.2786116201669787E-2</v>
      </c>
      <c r="S162" s="345">
        <f t="shared" si="4"/>
        <v>1.2913113558443712E-3</v>
      </c>
    </row>
    <row r="163" spans="5:19" ht="11.25" customHeight="1" x14ac:dyDescent="0.2">
      <c r="E163" s="254"/>
      <c r="F163" s="254"/>
      <c r="G163" s="39"/>
      <c r="J163" s="39"/>
      <c r="K163" s="39"/>
      <c r="M163" s="346">
        <f>_xll.qlCalendarAdvance(Calendar,M162,"1M","f",,Trigger)</f>
        <v>46960</v>
      </c>
      <c r="N163" s="344">
        <f>_xll.qlCalendarAdvance(Calendar,M163,"3M","mf",,Trigger)</f>
        <v>47052</v>
      </c>
      <c r="O163" s="40" t="str">
        <f>_xll.qlMakeDatedOIS(,M163,N163,OvernightIndex,0,,,,EvaluationDate)</f>
        <v>obj_00672#0000</v>
      </c>
      <c r="P163" s="40" t="b">
        <f>_xll.qlInstrumentSetPricingEngine(O163,OisEngine)</f>
        <v>1</v>
      </c>
      <c r="Q163" s="38">
        <f>_xll.qlIndexFixing(Currency&amp;IborType&amp;"3M",_xll.qlInterestRateIndexFixingDate(Currency&amp;IborType&amp;"3M",M163),TRUE,AllTriggers)</f>
        <v>2.4092349657792191E-2</v>
      </c>
      <c r="R163" s="38">
        <f>_xll.qlOvernightIndexedSwapFairRate(O163,AllTriggers)</f>
        <v>2.2809411233960762E-2</v>
      </c>
      <c r="S163" s="345">
        <f t="shared" si="4"/>
        <v>1.2829384238314291E-3</v>
      </c>
    </row>
    <row r="164" spans="5:19" ht="11.25" customHeight="1" x14ac:dyDescent="0.2">
      <c r="E164" s="254"/>
      <c r="F164" s="254"/>
      <c r="G164" s="39"/>
      <c r="J164" s="39"/>
      <c r="K164" s="39"/>
      <c r="M164" s="346">
        <f>_xll.qlCalendarAdvance(Calendar,M163,"1M","f",,Trigger)</f>
        <v>46993</v>
      </c>
      <c r="N164" s="344">
        <f>_xll.qlCalendarAdvance(Calendar,M164,"3M","mf",,Trigger)</f>
        <v>47085</v>
      </c>
      <c r="O164" s="40" t="str">
        <f>_xll.qlMakeDatedOIS(,M164,N164,OvernightIndex,0,,,,EvaluationDate)</f>
        <v>obj_00673#0000</v>
      </c>
      <c r="P164" s="40" t="b">
        <f>_xll.qlInstrumentSetPricingEngine(O164,OisEngine)</f>
        <v>1</v>
      </c>
      <c r="Q164" s="38">
        <f>_xll.qlIndexFixing(Currency&amp;IborType&amp;"3M",_xll.qlInterestRateIndexFixingDate(Currency&amp;IborType&amp;"3M",M164),TRUE,AllTriggers)</f>
        <v>2.4107322934837399E-2</v>
      </c>
      <c r="R164" s="38">
        <f>_xll.qlOvernightIndexedSwapFairRate(O164,AllTriggers)</f>
        <v>2.2833621634654553E-2</v>
      </c>
      <c r="S164" s="345">
        <f t="shared" si="4"/>
        <v>1.2737013001828459E-3</v>
      </c>
    </row>
    <row r="165" spans="5:19" ht="11.25" customHeight="1" x14ac:dyDescent="0.2">
      <c r="E165" s="254"/>
      <c r="F165" s="254"/>
      <c r="G165" s="39"/>
      <c r="J165" s="39"/>
      <c r="K165" s="39"/>
      <c r="M165" s="346">
        <f>_xll.qlCalendarAdvance(Calendar,M164,"1M","f",,Trigger)</f>
        <v>47024</v>
      </c>
      <c r="N165" s="344">
        <f>_xll.qlCalendarAdvance(Calendar,M165,"3M","mf",,Trigger)</f>
        <v>47115</v>
      </c>
      <c r="O165" s="40" t="str">
        <f>_xll.qlMakeDatedOIS(,M165,N165,OvernightIndex,0,,,,EvaluationDate)</f>
        <v>obj_00675#0000</v>
      </c>
      <c r="P165" s="40" t="b">
        <f>_xll.qlInstrumentSetPricingEngine(O165,OisEngine)</f>
        <v>1</v>
      </c>
      <c r="Q165" s="38">
        <f>_xll.qlIndexFixing(Currency&amp;IborType&amp;"3M",_xll.qlInterestRateIndexFixingDate(Currency&amp;IborType&amp;"3M",M165),TRUE,AllTriggers)</f>
        <v>2.4119023659120286E-2</v>
      </c>
      <c r="R165" s="38">
        <f>_xll.qlOvernightIndexedSwapFairRate(O165,AllTriggers)</f>
        <v>2.2853966844616009E-2</v>
      </c>
      <c r="S165" s="345">
        <f t="shared" si="4"/>
        <v>1.265056814504277E-3</v>
      </c>
    </row>
    <row r="166" spans="5:19" ht="11.25" customHeight="1" x14ac:dyDescent="0.2">
      <c r="E166" s="254"/>
      <c r="F166" s="254"/>
      <c r="G166" s="39"/>
      <c r="J166" s="39"/>
      <c r="K166" s="39"/>
      <c r="M166" s="346">
        <f>_xll.qlCalendarAdvance(Calendar,M165,"1M","f",,Trigger)</f>
        <v>47056</v>
      </c>
      <c r="N166" s="344">
        <f>_xll.qlCalendarAdvance(Calendar,M166,"3M","mf",,Trigger)</f>
        <v>47148</v>
      </c>
      <c r="O166" s="40" t="str">
        <f>_xll.qlMakeDatedOIS(,M166,N166,OvernightIndex,0,,,,EvaluationDate)</f>
        <v>obj_00677#0000</v>
      </c>
      <c r="P166" s="40" t="b">
        <f>_xll.qlInstrumentSetPricingEngine(O166,OisEngine)</f>
        <v>1</v>
      </c>
      <c r="Q166" s="38">
        <f>_xll.qlIndexFixing(Currency&amp;IborType&amp;"3M",_xll.qlInterestRateIndexFixingDate(Currency&amp;IborType&amp;"3M",M166),TRUE,AllTriggers)</f>
        <v>2.4131716125826264E-2</v>
      </c>
      <c r="R166" s="38">
        <f>_xll.qlOvernightIndexedSwapFairRate(O166,AllTriggers)</f>
        <v>2.2875727548614378E-2</v>
      </c>
      <c r="S166" s="345">
        <f t="shared" si="4"/>
        <v>1.2559885772118855E-3</v>
      </c>
    </row>
    <row r="167" spans="5:19" ht="11.25" customHeight="1" x14ac:dyDescent="0.2">
      <c r="E167" s="254"/>
      <c r="F167" s="254"/>
      <c r="G167" s="39"/>
      <c r="J167" s="39"/>
      <c r="K167" s="39"/>
      <c r="M167" s="346">
        <f>_xll.qlCalendarAdvance(Calendar,M166,"1M","f",,Trigger)</f>
        <v>47087</v>
      </c>
      <c r="N167" s="344">
        <f>_xll.qlCalendarAdvance(Calendar,M167,"3M","mf",,Trigger)</f>
        <v>47177</v>
      </c>
      <c r="O167" s="40" t="str">
        <f>_xll.qlMakeDatedOIS(,M167,N167,OvernightIndex,0,,,,EvaluationDate)</f>
        <v>obj_008e1#0000</v>
      </c>
      <c r="P167" s="40" t="b">
        <f>_xll.qlInstrumentSetPricingEngine(O167,OisEngine)</f>
        <v>1</v>
      </c>
      <c r="Q167" s="38">
        <f>_xll.qlIndexFixing(Currency&amp;IborType&amp;"3M",_xll.qlInterestRateIndexFixingDate(Currency&amp;IborType&amp;"3M",M167),TRUE,AllTriggers)</f>
        <v>2.4139803531462611E-2</v>
      </c>
      <c r="R167" s="38">
        <f>_xll.qlOvernightIndexedSwapFairRate(O167,AllTriggers)</f>
        <v>2.2892447751884148E-2</v>
      </c>
      <c r="S167" s="345">
        <f t="shared" si="4"/>
        <v>1.2473557795784629E-3</v>
      </c>
    </row>
    <row r="168" spans="5:19" ht="11.25" customHeight="1" x14ac:dyDescent="0.2">
      <c r="E168" s="254"/>
      <c r="F168" s="254"/>
      <c r="G168" s="39"/>
      <c r="J168" s="39"/>
      <c r="K168" s="39"/>
      <c r="M168" s="346">
        <f>_xll.qlCalendarAdvance(Calendar,M167,"1M","f",,Trigger)</f>
        <v>47120</v>
      </c>
      <c r="N168" s="344">
        <f>_xll.qlCalendarAdvance(Calendar,M168,"3M","mf",,Trigger)</f>
        <v>47211</v>
      </c>
      <c r="O168" s="40" t="str">
        <f>_xll.qlMakeDatedOIS(,M168,N168,OvernightIndex,0,,,,EvaluationDate)</f>
        <v>obj_00678#0000</v>
      </c>
      <c r="P168" s="40" t="b">
        <f>_xll.qlInstrumentSetPricingEngine(O168,OisEngine)</f>
        <v>1</v>
      </c>
      <c r="Q168" s="38">
        <f>_xll.qlIndexFixing(Currency&amp;IborType&amp;"3M",_xll.qlInterestRateIndexFixingDate(Currency&amp;IborType&amp;"3M",M168),TRUE,AllTriggers)</f>
        <v>2.4149937117165992E-2</v>
      </c>
      <c r="R168" s="38">
        <f>_xll.qlOvernightIndexedSwapFairRate(O168,AllTriggers)</f>
        <v>2.2911986144299765E-2</v>
      </c>
      <c r="S168" s="345">
        <f t="shared" si="4"/>
        <v>1.2379509728662266E-3</v>
      </c>
    </row>
    <row r="169" spans="5:19" ht="11.25" customHeight="1" x14ac:dyDescent="0.2">
      <c r="E169" s="254"/>
      <c r="F169" s="254"/>
      <c r="G169" s="39"/>
      <c r="J169" s="39"/>
      <c r="K169" s="39"/>
      <c r="M169" s="346">
        <f>_xll.qlCalendarAdvance(Calendar,M168,"1M","f",,Trigger)</f>
        <v>47151</v>
      </c>
      <c r="N169" s="344">
        <f>_xll.qlCalendarAdvance(Calendar,M169,"3M","mf",,Trigger)</f>
        <v>47240</v>
      </c>
      <c r="O169" s="40" t="str">
        <f>_xll.qlMakeDatedOIS(,M169,N169,OvernightIndex,0,,,,EvaluationDate)</f>
        <v>obj_00679#0000</v>
      </c>
      <c r="P169" s="40" t="b">
        <f>_xll.qlInstrumentSetPricingEngine(O169,OisEngine)</f>
        <v>1</v>
      </c>
      <c r="Q169" s="38">
        <f>_xll.qlIndexFixing(Currency&amp;IborType&amp;"3M",_xll.qlInterestRateIndexFixingDate(Currency&amp;IborType&amp;"3M",M169),TRUE,AllTriggers)</f>
        <v>2.4155380738094544E-2</v>
      </c>
      <c r="R169" s="38">
        <f>_xll.qlOvernightIndexedSwapFairRate(O169,AllTriggers)</f>
        <v>2.2926109084618833E-2</v>
      </c>
      <c r="S169" s="345">
        <f t="shared" si="4"/>
        <v>1.2292716534757116E-3</v>
      </c>
    </row>
    <row r="170" spans="5:19" ht="11.25" customHeight="1" x14ac:dyDescent="0.2">
      <c r="E170" s="254"/>
      <c r="F170" s="254"/>
      <c r="G170" s="39"/>
      <c r="J170" s="39"/>
      <c r="K170" s="39"/>
      <c r="M170" s="346">
        <f>_xll.qlCalendarAdvance(Calendar,M169,"1M","f",,Trigger)</f>
        <v>47179</v>
      </c>
      <c r="N170" s="344">
        <f>_xll.qlCalendarAdvance(Calendar,M170,"3M","mf",,Trigger)</f>
        <v>47273</v>
      </c>
      <c r="O170" s="40" t="str">
        <f>_xll.qlMakeDatedOIS(,M170,N170,OvernightIndex,0,,,,EvaluationDate)</f>
        <v>obj_0067a#0000</v>
      </c>
      <c r="P170" s="40" t="b">
        <f>_xll.qlInstrumentSetPricingEngine(O170,OisEngine)</f>
        <v>1</v>
      </c>
      <c r="Q170" s="38">
        <f>_xll.qlIndexFixing(Currency&amp;IborType&amp;"3M",_xll.qlInterestRateIndexFixingDate(Currency&amp;IborType&amp;"3M",M170),TRUE,AllTriggers)</f>
        <v>2.4165252244746801E-2</v>
      </c>
      <c r="R170" s="38">
        <f>_xll.qlOvernightIndexedSwapFairRate(O170,AllTriggers)</f>
        <v>2.2944267556488891E-2</v>
      </c>
      <c r="S170" s="345">
        <f t="shared" si="4"/>
        <v>1.2209846882579103E-3</v>
      </c>
    </row>
    <row r="171" spans="5:19" ht="11.25" customHeight="1" x14ac:dyDescent="0.2">
      <c r="E171" s="254"/>
      <c r="F171" s="254"/>
      <c r="G171" s="39"/>
      <c r="J171" s="39"/>
      <c r="K171" s="39"/>
      <c r="M171" s="346">
        <f>_xll.qlCalendarAdvance(Calendar,M170,"1M","f",,Trigger)</f>
        <v>47211</v>
      </c>
      <c r="N171" s="344">
        <f>_xll.qlCalendarAdvance(Calendar,M171,"3M","mf",,Trigger)</f>
        <v>47302</v>
      </c>
      <c r="O171" s="40" t="str">
        <f>_xll.qlMakeDatedOIS(,M171,N171,OvernightIndex,0,,,,EvaluationDate)</f>
        <v>obj_0067b#0000</v>
      </c>
      <c r="P171" s="40" t="b">
        <f>_xll.qlInstrumentSetPricingEngine(O171,OisEngine)</f>
        <v>1</v>
      </c>
      <c r="Q171" s="38">
        <f>_xll.qlIndexFixing(Currency&amp;IborType&amp;"3M",_xll.qlInterestRateIndexFixingDate(Currency&amp;IborType&amp;"3M",M171),TRUE,AllTriggers)</f>
        <v>2.4167445653739083E-2</v>
      </c>
      <c r="R171" s="38">
        <f>_xll.qlOvernightIndexedSwapFairRate(O171,AllTriggers)</f>
        <v>2.2955408488563308E-2</v>
      </c>
      <c r="S171" s="345">
        <f t="shared" si="4"/>
        <v>1.212037165175775E-3</v>
      </c>
    </row>
    <row r="172" spans="5:19" ht="11.25" customHeight="1" x14ac:dyDescent="0.2">
      <c r="E172" s="254"/>
      <c r="F172" s="254"/>
      <c r="G172" s="39"/>
      <c r="J172" s="39"/>
      <c r="K172" s="39"/>
      <c r="M172" s="346">
        <f>_xll.qlCalendarAdvance(Calendar,M171,"1M","f",,Trigger)</f>
        <v>47241</v>
      </c>
      <c r="N172" s="344">
        <f>_xll.qlCalendarAdvance(Calendar,M172,"3M","mf",,Trigger)</f>
        <v>47333</v>
      </c>
      <c r="O172" s="40" t="str">
        <f>_xll.qlMakeDatedOIS(,M172,N172,OvernightIndex,0,,,,EvaluationDate)</f>
        <v>obj_0067c#0000</v>
      </c>
      <c r="P172" s="40" t="b">
        <f>_xll.qlInstrumentSetPricingEngine(O172,OisEngine)</f>
        <v>1</v>
      </c>
      <c r="Q172" s="38">
        <f>_xll.qlIndexFixing(Currency&amp;IborType&amp;"3M",_xll.qlInterestRateIndexFixingDate(Currency&amp;IborType&amp;"3M",M172),TRUE,AllTriggers)</f>
        <v>2.4171544558053319E-2</v>
      </c>
      <c r="R172" s="38">
        <f>_xll.qlOvernightIndexedSwapFairRate(O172,AllTriggers)</f>
        <v>2.2968162248811028E-2</v>
      </c>
      <c r="S172" s="345">
        <f t="shared" si="4"/>
        <v>1.2033823092422909E-3</v>
      </c>
    </row>
    <row r="173" spans="5:19" ht="11.25" customHeight="1" x14ac:dyDescent="0.2">
      <c r="E173" s="254"/>
      <c r="F173" s="254"/>
      <c r="G173" s="39"/>
      <c r="J173" s="39"/>
      <c r="K173" s="39"/>
      <c r="M173" s="346">
        <f>_xll.qlCalendarAdvance(Calendar,M172,"1M","f",,Trigger)</f>
        <v>47273</v>
      </c>
      <c r="N173" s="344">
        <f>_xll.qlCalendarAdvance(Calendar,M173,"3M","mf",,Trigger)</f>
        <v>47365</v>
      </c>
      <c r="O173" s="40" t="str">
        <f>_xll.qlMakeDatedOIS(,M173,N173,OvernightIndex,0,,,,EvaluationDate)</f>
        <v>obj_0067d#0000</v>
      </c>
      <c r="P173" s="40" t="b">
        <f>_xll.qlInstrumentSetPricingEngine(O173,OisEngine)</f>
        <v>1</v>
      </c>
      <c r="Q173" s="38">
        <f>_xll.qlIndexFixing(Currency&amp;IborType&amp;"3M",_xll.qlInterestRateIndexFixingDate(Currency&amp;IborType&amp;"3M",M173),TRUE,AllTriggers)</f>
        <v>2.4173620391832972E-2</v>
      </c>
      <c r="R173" s="38">
        <f>_xll.qlOvernightIndexedSwapFairRate(O173,AllTriggers)</f>
        <v>2.2979427159508323E-2</v>
      </c>
      <c r="S173" s="345">
        <f t="shared" si="4"/>
        <v>1.1941932323246487E-3</v>
      </c>
    </row>
    <row r="174" spans="5:19" ht="11.25" customHeight="1" x14ac:dyDescent="0.2">
      <c r="E174" s="254"/>
      <c r="F174" s="254"/>
      <c r="G174" s="39"/>
      <c r="J174" s="39"/>
      <c r="K174" s="39"/>
      <c r="M174" s="346">
        <f>_xll.qlCalendarAdvance(Calendar,M173,"1M","f",,Trigger)</f>
        <v>47303</v>
      </c>
      <c r="N174" s="344">
        <f>_xll.qlCalendarAdvance(Calendar,M174,"3M","mf",,Trigger)</f>
        <v>47395</v>
      </c>
      <c r="O174" s="40" t="str">
        <f>_xll.qlMakeDatedOIS(,M174,N174,OvernightIndex,0,,,,EvaluationDate)</f>
        <v>obj_0067e#0000</v>
      </c>
      <c r="P174" s="40" t="b">
        <f>_xll.qlInstrumentSetPricingEngine(O174,OisEngine)</f>
        <v>1</v>
      </c>
      <c r="Q174" s="38">
        <f>_xll.qlIndexFixing(Currency&amp;IborType&amp;"3M",_xll.qlInterestRateIndexFixingDate(Currency&amp;IborType&amp;"3M",M174),TRUE,AllTriggers)</f>
        <v>2.4174277170546994E-2</v>
      </c>
      <c r="R174" s="38">
        <f>_xll.qlOvernightIndexedSwapFairRate(O174,AllTriggers)</f>
        <v>2.2988722679131053E-2</v>
      </c>
      <c r="S174" s="345">
        <f t="shared" si="4"/>
        <v>1.185554491415941E-3</v>
      </c>
    </row>
    <row r="175" spans="5:19" ht="11.25" customHeight="1" x14ac:dyDescent="0.2">
      <c r="E175" s="254"/>
      <c r="F175" s="254"/>
      <c r="G175" s="39"/>
      <c r="J175" s="39"/>
      <c r="K175" s="39"/>
      <c r="M175" s="346">
        <f>_xll.qlCalendarAdvance(Calendar,M174,"1M","f",,Trigger)</f>
        <v>47336</v>
      </c>
      <c r="N175" s="344">
        <f>_xll.qlCalendarAdvance(Calendar,M175,"3M","mf",,Trigger)</f>
        <v>47428</v>
      </c>
      <c r="O175" s="40" t="str">
        <f>_xll.qlMakeDatedOIS(,M175,N175,OvernightIndex,0,,,,EvaluationDate)</f>
        <v>obj_0067f#0000</v>
      </c>
      <c r="P175" s="40" t="b">
        <f>_xll.qlInstrumentSetPricingEngine(O175,OisEngine)</f>
        <v>1</v>
      </c>
      <c r="Q175" s="38">
        <f>_xll.qlIndexFixing(Currency&amp;IborType&amp;"3M",_xll.qlInterestRateIndexFixingDate(Currency&amp;IborType&amp;"3M",M175),TRUE,AllTriggers)</f>
        <v>2.4173558794140806E-2</v>
      </c>
      <c r="R175" s="38">
        <f>_xll.qlOvernightIndexedSwapFairRate(O175,AllTriggers)</f>
        <v>2.2997533661962222E-2</v>
      </c>
      <c r="S175" s="345">
        <f t="shared" si="4"/>
        <v>1.1760251321785847E-3</v>
      </c>
    </row>
    <row r="176" spans="5:19" ht="11.25" customHeight="1" x14ac:dyDescent="0.2">
      <c r="E176" s="254"/>
      <c r="F176" s="254"/>
      <c r="G176" s="39"/>
      <c r="J176" s="39"/>
      <c r="K176" s="39"/>
      <c r="M176" s="346">
        <f>_xll.qlCalendarAdvance(Calendar,M175,"1M","f",,Trigger)</f>
        <v>47367</v>
      </c>
      <c r="N176" s="344">
        <f>_xll.qlCalendarAdvance(Calendar,M176,"3M","mf",,Trigger)</f>
        <v>47458</v>
      </c>
      <c r="O176" s="40" t="str">
        <f>_xll.qlMakeDatedOIS(,M176,N176,OvernightIndex,0,,,,EvaluationDate)</f>
        <v>obj_00680#0000</v>
      </c>
      <c r="P176" s="40" t="b">
        <f>_xll.qlInstrumentSetPricingEngine(O176,OisEngine)</f>
        <v>1</v>
      </c>
      <c r="Q176" s="38">
        <f>_xll.qlIndexFixing(Currency&amp;IborType&amp;"3M",_xll.qlInterestRateIndexFixingDate(Currency&amp;IborType&amp;"3M",M176),TRUE,AllTriggers)</f>
        <v>2.4170815802537358E-2</v>
      </c>
      <c r="R176" s="38">
        <f>_xll.qlOvernightIndexedSwapFairRate(O176,AllTriggers)</f>
        <v>2.3003688105338083E-2</v>
      </c>
      <c r="S176" s="345">
        <f t="shared" si="4"/>
        <v>1.1671276971992744E-3</v>
      </c>
    </row>
    <row r="177" spans="5:19" ht="11.25" customHeight="1" x14ac:dyDescent="0.2">
      <c r="E177" s="254"/>
      <c r="F177" s="254"/>
      <c r="G177" s="39"/>
      <c r="J177" s="39"/>
      <c r="K177" s="39"/>
      <c r="M177" s="346">
        <f>_xll.qlCalendarAdvance(Calendar,M176,"1M","f",,Trigger)</f>
        <v>47399</v>
      </c>
      <c r="N177" s="344">
        <f>_xll.qlCalendarAdvance(Calendar,M177,"3M","mf",,Trigger)</f>
        <v>47491</v>
      </c>
      <c r="O177" s="40" t="str">
        <f>_xll.qlMakeDatedOIS(,M177,N177,OvernightIndex,0,,,,EvaluationDate)</f>
        <v>obj_008b1#0000</v>
      </c>
      <c r="P177" s="40" t="b">
        <f>_xll.qlInstrumentSetPricingEngine(O177,OisEngine)</f>
        <v>1</v>
      </c>
      <c r="Q177" s="38">
        <f>_xll.qlIndexFixing(Currency&amp;IborType&amp;"3M",_xll.qlInterestRateIndexFixingDate(Currency&amp;IborType&amp;"3M",M177),TRUE,AllTriggers)</f>
        <v>2.4168434762693834E-2</v>
      </c>
      <c r="R177" s="38">
        <f>_xll.qlOvernightIndexedSwapFairRate(O177,AllTriggers)</f>
        <v>2.3010602776167843E-2</v>
      </c>
      <c r="S177" s="345">
        <f t="shared" si="4"/>
        <v>1.1578319865259909E-3</v>
      </c>
    </row>
    <row r="178" spans="5:19" ht="11.25" customHeight="1" x14ac:dyDescent="0.2">
      <c r="E178" s="254"/>
      <c r="F178" s="254"/>
      <c r="G178" s="39"/>
      <c r="J178" s="39"/>
      <c r="K178" s="39"/>
      <c r="M178" s="346">
        <f>_xll.qlCalendarAdvance(Calendar,M177,"1M","f",,Trigger)</f>
        <v>47430</v>
      </c>
      <c r="N178" s="344">
        <f>_xll.qlCalendarAdvance(Calendar,M178,"3M","mf",,Trigger)</f>
        <v>47522</v>
      </c>
      <c r="O178" s="40" t="str">
        <f>_xll.qlMakeDatedOIS(,M178,N178,OvernightIndex,0,,,,EvaluationDate)</f>
        <v>obj_00681#0000</v>
      </c>
      <c r="P178" s="40" t="b">
        <f>_xll.qlInstrumentSetPricingEngine(O178,OisEngine)</f>
        <v>1</v>
      </c>
      <c r="Q178" s="38">
        <f>_xll.qlIndexFixing(Currency&amp;IborType&amp;"3M",_xll.qlInterestRateIndexFixingDate(Currency&amp;IborType&amp;"3M",M178),TRUE,AllTriggers)</f>
        <v>2.4164576770750529E-2</v>
      </c>
      <c r="R178" s="38">
        <f>_xll.qlOvernightIndexedSwapFairRate(O178,AllTriggers)</f>
        <v>2.3015614574916892E-2</v>
      </c>
      <c r="S178" s="345">
        <f t="shared" si="4"/>
        <v>1.1489621958336374E-3</v>
      </c>
    </row>
    <row r="179" spans="5:19" ht="11.25" customHeight="1" x14ac:dyDescent="0.2">
      <c r="E179" s="254"/>
      <c r="F179" s="254"/>
      <c r="G179" s="39"/>
      <c r="J179" s="39"/>
      <c r="K179" s="39"/>
      <c r="M179" s="346">
        <f>_xll.qlCalendarAdvance(Calendar,M178,"1M","f",,Trigger)</f>
        <v>47462</v>
      </c>
      <c r="N179" s="344">
        <f>_xll.qlCalendarAdvance(Calendar,M179,"3M","mf",,Trigger)</f>
        <v>47553</v>
      </c>
      <c r="O179" s="40" t="str">
        <f>_xll.qlMakeDatedOIS(,M179,N179,OvernightIndex,0,,,,EvaluationDate)</f>
        <v>obj_00683#0000</v>
      </c>
      <c r="P179" s="40" t="b">
        <f>_xll.qlInstrumentSetPricingEngine(O179,OisEngine)</f>
        <v>1</v>
      </c>
      <c r="Q179" s="38">
        <f>_xll.qlIndexFixing(Currency&amp;IborType&amp;"3M",_xll.qlInterestRateIndexFixingDate(Currency&amp;IborType&amp;"3M",M179),TRUE,AllTriggers)</f>
        <v>2.4159199979715065E-2</v>
      </c>
      <c r="R179" s="38">
        <f>_xll.qlOvernightIndexedSwapFairRate(O179,AllTriggers)</f>
        <v>2.3019226258711275E-2</v>
      </c>
      <c r="S179" s="345">
        <f t="shared" si="4"/>
        <v>1.1399737210037904E-3</v>
      </c>
    </row>
    <row r="180" spans="5:19" ht="11.25" customHeight="1" x14ac:dyDescent="0.2">
      <c r="E180" s="254"/>
      <c r="F180" s="254"/>
      <c r="G180" s="39"/>
      <c r="J180" s="39"/>
      <c r="K180" s="39"/>
      <c r="M180" s="346">
        <f>_xll.qlCalendarAdvance(Calendar,M179,"1M","f",,Trigger)</f>
        <v>47493</v>
      </c>
      <c r="N180" s="344">
        <f>_xll.qlCalendarAdvance(Calendar,M180,"3M","mf",,Trigger)</f>
        <v>47583</v>
      </c>
      <c r="O180" s="40" t="str">
        <f>_xll.qlMakeDatedOIS(,M180,N180,OvernightIndex,0,,,,EvaluationDate)</f>
        <v>obj_00684#0000</v>
      </c>
      <c r="P180" s="40" t="b">
        <f>_xll.qlInstrumentSetPricingEngine(O180,OisEngine)</f>
        <v>1</v>
      </c>
      <c r="Q180" s="38">
        <f>_xll.qlIndexFixing(Currency&amp;IborType&amp;"3M",_xll.qlInterestRateIndexFixingDate(Currency&amp;IborType&amp;"3M",M180),TRUE,AllTriggers)</f>
        <v>2.415335822859177E-2</v>
      </c>
      <c r="R180" s="38">
        <f>_xll.qlOvernightIndexedSwapFairRate(O180,AllTriggers)</f>
        <v>2.3021990376768109E-2</v>
      </c>
      <c r="S180" s="345">
        <f t="shared" si="4"/>
        <v>1.1313678518236614E-3</v>
      </c>
    </row>
    <row r="181" spans="5:19" ht="11.25" customHeight="1" x14ac:dyDescent="0.2">
      <c r="E181" s="254"/>
      <c r="F181" s="254"/>
      <c r="G181" s="39"/>
      <c r="J181" s="39"/>
      <c r="K181" s="39"/>
      <c r="M181" s="346">
        <f>_xll.qlCalendarAdvance(Calendar,M180,"1M","f",,Trigger)</f>
        <v>47525</v>
      </c>
      <c r="N181" s="344">
        <f>_xll.qlCalendarAdvance(Calendar,M181,"3M","mf",,Trigger)</f>
        <v>47616</v>
      </c>
      <c r="O181" s="40" t="str">
        <f>_xll.qlMakeDatedOIS(,M181,N181,OvernightIndex,0,,,,EvaluationDate)</f>
        <v>obj_00685#0000</v>
      </c>
      <c r="P181" s="40" t="b">
        <f>_xll.qlInstrumentSetPricingEngine(O181,OisEngine)</f>
        <v>1</v>
      </c>
      <c r="Q181" s="38">
        <f>_xll.qlIndexFixing(Currency&amp;IborType&amp;"3M",_xll.qlInterestRateIndexFixingDate(Currency&amp;IborType&amp;"3M",M181),TRUE,AllTriggers)</f>
        <v>2.4148132390307487E-2</v>
      </c>
      <c r="R181" s="38">
        <f>_xll.qlOvernightIndexedSwapFairRate(O181,AllTriggers)</f>
        <v>2.3025673763705352E-2</v>
      </c>
      <c r="S181" s="345">
        <f t="shared" si="4"/>
        <v>1.1224586266021346E-3</v>
      </c>
    </row>
    <row r="182" spans="5:19" ht="11.25" customHeight="1" x14ac:dyDescent="0.2">
      <c r="E182" s="254"/>
      <c r="F182" s="254"/>
      <c r="G182" s="39"/>
      <c r="J182" s="39"/>
      <c r="K182" s="39"/>
      <c r="M182" s="346">
        <f>_xll.qlCalendarAdvance(Calendar,M181,"1M","f",,Trigger)</f>
        <v>47553</v>
      </c>
      <c r="N182" s="344">
        <f>_xll.qlCalendarAdvance(Calendar,M182,"3M","mf",,Trigger)</f>
        <v>47645</v>
      </c>
      <c r="O182" s="40" t="str">
        <f>_xll.qlMakeDatedOIS(,M182,N182,OvernightIndex,0,,,,EvaluationDate)</f>
        <v>obj_00687#0000</v>
      </c>
      <c r="P182" s="40" t="b">
        <f>_xll.qlInstrumentSetPricingEngine(O182,OisEngine)</f>
        <v>1</v>
      </c>
      <c r="Q182" s="38">
        <f>_xll.qlIndexFixing(Currency&amp;IborType&amp;"3M",_xll.qlInterestRateIndexFixingDate(Currency&amp;IborType&amp;"3M",M182),TRUE,AllTriggers)</f>
        <v>2.4143086363666216E-2</v>
      </c>
      <c r="R182" s="38">
        <f>_xll.qlOvernightIndexedSwapFairRate(O182,AllTriggers)</f>
        <v>2.3028341768588902E-2</v>
      </c>
      <c r="S182" s="345">
        <f t="shared" si="4"/>
        <v>1.1147445950773147E-3</v>
      </c>
    </row>
    <row r="183" spans="5:19" ht="11.25" customHeight="1" x14ac:dyDescent="0.2">
      <c r="E183" s="254"/>
      <c r="F183" s="254"/>
      <c r="G183" s="39"/>
      <c r="J183" s="39"/>
      <c r="K183" s="39"/>
      <c r="M183" s="346">
        <f>_xll.qlCalendarAdvance(Calendar,M182,"1M","f",,Trigger)</f>
        <v>47584</v>
      </c>
      <c r="N183" s="344">
        <f>_xll.qlCalendarAdvance(Calendar,M183,"3M","mf",,Trigger)</f>
        <v>47675</v>
      </c>
      <c r="O183" s="40" t="str">
        <f>_xll.qlMakeDatedOIS(,M183,N183,OvernightIndex,0,,,,EvaluationDate)</f>
        <v>obj_00689#0000</v>
      </c>
      <c r="P183" s="40" t="b">
        <f>_xll.qlInstrumentSetPricingEngine(O183,OisEngine)</f>
        <v>1</v>
      </c>
      <c r="Q183" s="38">
        <f>_xll.qlIndexFixing(Currency&amp;IborType&amp;"3M",_xll.qlInterestRateIndexFixingDate(Currency&amp;IborType&amp;"3M",M183),TRUE,AllTriggers)</f>
        <v>2.4135442772460432E-2</v>
      </c>
      <c r="R183" s="38">
        <f>_xll.qlOvernightIndexedSwapFairRate(O183,AllTriggers)</f>
        <v>2.3029012167777217E-2</v>
      </c>
      <c r="S183" s="345">
        <f t="shared" si="4"/>
        <v>1.1064306046832152E-3</v>
      </c>
    </row>
    <row r="184" spans="5:19" ht="11.25" customHeight="1" x14ac:dyDescent="0.2">
      <c r="E184" s="254"/>
      <c r="F184" s="254"/>
      <c r="G184" s="39"/>
      <c r="J184" s="39"/>
      <c r="K184" s="39"/>
      <c r="M184" s="346">
        <f>_xll.qlCalendarAdvance(Calendar,M183,"1M","f",,Trigger)</f>
        <v>47616</v>
      </c>
      <c r="N184" s="344">
        <f>_xll.qlCalendarAdvance(Calendar,M184,"3M","mf",,Trigger)</f>
        <v>47708</v>
      </c>
      <c r="O184" s="40" t="str">
        <f>_xll.qlMakeDatedOIS(,M184,N184,OvernightIndex,0,,,,EvaluationDate)</f>
        <v>obj_0068a#0000</v>
      </c>
      <c r="P184" s="40" t="b">
        <f>_xll.qlInstrumentSetPricingEngine(O184,OisEngine)</f>
        <v>1</v>
      </c>
      <c r="Q184" s="38">
        <f>_xll.qlIndexFixing(Currency&amp;IborType&amp;"3M",_xll.qlInterestRateIndexFixingDate(Currency&amp;IborType&amp;"3M",M184),TRUE,AllTriggers)</f>
        <v>2.4128294282496705E-2</v>
      </c>
      <c r="R184" s="38">
        <f>_xll.qlOvernightIndexedSwapFairRate(O184,AllTriggers)</f>
        <v>2.3030465253100603E-2</v>
      </c>
      <c r="S184" s="345">
        <f t="shared" si="4"/>
        <v>1.0978290293961017E-3</v>
      </c>
    </row>
    <row r="185" spans="5:19" ht="11.25" customHeight="1" x14ac:dyDescent="0.2">
      <c r="E185" s="254"/>
      <c r="F185" s="254"/>
      <c r="G185" s="39"/>
      <c r="J185" s="39"/>
      <c r="K185" s="39"/>
      <c r="M185" s="346">
        <f>_xll.qlCalendarAdvance(Calendar,M184,"1M","f",,Trigger)</f>
        <v>47647</v>
      </c>
      <c r="N185" s="344">
        <f>_xll.qlCalendarAdvance(Calendar,M185,"3M","mf",,Trigger)</f>
        <v>47739</v>
      </c>
      <c r="O185" s="40" t="str">
        <f>_xll.qlMakeDatedOIS(,M185,N185,OvernightIndex,0,,,,EvaluationDate)</f>
        <v>obj_0068b#0000</v>
      </c>
      <c r="P185" s="40" t="b">
        <f>_xll.qlInstrumentSetPricingEngine(O185,OisEngine)</f>
        <v>1</v>
      </c>
      <c r="Q185" s="38">
        <f>_xll.qlIndexFixing(Currency&amp;IborType&amp;"3M",_xll.qlInterestRateIndexFixingDate(Currency&amp;IborType&amp;"3M",M185),TRUE,AllTriggers)</f>
        <v>2.41200744572658E-2</v>
      </c>
      <c r="R185" s="38">
        <f>_xll.qlOvernightIndexedSwapFairRate(O185,AllTriggers)</f>
        <v>2.3030417122653152E-2</v>
      </c>
      <c r="S185" s="345">
        <f t="shared" si="4"/>
        <v>1.0896573346126474E-3</v>
      </c>
    </row>
    <row r="186" spans="5:19" ht="11.25" customHeight="1" x14ac:dyDescent="0.2">
      <c r="E186" s="254"/>
      <c r="F186" s="254"/>
      <c r="G186" s="39"/>
      <c r="J186" s="39"/>
      <c r="K186" s="39"/>
      <c r="M186" s="346">
        <f>_xll.qlCalendarAdvance(Calendar,M185,"1M","f",,Trigger)</f>
        <v>47679</v>
      </c>
      <c r="N186" s="344">
        <f>_xll.qlCalendarAdvance(Calendar,M186,"3M","mf",,Trigger)</f>
        <v>47771</v>
      </c>
      <c r="O186" s="40" t="str">
        <f>_xll.qlMakeDatedOIS(,M186,N186,OvernightIndex,0,,,,EvaluationDate)</f>
        <v>obj_0068c#0000</v>
      </c>
      <c r="P186" s="40" t="b">
        <f>_xll.qlInstrumentSetPricingEngine(O186,OisEngine)</f>
        <v>1</v>
      </c>
      <c r="Q186" s="38">
        <f>_xll.qlIndexFixing(Currency&amp;IborType&amp;"3M",_xll.qlInterestRateIndexFixingDate(Currency&amp;IborType&amp;"3M",M186),TRUE,AllTriggers)</f>
        <v>2.4110938341397617E-2</v>
      </c>
      <c r="R186" s="38">
        <f>_xll.qlOvernightIndexedSwapFairRate(O186,AllTriggers)</f>
        <v>2.3029611252950877E-2</v>
      </c>
      <c r="S186" s="345">
        <f t="shared" si="4"/>
        <v>1.0813270884467395E-3</v>
      </c>
    </row>
    <row r="187" spans="5:19" ht="11.25" customHeight="1" x14ac:dyDescent="0.2">
      <c r="E187" s="254"/>
      <c r="F187" s="254"/>
      <c r="G187" s="39"/>
      <c r="J187" s="39"/>
      <c r="K187" s="39"/>
      <c r="M187" s="346">
        <f>_xll.qlCalendarAdvance(Calendar,M186,"1M","f",,Trigger)</f>
        <v>47710</v>
      </c>
      <c r="N187" s="344">
        <f>_xll.qlCalendarAdvance(Calendar,M187,"3M","mf",,Trigger)</f>
        <v>47802</v>
      </c>
      <c r="O187" s="40" t="str">
        <f>_xll.qlMakeDatedOIS(,M187,N187,OvernightIndex,0,,,,EvaluationDate)</f>
        <v>obj_0068d#0000</v>
      </c>
      <c r="P187" s="40" t="b">
        <f>_xll.qlInstrumentSetPricingEngine(O187,OisEngine)</f>
        <v>1</v>
      </c>
      <c r="Q187" s="38">
        <f>_xll.qlIndexFixing(Currency&amp;IborType&amp;"3M",_xll.qlInterestRateIndexFixingDate(Currency&amp;IborType&amp;"3M",M187),TRUE,AllTriggers)</f>
        <v>2.4101456946431947E-2</v>
      </c>
      <c r="R187" s="38">
        <f>_xll.qlOvernightIndexedSwapFairRate(O187,AllTriggers)</f>
        <v>2.3028098011292814E-2</v>
      </c>
      <c r="S187" s="345">
        <f t="shared" si="4"/>
        <v>1.0733589351391327E-3</v>
      </c>
    </row>
    <row r="188" spans="5:19" ht="11.25" customHeight="1" x14ac:dyDescent="0.2">
      <c r="E188" s="254"/>
      <c r="F188" s="254"/>
      <c r="G188" s="39"/>
      <c r="J188" s="39"/>
      <c r="K188" s="39"/>
      <c r="M188" s="346">
        <f>_xll.qlCalendarAdvance(Calendar,M187,"1M","f",,Trigger)</f>
        <v>47742</v>
      </c>
      <c r="N188" s="344">
        <f>_xll.qlCalendarAdvance(Calendar,M188,"3M","mf",,Trigger)</f>
        <v>47833</v>
      </c>
      <c r="O188" s="40" t="str">
        <f>_xll.qlMakeDatedOIS(,M188,N188,OvernightIndex,0,,,,EvaluationDate)</f>
        <v>obj_0068e#0000</v>
      </c>
      <c r="P188" s="40" t="b">
        <f>_xll.qlInstrumentSetPricingEngine(O188,OisEngine)</f>
        <v>1</v>
      </c>
      <c r="Q188" s="38">
        <f>_xll.qlIndexFixing(Currency&amp;IborType&amp;"3M",_xll.qlInterestRateIndexFixingDate(Currency&amp;IborType&amp;"3M",M188),TRUE,AllTriggers)</f>
        <v>2.4090387262443926E-2</v>
      </c>
      <c r="R188" s="38">
        <f>_xll.qlOvernightIndexedSwapFairRate(O188,AllTriggers)</f>
        <v>2.3025092702956825E-2</v>
      </c>
      <c r="S188" s="345">
        <f t="shared" si="4"/>
        <v>1.0652945594871004E-3</v>
      </c>
    </row>
    <row r="189" spans="5:19" ht="11.25" customHeight="1" x14ac:dyDescent="0.2">
      <c r="E189" s="254"/>
      <c r="F189" s="254"/>
      <c r="G189" s="39"/>
      <c r="J189" s="39"/>
      <c r="K189" s="39"/>
      <c r="M189" s="346">
        <f>_xll.qlCalendarAdvance(Calendar,M188,"1M","f",,Trigger)</f>
        <v>47772</v>
      </c>
      <c r="N189" s="344">
        <f>_xll.qlCalendarAdvance(Calendar,M189,"3M","mf",,Trigger)</f>
        <v>47864</v>
      </c>
      <c r="O189" s="40" t="str">
        <f>_xll.qlMakeDatedOIS(,M189,N189,OvernightIndex,0,,,,EvaluationDate)</f>
        <v>obj_0068f#0000</v>
      </c>
      <c r="P189" s="40" t="b">
        <f>_xll.qlInstrumentSetPricingEngine(O189,OisEngine)</f>
        <v>1</v>
      </c>
      <c r="Q189" s="38">
        <f>_xll.qlIndexFixing(Currency&amp;IborType&amp;"3M",_xll.qlInterestRateIndexFixingDate(Currency&amp;IborType&amp;"3M",M189),TRUE,AllTriggers)</f>
        <v>2.4080631863992574E-2</v>
      </c>
      <c r="R189" s="38">
        <f>_xll.qlOvernightIndexedSwapFairRate(O189,AllTriggers)</f>
        <v>2.302290874915195E-2</v>
      </c>
      <c r="S189" s="345">
        <f t="shared" si="4"/>
        <v>1.0577231148406231E-3</v>
      </c>
    </row>
    <row r="190" spans="5:19" ht="11.25" customHeight="1" x14ac:dyDescent="0.2">
      <c r="E190" s="254"/>
      <c r="F190" s="254"/>
      <c r="G190" s="39"/>
      <c r="J190" s="39"/>
      <c r="K190" s="39"/>
      <c r="M190" s="346">
        <f>_xll.qlCalendarAdvance(Calendar,M189,"1M","f",,Trigger)</f>
        <v>47805</v>
      </c>
      <c r="N190" s="344">
        <f>_xll.qlCalendarAdvance(Calendar,M190,"3M","mf",,Trigger)</f>
        <v>47897</v>
      </c>
      <c r="O190" s="40" t="str">
        <f>_xll.qlMakeDatedOIS(,M190,N190,OvernightIndex,0,,,,EvaluationDate)</f>
        <v>obj_00690#0000</v>
      </c>
      <c r="P190" s="40" t="b">
        <f>_xll.qlInstrumentSetPricingEngine(O190,OisEngine)</f>
        <v>1</v>
      </c>
      <c r="Q190" s="38">
        <f>_xll.qlIndexFixing(Currency&amp;IborType&amp;"3M",_xll.qlInterestRateIndexFixingDate(Currency&amp;IborType&amp;"3M",M190),TRUE,AllTriggers)</f>
        <v>2.4068535020044295E-2</v>
      </c>
      <c r="R190" s="38">
        <f>_xll.qlOvernightIndexedSwapFairRate(O190,AllTriggers)</f>
        <v>2.3018970813168563E-2</v>
      </c>
      <c r="S190" s="345">
        <f t="shared" si="4"/>
        <v>1.0495642068757312E-3</v>
      </c>
    </row>
    <row r="191" spans="5:19" ht="11.25" customHeight="1" x14ac:dyDescent="0.2">
      <c r="E191" s="254"/>
      <c r="F191" s="254"/>
      <c r="G191" s="39"/>
      <c r="J191" s="39"/>
      <c r="K191" s="39"/>
      <c r="M191" s="346">
        <f>_xll.qlCalendarAdvance(Calendar,M190,"1M","f",,Trigger)</f>
        <v>47835</v>
      </c>
      <c r="N191" s="344">
        <f>_xll.qlCalendarAdvance(Calendar,M191,"3M","mf",,Trigger)</f>
        <v>47925</v>
      </c>
      <c r="O191" s="40" t="str">
        <f>_xll.qlMakeDatedOIS(,M191,N191,OvernightIndex,0,,,,EvaluationDate)</f>
        <v>obj_00691#0000</v>
      </c>
      <c r="P191" s="40" t="b">
        <f>_xll.qlInstrumentSetPricingEngine(O191,OisEngine)</f>
        <v>1</v>
      </c>
      <c r="Q191" s="38">
        <f>_xll.qlIndexFixing(Currency&amp;IborType&amp;"3M",_xll.qlInterestRateIndexFixingDate(Currency&amp;IborType&amp;"3M",M191),TRUE,AllTriggers)</f>
        <v>2.4055729257710823E-2</v>
      </c>
      <c r="R191" s="38">
        <f>_xll.qlOvernightIndexedSwapFairRate(O191,AllTriggers)</f>
        <v>2.3013378766225223E-2</v>
      </c>
      <c r="S191" s="345">
        <f t="shared" si="4"/>
        <v>1.0423504914855997E-3</v>
      </c>
    </row>
    <row r="192" spans="5:19" ht="11.25" customHeight="1" x14ac:dyDescent="0.2">
      <c r="E192" s="254"/>
      <c r="F192" s="254"/>
      <c r="G192" s="39"/>
      <c r="J192" s="39"/>
      <c r="K192" s="39"/>
      <c r="M192" s="346">
        <f>_xll.qlCalendarAdvance(Calendar,M191,"1M","f",,Trigger)</f>
        <v>47868</v>
      </c>
      <c r="N192" s="344">
        <f>_xll.qlCalendarAdvance(Calendar,M192,"3M","mf",,Trigger)</f>
        <v>47959</v>
      </c>
      <c r="O192" s="40" t="str">
        <f>_xll.qlMakeDatedOIS(,M192,N192,OvernightIndex,0,,,,EvaluationDate)</f>
        <v>obj_00692#0000</v>
      </c>
      <c r="P192" s="40" t="b">
        <f>_xll.qlInstrumentSetPricingEngine(O192,OisEngine)</f>
        <v>1</v>
      </c>
      <c r="Q192" s="38">
        <f>_xll.qlIndexFixing(Currency&amp;IborType&amp;"3M",_xll.qlInterestRateIndexFixingDate(Currency&amp;IborType&amp;"3M",M192),TRUE,AllTriggers)</f>
        <v>2.4042900270151241E-2</v>
      </c>
      <c r="R192" s="38">
        <f>_xll.qlOvernightIndexedSwapFairRate(O192,AllTriggers)</f>
        <v>2.3008545646695366E-2</v>
      </c>
      <c r="S192" s="345">
        <f t="shared" si="4"/>
        <v>1.0343546234558749E-3</v>
      </c>
    </row>
    <row r="193" spans="5:19" ht="11.25" customHeight="1" x14ac:dyDescent="0.2">
      <c r="E193" s="254"/>
      <c r="F193" s="254"/>
      <c r="G193" s="39"/>
      <c r="J193" s="39"/>
      <c r="K193" s="39"/>
      <c r="M193" s="346">
        <f>_xll.qlCalendarAdvance(Calendar,M192,"1M","f",,Trigger)</f>
        <v>47899</v>
      </c>
      <c r="N193" s="344">
        <f>_xll.qlCalendarAdvance(Calendar,M193,"3M","mf",,Trigger)</f>
        <v>47988</v>
      </c>
      <c r="O193" s="40" t="str">
        <f>_xll.qlMakeDatedOIS(,M193,N193,OvernightIndex,0,,,,EvaluationDate)</f>
        <v>obj_00693#0000</v>
      </c>
      <c r="P193" s="40" t="b">
        <f>_xll.qlInstrumentSetPricingEngine(O193,OisEngine)</f>
        <v>1</v>
      </c>
      <c r="Q193" s="38">
        <f>_xll.qlIndexFixing(Currency&amp;IborType&amp;"3M",_xll.qlInterestRateIndexFixingDate(Currency&amp;IborType&amp;"3M",M193),TRUE,AllTriggers)</f>
        <v>2.4028491436040158E-2</v>
      </c>
      <c r="R193" s="38">
        <f>_xll.qlOvernightIndexedSwapFairRate(O193,AllTriggers)</f>
        <v>2.3001394916164382E-2</v>
      </c>
      <c r="S193" s="345">
        <f t="shared" si="4"/>
        <v>1.027096519875776E-3</v>
      </c>
    </row>
    <row r="194" spans="5:19" ht="11.25" customHeight="1" x14ac:dyDescent="0.2">
      <c r="E194" s="254"/>
      <c r="F194" s="254"/>
      <c r="G194" s="39"/>
      <c r="J194" s="39"/>
      <c r="K194" s="39"/>
      <c r="M194" s="346">
        <f>_xll.qlCalendarAdvance(Calendar,M193,"1M","f",,Trigger)</f>
        <v>47927</v>
      </c>
      <c r="N194" s="344">
        <f>_xll.qlCalendarAdvance(Calendar,M194,"3M","mf",,Trigger)</f>
        <v>48019</v>
      </c>
      <c r="O194" s="40" t="str">
        <f>_xll.qlMakeDatedOIS(,M194,N194,OvernightIndex,0,,,,EvaluationDate)</f>
        <v>obj_00695#0000</v>
      </c>
      <c r="P194" s="40" t="b">
        <f>_xll.qlInstrumentSetPricingEngine(O194,OisEngine)</f>
        <v>1</v>
      </c>
      <c r="Q194" s="38">
        <f>_xll.qlIndexFixing(Currency&amp;IborType&amp;"3M",_xll.qlInterestRateIndexFixingDate(Currency&amp;IborType&amp;"3M",M194),TRUE,AllTriggers)</f>
        <v>2.4017706028473796E-2</v>
      </c>
      <c r="R194" s="38">
        <f>_xll.qlOvernightIndexedSwapFairRate(O194,AllTriggers)</f>
        <v>2.299731946900754E-2</v>
      </c>
      <c r="S194" s="345">
        <f t="shared" si="4"/>
        <v>1.0203865594662562E-3</v>
      </c>
    </row>
    <row r="195" spans="5:19" ht="11.25" customHeight="1" x14ac:dyDescent="0.2">
      <c r="E195" s="254"/>
      <c r="F195" s="254"/>
      <c r="G195" s="39"/>
      <c r="J195" s="39"/>
      <c r="K195" s="39"/>
      <c r="M195" s="346">
        <f>_xll.qlCalendarAdvance(Calendar,M194,"1M","f",,Trigger)</f>
        <v>47959</v>
      </c>
      <c r="N195" s="344">
        <f>_xll.qlCalendarAdvance(Calendar,M195,"3M","mf",,Trigger)</f>
        <v>48050</v>
      </c>
      <c r="O195" s="40" t="str">
        <f>_xll.qlMakeDatedOIS(,M195,N195,OvernightIndex,0,,,,EvaluationDate)</f>
        <v>obj_00696#0000</v>
      </c>
      <c r="P195" s="40" t="b">
        <f>_xll.qlInstrumentSetPricingEngine(O195,OisEngine)</f>
        <v>1</v>
      </c>
      <c r="Q195" s="38">
        <f>_xll.qlIndexFixing(Currency&amp;IborType&amp;"3M",_xll.qlInterestRateIndexFixingDate(Currency&amp;IborType&amp;"3M",M195),TRUE,AllTriggers)</f>
        <v>2.4002226921648398E-2</v>
      </c>
      <c r="R195" s="38">
        <f>_xll.qlOvernightIndexedSwapFairRate(O195,AllTriggers)</f>
        <v>2.2989188624515936E-2</v>
      </c>
      <c r="S195" s="345">
        <f t="shared" ref="S195:S258" si="5">Q195-R195</f>
        <v>1.0130382971324618E-3</v>
      </c>
    </row>
    <row r="196" spans="5:19" ht="11.25" customHeight="1" x14ac:dyDescent="0.2">
      <c r="E196" s="254"/>
      <c r="F196" s="254"/>
      <c r="G196" s="39"/>
      <c r="J196" s="39"/>
      <c r="K196" s="39"/>
      <c r="M196" s="346">
        <f>_xll.qlCalendarAdvance(Calendar,M195,"1M","f",,Trigger)</f>
        <v>47989</v>
      </c>
      <c r="N196" s="344">
        <f>_xll.qlCalendarAdvance(Calendar,M196,"3M","mf",,Trigger)</f>
        <v>48081</v>
      </c>
      <c r="O196" s="40" t="str">
        <f>_xll.qlMakeDatedOIS(,M196,N196,OvernightIndex,0,,,,EvaluationDate)</f>
        <v>obj_00697#0000</v>
      </c>
      <c r="P196" s="40" t="b">
        <f>_xll.qlInstrumentSetPricingEngine(O196,OisEngine)</f>
        <v>1</v>
      </c>
      <c r="Q196" s="38">
        <f>_xll.qlIndexFixing(Currency&amp;IborType&amp;"3M",_xll.qlInterestRateIndexFixingDate(Currency&amp;IborType&amp;"3M",M196),TRUE,AllTriggers)</f>
        <v>2.3988190567511537E-2</v>
      </c>
      <c r="R196" s="38">
        <f>_xll.qlOvernightIndexedSwapFairRate(O196,AllTriggers)</f>
        <v>2.2982037366088764E-2</v>
      </c>
      <c r="S196" s="345">
        <f t="shared" si="5"/>
        <v>1.0061532014227735E-3</v>
      </c>
    </row>
    <row r="197" spans="5:19" ht="11.25" customHeight="1" x14ac:dyDescent="0.2">
      <c r="E197" s="254"/>
      <c r="F197" s="254"/>
      <c r="G197" s="39"/>
      <c r="J197" s="39"/>
      <c r="K197" s="39"/>
      <c r="M197" s="346">
        <f>_xll.qlCalendarAdvance(Calendar,M196,"1M","f",,Trigger)</f>
        <v>48022</v>
      </c>
      <c r="N197" s="344">
        <f>_xll.qlCalendarAdvance(Calendar,M197,"3M","mf",,Trigger)</f>
        <v>48114</v>
      </c>
      <c r="O197" s="40" t="str">
        <f>_xll.qlMakeDatedOIS(,M197,N197,OvernightIndex,0,,,,EvaluationDate)</f>
        <v>obj_00699#0000</v>
      </c>
      <c r="P197" s="40" t="b">
        <f>_xll.qlInstrumentSetPricingEngine(O197,OisEngine)</f>
        <v>1</v>
      </c>
      <c r="Q197" s="38">
        <f>_xll.qlIndexFixing(Currency&amp;IborType&amp;"3M",_xll.qlInterestRateIndexFixingDate(Currency&amp;IborType&amp;"3M",M197),TRUE,AllTriggers)</f>
        <v>2.3971468269788476E-2</v>
      </c>
      <c r="R197" s="38">
        <f>_xll.qlOvernightIndexedSwapFairRate(O197,AllTriggers)</f>
        <v>2.297272746942822E-2</v>
      </c>
      <c r="S197" s="345">
        <f t="shared" si="5"/>
        <v>9.987408003602552E-4</v>
      </c>
    </row>
    <row r="198" spans="5:19" ht="11.25" customHeight="1" x14ac:dyDescent="0.2">
      <c r="E198" s="254"/>
      <c r="F198" s="254"/>
      <c r="G198" s="39"/>
      <c r="J198" s="39"/>
      <c r="K198" s="39"/>
      <c r="M198" s="346">
        <f>_xll.qlCalendarAdvance(Calendar,M197,"1M","f",,Trigger)</f>
        <v>48052</v>
      </c>
      <c r="N198" s="344">
        <f>_xll.qlCalendarAdvance(Calendar,M198,"3M","mf",,Trigger)</f>
        <v>48144</v>
      </c>
      <c r="O198" s="40" t="str">
        <f>_xll.qlMakeDatedOIS(,M198,N198,OvernightIndex,0,,,,EvaluationDate)</f>
        <v>obj_0069b#0000</v>
      </c>
      <c r="P198" s="40" t="b">
        <f>_xll.qlInstrumentSetPricingEngine(O198,OisEngine)</f>
        <v>1</v>
      </c>
      <c r="Q198" s="38">
        <f>_xll.qlIndexFixing(Currency&amp;IborType&amp;"3M",_xll.qlInterestRateIndexFixingDate(Currency&amp;IborType&amp;"3M",M198),TRUE,AllTriggers)</f>
        <v>2.3955655810738514E-2</v>
      </c>
      <c r="R198" s="38">
        <f>_xll.qlOvernightIndexedSwapFairRate(O198,AllTriggers)</f>
        <v>2.2963555033027369E-2</v>
      </c>
      <c r="S198" s="345">
        <f t="shared" si="5"/>
        <v>9.9210077771114472E-4</v>
      </c>
    </row>
    <row r="199" spans="5:19" ht="11.25" customHeight="1" x14ac:dyDescent="0.2">
      <c r="E199" s="254"/>
      <c r="F199" s="254"/>
      <c r="G199" s="39"/>
      <c r="J199" s="39"/>
      <c r="K199" s="39"/>
      <c r="M199" s="346">
        <f>_xll.qlCalendarAdvance(Calendar,M198,"1M","f",,Trigger)</f>
        <v>48085</v>
      </c>
      <c r="N199" s="344">
        <f>_xll.qlCalendarAdvance(Calendar,M199,"3M","mf",,Trigger)</f>
        <v>48177</v>
      </c>
      <c r="O199" s="40" t="str">
        <f>_xll.qlMakeDatedOIS(,M199,N199,OvernightIndex,0,,,,EvaluationDate)</f>
        <v>obj_0069c#0000</v>
      </c>
      <c r="P199" s="40" t="b">
        <f>_xll.qlInstrumentSetPricingEngine(O199,OisEngine)</f>
        <v>1</v>
      </c>
      <c r="Q199" s="38">
        <f>_xll.qlIndexFixing(Currency&amp;IborType&amp;"3M",_xll.qlInterestRateIndexFixingDate(Currency&amp;IborType&amp;"3M",M199),TRUE,AllTriggers)</f>
        <v>2.3937590707183713E-2</v>
      </c>
      <c r="R199" s="38">
        <f>_xll.qlOvernightIndexedSwapFairRate(O199,AllTriggers)</f>
        <v>2.2952685575421215E-2</v>
      </c>
      <c r="S199" s="345">
        <f t="shared" si="5"/>
        <v>9.8490513176249794E-4</v>
      </c>
    </row>
    <row r="200" spans="5:19" ht="11.25" customHeight="1" x14ac:dyDescent="0.2">
      <c r="E200" s="254"/>
      <c r="F200" s="254"/>
      <c r="G200" s="39"/>
      <c r="J200" s="39"/>
      <c r="K200" s="39"/>
      <c r="M200" s="346">
        <f>_xll.qlCalendarAdvance(Calendar,M199,"1M","f",,Trigger)</f>
        <v>48116</v>
      </c>
      <c r="N200" s="344">
        <f>_xll.qlCalendarAdvance(Calendar,M200,"3M","mf",,Trigger)</f>
        <v>48211</v>
      </c>
      <c r="O200" s="40" t="str">
        <f>_xll.qlMakeDatedOIS(,M200,N200,OvernightIndex,0,,,,EvaluationDate)</f>
        <v>obj_0069d#0000</v>
      </c>
      <c r="P200" s="40" t="b">
        <f>_xll.qlInstrumentSetPricingEngine(O200,OisEngine)</f>
        <v>1</v>
      </c>
      <c r="Q200" s="38">
        <f>_xll.qlIndexFixing(Currency&amp;IborType&amp;"3M",_xll.qlInterestRateIndexFixingDate(Currency&amp;IborType&amp;"3M",M200),TRUE,AllTriggers)</f>
        <v>2.3921475924149411E-2</v>
      </c>
      <c r="R200" s="38">
        <f>_xll.qlOvernightIndexedSwapFairRate(O200,AllTriggers)</f>
        <v>2.2943353610839223E-2</v>
      </c>
      <c r="S200" s="345">
        <f t="shared" si="5"/>
        <v>9.7812231331018823E-4</v>
      </c>
    </row>
    <row r="201" spans="5:19" ht="11.25" customHeight="1" x14ac:dyDescent="0.2">
      <c r="E201" s="254"/>
      <c r="F201" s="254"/>
      <c r="G201" s="39"/>
      <c r="J201" s="39"/>
      <c r="K201" s="39"/>
      <c r="M201" s="346">
        <f>_xll.qlCalendarAdvance(Calendar,M200,"1M","f",,Trigger)</f>
        <v>48148</v>
      </c>
      <c r="N201" s="344">
        <f>_xll.qlCalendarAdvance(Calendar,M201,"3M","mf",,Trigger)</f>
        <v>48240</v>
      </c>
      <c r="O201" s="40" t="str">
        <f>_xll.qlMakeDatedOIS(,M201,N201,OvernightIndex,0,,,,EvaluationDate)</f>
        <v>obj_0069f#0000</v>
      </c>
      <c r="P201" s="40" t="b">
        <f>_xll.qlInstrumentSetPricingEngine(O201,OisEngine)</f>
        <v>1</v>
      </c>
      <c r="Q201" s="38">
        <f>_xll.qlIndexFixing(Currency&amp;IborType&amp;"3M",_xll.qlInterestRateIndexFixingDate(Currency&amp;IborType&amp;"3M",M201),TRUE,AllTriggers)</f>
        <v>2.3901149657206137E-2</v>
      </c>
      <c r="R201" s="38">
        <f>_xll.qlOvernightIndexedSwapFairRate(O201,AllTriggers)</f>
        <v>2.2929666373262887E-2</v>
      </c>
      <c r="S201" s="345">
        <f t="shared" si="5"/>
        <v>9.7148328394324954E-4</v>
      </c>
    </row>
    <row r="202" spans="5:19" ht="11.25" customHeight="1" x14ac:dyDescent="0.2">
      <c r="E202" s="254"/>
      <c r="F202" s="254"/>
      <c r="G202" s="39"/>
      <c r="J202" s="39"/>
      <c r="K202" s="39"/>
      <c r="M202" s="346">
        <f>_xll.qlCalendarAdvance(Calendar,M201,"1M","f",,Trigger)</f>
        <v>48179</v>
      </c>
      <c r="N202" s="344">
        <f>_xll.qlCalendarAdvance(Calendar,M202,"3M","mf",,Trigger)</f>
        <v>48271</v>
      </c>
      <c r="O202" s="40" t="str">
        <f>_xll.qlMakeDatedOIS(,M202,N202,OvernightIndex,0,,,,EvaluationDate)</f>
        <v>obj_006a0#0000</v>
      </c>
      <c r="P202" s="40" t="b">
        <f>_xll.qlInstrumentSetPricingEngine(O202,OisEngine)</f>
        <v>1</v>
      </c>
      <c r="Q202" s="38">
        <f>_xll.qlIndexFixing(Currency&amp;IborType&amp;"3M",_xll.qlInterestRateIndexFixingDate(Currency&amp;IborType&amp;"3M",M202),TRUE,AllTriggers)</f>
        <v>2.3882277325051715E-2</v>
      </c>
      <c r="R202" s="38">
        <f>_xll.qlOvernightIndexedSwapFairRate(O202,AllTriggers)</f>
        <v>2.291724652503737E-2</v>
      </c>
      <c r="S202" s="345">
        <f t="shared" si="5"/>
        <v>9.650308000143451E-4</v>
      </c>
    </row>
    <row r="203" spans="5:19" ht="11.25" customHeight="1" x14ac:dyDescent="0.2">
      <c r="E203" s="254"/>
      <c r="F203" s="254"/>
      <c r="G203" s="39"/>
      <c r="J203" s="39"/>
      <c r="K203" s="39"/>
      <c r="M203" s="346">
        <f>_xll.qlCalendarAdvance(Calendar,M202,"1M","f",,Trigger)</f>
        <v>48211</v>
      </c>
      <c r="N203" s="344">
        <f>_xll.qlCalendarAdvance(Calendar,M203,"3M","mf",,Trigger)</f>
        <v>48303</v>
      </c>
      <c r="O203" s="40" t="str">
        <f>_xll.qlMakeDatedOIS(,M203,N203,OvernightIndex,0,,,,EvaluationDate)</f>
        <v>obj_006a2#0000</v>
      </c>
      <c r="P203" s="40" t="b">
        <f>_xll.qlInstrumentSetPricingEngine(O203,OisEngine)</f>
        <v>1</v>
      </c>
      <c r="Q203" s="38">
        <f>_xll.qlIndexFixing(Currency&amp;IborType&amp;"3M",_xll.qlInterestRateIndexFixingDate(Currency&amp;IborType&amp;"3M",M203),TRUE,AllTriggers)</f>
        <v>2.3862145191042284E-2</v>
      </c>
      <c r="R203" s="38">
        <f>_xll.qlOvernightIndexedSwapFairRate(O203,AllTriggers)</f>
        <v>2.290366991518971E-2</v>
      </c>
      <c r="S203" s="345">
        <f t="shared" si="5"/>
        <v>9.5847527585257372E-4</v>
      </c>
    </row>
    <row r="204" spans="5:19" ht="11.25" customHeight="1" x14ac:dyDescent="0.2">
      <c r="E204" s="254"/>
      <c r="F204" s="254"/>
      <c r="G204" s="39"/>
      <c r="J204" s="39"/>
      <c r="K204" s="39"/>
      <c r="M204" s="346">
        <f>_xll.qlCalendarAdvance(Calendar,M203,"1M","f",,Trigger)</f>
        <v>48242</v>
      </c>
      <c r="N204" s="344">
        <f>_xll.qlCalendarAdvance(Calendar,M204,"3M","mf",,Trigger)</f>
        <v>48333</v>
      </c>
      <c r="O204" s="40" t="str">
        <f>_xll.qlMakeDatedOIS(,M204,N204,OvernightIndex,0,,,,EvaluationDate)</f>
        <v>obj_006a3#0000</v>
      </c>
      <c r="P204" s="40" t="b">
        <f>_xll.qlInstrumentSetPricingEngine(O204,OisEngine)</f>
        <v>1</v>
      </c>
      <c r="Q204" s="38">
        <f>_xll.qlIndexFixing(Currency&amp;IborType&amp;"3M",_xll.qlInterestRateIndexFixingDate(Currency&amp;IborType&amp;"3M",M204),TRUE,AllTriggers)</f>
        <v>2.3841558201148944E-2</v>
      </c>
      <c r="R204" s="38">
        <f>_xll.qlOvernightIndexedSwapFairRate(O204,AllTriggers)</f>
        <v>2.2889294195221302E-2</v>
      </c>
      <c r="S204" s="345">
        <f t="shared" si="5"/>
        <v>9.522640059276416E-4</v>
      </c>
    </row>
    <row r="205" spans="5:19" ht="11.25" customHeight="1" x14ac:dyDescent="0.2">
      <c r="E205" s="254"/>
      <c r="F205" s="254"/>
      <c r="G205" s="39"/>
      <c r="J205" s="39"/>
      <c r="K205" s="39"/>
      <c r="M205" s="346">
        <f>_xll.qlCalendarAdvance(Calendar,M204,"1M","f",,Trigger)</f>
        <v>48274</v>
      </c>
      <c r="N205" s="344">
        <f>_xll.qlCalendarAdvance(Calendar,M205,"3M","mf",,Trigger)</f>
        <v>48366</v>
      </c>
      <c r="O205" s="40" t="str">
        <f>_xll.qlMakeDatedOIS(,M205,N205,OvernightIndex,0,,,,EvaluationDate)</f>
        <v>obj_006a5#0000</v>
      </c>
      <c r="P205" s="40" t="b">
        <f>_xll.qlInstrumentSetPricingEngine(O205,OisEngine)</f>
        <v>1</v>
      </c>
      <c r="Q205" s="38">
        <f>_xll.qlIndexFixing(Currency&amp;IborType&amp;"3M",_xll.qlInterestRateIndexFixingDate(Currency&amp;IborType&amp;"3M",M205),TRUE,AllTriggers)</f>
        <v>2.3820577384889467E-2</v>
      </c>
      <c r="R205" s="38">
        <f>_xll.qlOvernightIndexedSwapFairRate(O205,AllTriggers)</f>
        <v>2.2874696260197974E-2</v>
      </c>
      <c r="S205" s="345">
        <f t="shared" si="5"/>
        <v>9.4588112469149235E-4</v>
      </c>
    </row>
    <row r="206" spans="5:19" ht="11.25" customHeight="1" x14ac:dyDescent="0.2">
      <c r="E206" s="254"/>
      <c r="F206" s="254"/>
      <c r="G206" s="39"/>
      <c r="J206" s="39"/>
      <c r="K206" s="39"/>
      <c r="M206" s="346">
        <f>_xll.qlCalendarAdvance(Calendar,M205,"1M","f",,Trigger)</f>
        <v>48305</v>
      </c>
      <c r="N206" s="344">
        <f>_xll.qlCalendarAdvance(Calendar,M206,"3M","mf",,Trigger)</f>
        <v>48396</v>
      </c>
      <c r="O206" s="40" t="str">
        <f>_xll.qlMakeDatedOIS(,M206,N206,OvernightIndex,0,,,,EvaluationDate)</f>
        <v>obj_006a7#0000</v>
      </c>
      <c r="P206" s="40" t="b">
        <f>_xll.qlInstrumentSetPricingEngine(O206,OisEngine)</f>
        <v>1</v>
      </c>
      <c r="Q206" s="38">
        <f>_xll.qlIndexFixing(Currency&amp;IborType&amp;"3M",_xll.qlInterestRateIndexFixingDate(Currency&amp;IborType&amp;"3M",M206),TRUE,AllTriggers)</f>
        <v>2.3798752265692478E-2</v>
      </c>
      <c r="R206" s="38">
        <f>_xll.qlOvernightIndexedSwapFairRate(O206,AllTriggers)</f>
        <v>2.2858881148936853E-2</v>
      </c>
      <c r="S206" s="345">
        <f t="shared" si="5"/>
        <v>9.3987111675562438E-4</v>
      </c>
    </row>
    <row r="207" spans="5:19" ht="11.25" customHeight="1" x14ac:dyDescent="0.2">
      <c r="E207" s="254"/>
      <c r="F207" s="254"/>
      <c r="G207" s="39"/>
      <c r="J207" s="39"/>
      <c r="K207" s="39"/>
      <c r="M207" s="346">
        <f>_xll.qlCalendarAdvance(Calendar,M206,"1M","f",,Trigger)</f>
        <v>48337</v>
      </c>
      <c r="N207" s="344">
        <f>_xll.qlCalendarAdvance(Calendar,M207,"3M","mf",,Trigger)</f>
        <v>48429</v>
      </c>
      <c r="O207" s="40" t="str">
        <f>_xll.qlMakeDatedOIS(,M207,N207,OvernightIndex,0,,,,EvaluationDate)</f>
        <v>obj_006a8#0000</v>
      </c>
      <c r="P207" s="40" t="b">
        <f>_xll.qlInstrumentSetPricingEngine(O207,OisEngine)</f>
        <v>1</v>
      </c>
      <c r="Q207" s="38">
        <f>_xll.qlIndexFixing(Currency&amp;IborType&amp;"3M",_xll.qlInterestRateIndexFixingDate(Currency&amp;IborType&amp;"3M",M207),TRUE,AllTriggers)</f>
        <v>2.3776446319950555E-2</v>
      </c>
      <c r="R207" s="38">
        <f>_xll.qlOvernightIndexedSwapFairRate(O207,AllTriggers)</f>
        <v>2.2842745474036821E-2</v>
      </c>
      <c r="S207" s="345">
        <f t="shared" si="5"/>
        <v>9.3370084591373401E-4</v>
      </c>
    </row>
    <row r="208" spans="5:19" ht="11.25" customHeight="1" x14ac:dyDescent="0.2">
      <c r="E208" s="254"/>
      <c r="F208" s="254"/>
      <c r="G208" s="39"/>
      <c r="J208" s="39"/>
      <c r="K208" s="39"/>
      <c r="M208" s="346">
        <f>_xll.qlCalendarAdvance(Calendar,M207,"1M","f",,Trigger)</f>
        <v>48368</v>
      </c>
      <c r="N208" s="344">
        <f>_xll.qlCalendarAdvance(Calendar,M208,"3M","mf",,Trigger)</f>
        <v>48460</v>
      </c>
      <c r="O208" s="40" t="str">
        <f>_xll.qlMakeDatedOIS(,M208,N208,OvernightIndex,0,,,,EvaluationDate)</f>
        <v>obj_006a9#0000</v>
      </c>
      <c r="P208" s="40" t="b">
        <f>_xll.qlInstrumentSetPricingEngine(O208,OisEngine)</f>
        <v>1</v>
      </c>
      <c r="Q208" s="38">
        <f>_xll.qlIndexFixing(Currency&amp;IborType&amp;"3M",_xll.qlInterestRateIndexFixingDate(Currency&amp;IborType&amp;"3M",M208),TRUE,AllTriggers)</f>
        <v>2.3753790100675978E-2</v>
      </c>
      <c r="R208" s="38">
        <f>_xll.qlOvernightIndexedSwapFairRate(O208,AllTriggers)</f>
        <v>2.2825930790547767E-2</v>
      </c>
      <c r="S208" s="345">
        <f t="shared" si="5"/>
        <v>9.2785931012821093E-4</v>
      </c>
    </row>
    <row r="209" spans="5:19" ht="11.25" customHeight="1" x14ac:dyDescent="0.2">
      <c r="E209" s="254"/>
      <c r="F209" s="254"/>
      <c r="G209" s="39"/>
      <c r="J209" s="39"/>
      <c r="K209" s="39"/>
      <c r="M209" s="346">
        <f>_xll.qlCalendarAdvance(Calendar,M208,"1M","f",,Trigger)</f>
        <v>48400</v>
      </c>
      <c r="N209" s="344">
        <f>_xll.qlCalendarAdvance(Calendar,M209,"3M","mf",,Trigger)</f>
        <v>48492</v>
      </c>
      <c r="O209" s="40" t="str">
        <f>_xll.qlMakeDatedOIS(,M209,N209,OvernightIndex,0,,,,EvaluationDate)</f>
        <v>obj_006ab#0000</v>
      </c>
      <c r="P209" s="40" t="b">
        <f>_xll.qlInstrumentSetPricingEngine(O209,OisEngine)</f>
        <v>1</v>
      </c>
      <c r="Q209" s="38">
        <f>_xll.qlIndexFixing(Currency&amp;IborType&amp;"3M",_xll.qlInterestRateIndexFixingDate(Currency&amp;IborType&amp;"3M",M209),TRUE,AllTriggers)</f>
        <v>2.3729752082436585E-2</v>
      </c>
      <c r="R209" s="38">
        <f>_xll.qlOvernightIndexedSwapFairRate(O209,AllTriggers)</f>
        <v>2.2807817629212603E-2</v>
      </c>
      <c r="S209" s="345">
        <f t="shared" si="5"/>
        <v>9.219344532239819E-4</v>
      </c>
    </row>
    <row r="210" spans="5:19" ht="11.25" customHeight="1" x14ac:dyDescent="0.2">
      <c r="E210" s="254"/>
      <c r="F210" s="254"/>
      <c r="G210" s="39"/>
      <c r="J210" s="39"/>
      <c r="K210" s="39"/>
      <c r="M210" s="346">
        <f>_xll.qlCalendarAdvance(Calendar,M209,"1M","f",,Trigger)</f>
        <v>48431</v>
      </c>
      <c r="N210" s="344">
        <f>_xll.qlCalendarAdvance(Calendar,M210,"3M","mf",,Trigger)</f>
        <v>48523</v>
      </c>
      <c r="O210" s="40" t="str">
        <f>_xll.qlMakeDatedOIS(,M210,N210,OvernightIndex,0,,,,EvaluationDate)</f>
        <v>obj_006ac#0000</v>
      </c>
      <c r="P210" s="40" t="b">
        <f>_xll.qlInstrumentSetPricingEngine(O210,OisEngine)</f>
        <v>1</v>
      </c>
      <c r="Q210" s="38">
        <f>_xll.qlIndexFixing(Currency&amp;IborType&amp;"3M",_xll.qlInterestRateIndexFixingDate(Currency&amp;IborType&amp;"3M",M210),TRUE,AllTriggers)</f>
        <v>2.3705834652687691E-2</v>
      </c>
      <c r="R210" s="38">
        <f>_xll.qlOvernightIndexedSwapFairRate(O210,AllTriggers)</f>
        <v>2.2789538072519069E-2</v>
      </c>
      <c r="S210" s="345">
        <f t="shared" si="5"/>
        <v>9.1629658016862195E-4</v>
      </c>
    </row>
    <row r="211" spans="5:19" ht="11.25" customHeight="1" x14ac:dyDescent="0.2">
      <c r="E211" s="254"/>
      <c r="F211" s="254"/>
      <c r="G211" s="39"/>
      <c r="J211" s="39"/>
      <c r="K211" s="39"/>
      <c r="M211" s="346">
        <f>_xll.qlCalendarAdvance(Calendar,M210,"1M","f",,Trigger)</f>
        <v>48463</v>
      </c>
      <c r="N211" s="344">
        <f>_xll.qlCalendarAdvance(Calendar,M211,"3M","mf",,Trigger)</f>
        <v>48554</v>
      </c>
      <c r="O211" s="40" t="str">
        <f>_xll.qlMakeDatedOIS(,M211,N211,OvernightIndex,0,,,,EvaluationDate)</f>
        <v>obj_006ad#0000</v>
      </c>
      <c r="P211" s="40" t="b">
        <f>_xll.qlInstrumentSetPricingEngine(O211,OisEngine)</f>
        <v>1</v>
      </c>
      <c r="Q211" s="38">
        <f>_xll.qlIndexFixing(Currency&amp;IborType&amp;"3M",_xll.qlInterestRateIndexFixingDate(Currency&amp;IborType&amp;"3M",M211),TRUE,AllTriggers)</f>
        <v>2.3680123425060418E-2</v>
      </c>
      <c r="R211" s="38">
        <f>_xll.qlOvernightIndexedSwapFairRate(O211,AllTriggers)</f>
        <v>2.2769512368144468E-2</v>
      </c>
      <c r="S211" s="345">
        <f t="shared" si="5"/>
        <v>9.1061105691594979E-4</v>
      </c>
    </row>
    <row r="212" spans="5:19" ht="11.25" customHeight="1" x14ac:dyDescent="0.2">
      <c r="E212" s="254"/>
      <c r="F212" s="254"/>
      <c r="G212" s="39"/>
      <c r="J212" s="39"/>
      <c r="K212" s="39"/>
      <c r="M212" s="346">
        <f>_xll.qlCalendarAdvance(Calendar,M211,"1M","f",,Trigger)</f>
        <v>48493</v>
      </c>
      <c r="N212" s="344">
        <f>_xll.qlCalendarAdvance(Calendar,M212,"3M","mf",,Trigger)</f>
        <v>48585</v>
      </c>
      <c r="O212" s="40" t="str">
        <f>_xll.qlMakeDatedOIS(,M212,N212,OvernightIndex,0,,,,EvaluationDate)</f>
        <v>obj_006ae#0000</v>
      </c>
      <c r="P212" s="40" t="b">
        <f>_xll.qlInstrumentSetPricingEngine(O212,OisEngine)</f>
        <v>1</v>
      </c>
      <c r="Q212" s="38">
        <f>_xll.qlIndexFixing(Currency&amp;IborType&amp;"3M",_xll.qlInterestRateIndexFixingDate(Currency&amp;IborType&amp;"3M",M212),TRUE,AllTriggers)</f>
        <v>2.3656138068898651E-2</v>
      </c>
      <c r="R212" s="38">
        <f>_xll.qlOvernightIndexedSwapFairRate(O212,AllTriggers)</f>
        <v>2.2750816582760139E-2</v>
      </c>
      <c r="S212" s="345">
        <f t="shared" si="5"/>
        <v>9.0532148613851199E-4</v>
      </c>
    </row>
    <row r="213" spans="5:19" ht="11.25" customHeight="1" x14ac:dyDescent="0.2">
      <c r="E213" s="254"/>
      <c r="F213" s="254"/>
      <c r="G213" s="39"/>
      <c r="J213" s="39"/>
      <c r="K213" s="39"/>
      <c r="M213" s="346">
        <f>_xll.qlCalendarAdvance(Calendar,M212,"1M","f",,Trigger)</f>
        <v>48526</v>
      </c>
      <c r="N213" s="344">
        <f>_xll.qlCalendarAdvance(Calendar,M213,"3M","mf",,Trigger)</f>
        <v>48618</v>
      </c>
      <c r="O213" s="40" t="str">
        <f>_xll.qlMakeDatedOIS(,M213,N213,OvernightIndex,0,,,,EvaluationDate)</f>
        <v>obj_006b0#0000</v>
      </c>
      <c r="P213" s="40" t="b">
        <f>_xll.qlInstrumentSetPricingEngine(O213,OisEngine)</f>
        <v>1</v>
      </c>
      <c r="Q213" s="38">
        <f>_xll.qlIndexFixing(Currency&amp;IborType&amp;"3M",_xll.qlInterestRateIndexFixingDate(Currency&amp;IborType&amp;"3M",M213),TRUE,AllTriggers)</f>
        <v>2.3628674459554567E-2</v>
      </c>
      <c r="R213" s="38">
        <f>_xll.qlOvernightIndexedSwapFairRate(O213,AllTriggers)</f>
        <v>2.2729031087380284E-2</v>
      </c>
      <c r="S213" s="345">
        <f t="shared" si="5"/>
        <v>8.9964337217428303E-4</v>
      </c>
    </row>
    <row r="214" spans="5:19" ht="11.25" customHeight="1" x14ac:dyDescent="0.2">
      <c r="E214" s="254"/>
      <c r="F214" s="254"/>
      <c r="G214" s="39"/>
      <c r="J214" s="39"/>
      <c r="K214" s="39"/>
      <c r="M214" s="346">
        <f>_xll.qlCalendarAdvance(Calendar,M213,"1M","f",,Trigger)</f>
        <v>48556</v>
      </c>
      <c r="N214" s="344">
        <f>_xll.qlCalendarAdvance(Calendar,M214,"3M","mf",,Trigger)</f>
        <v>48646</v>
      </c>
      <c r="O214" s="40" t="str">
        <f>_xll.qlMakeDatedOIS(,M214,N214,OvernightIndex,0,,,,EvaluationDate)</f>
        <v>obj_006b1#0000</v>
      </c>
      <c r="P214" s="40" t="b">
        <f>_xll.qlInstrumentSetPricingEngine(O214,OisEngine)</f>
        <v>1</v>
      </c>
      <c r="Q214" s="38">
        <f>_xll.qlIndexFixing(Currency&amp;IborType&amp;"3M",_xll.qlInterestRateIndexFixingDate(Currency&amp;IborType&amp;"3M",M214),TRUE,AllTriggers)</f>
        <v>2.3602424599361349E-2</v>
      </c>
      <c r="R214" s="38">
        <f>_xll.qlOvernightIndexedSwapFairRate(O214,AllTriggers)</f>
        <v>2.270779367162223E-2</v>
      </c>
      <c r="S214" s="345">
        <f t="shared" si="5"/>
        <v>8.9463092773911859E-4</v>
      </c>
    </row>
    <row r="215" spans="5:19" ht="11.25" customHeight="1" x14ac:dyDescent="0.2">
      <c r="E215" s="254"/>
      <c r="F215" s="254"/>
      <c r="G215" s="39"/>
      <c r="J215" s="39"/>
      <c r="K215" s="39"/>
      <c r="M215" s="346">
        <f>_xll.qlCalendarAdvance(Calendar,M214,"1M","f",,Trigger)</f>
        <v>48589</v>
      </c>
      <c r="N215" s="344">
        <f>_xll.qlCalendarAdvance(Calendar,M215,"3M","mf",,Trigger)</f>
        <v>48680</v>
      </c>
      <c r="O215" s="40" t="str">
        <f>_xll.qlMakeDatedOIS(,M215,N215,OvernightIndex,0,,,,EvaluationDate)</f>
        <v>obj_006b2#0000</v>
      </c>
      <c r="P215" s="40" t="b">
        <f>_xll.qlInstrumentSetPricingEngine(O215,OisEngine)</f>
        <v>1</v>
      </c>
      <c r="Q215" s="38">
        <f>_xll.qlIndexFixing(Currency&amp;IborType&amp;"3M",_xll.qlInterestRateIndexFixingDate(Currency&amp;IborType&amp;"3M",M215),TRUE,AllTriggers)</f>
        <v>2.3573967560286672E-2</v>
      </c>
      <c r="R215" s="38">
        <f>_xll.qlOvernightIndexedSwapFairRate(O215,AllTriggers)</f>
        <v>2.2684824714281671E-2</v>
      </c>
      <c r="S215" s="345">
        <f t="shared" si="5"/>
        <v>8.8914284600500118E-4</v>
      </c>
    </row>
    <row r="216" spans="5:19" ht="11.25" customHeight="1" x14ac:dyDescent="0.2">
      <c r="E216" s="254"/>
      <c r="F216" s="254"/>
      <c r="G216" s="39"/>
      <c r="J216" s="39"/>
      <c r="K216" s="39"/>
      <c r="M216" s="346">
        <f>_xll.qlCalendarAdvance(Calendar,M215,"1M","f",,Trigger)</f>
        <v>48620</v>
      </c>
      <c r="N216" s="344">
        <f>_xll.qlCalendarAdvance(Calendar,M216,"3M","mf",,Trigger)</f>
        <v>48709</v>
      </c>
      <c r="O216" s="40" t="str">
        <f>_xll.qlMakeDatedOIS(,M216,N216,OvernightIndex,0,,,,EvaluationDate)</f>
        <v>obj_006b3#0000</v>
      </c>
      <c r="P216" s="40" t="b">
        <f>_xll.qlInstrumentSetPricingEngine(O216,OisEngine)</f>
        <v>1</v>
      </c>
      <c r="Q216" s="38">
        <f>_xll.qlIndexFixing(Currency&amp;IborType&amp;"3M",_xll.qlInterestRateIndexFixingDate(Currency&amp;IborType&amp;"3M",M216),TRUE,AllTriggers)</f>
        <v>2.3545654087529677E-2</v>
      </c>
      <c r="R216" s="38">
        <f>_xll.qlOvernightIndexedSwapFairRate(O216,AllTriggers)</f>
        <v>2.2661493431545783E-2</v>
      </c>
      <c r="S216" s="345">
        <f t="shared" si="5"/>
        <v>8.8416065598389409E-4</v>
      </c>
    </row>
    <row r="217" spans="5:19" ht="11.25" customHeight="1" x14ac:dyDescent="0.2">
      <c r="E217" s="254"/>
      <c r="F217" s="254"/>
      <c r="G217" s="39"/>
      <c r="J217" s="39"/>
      <c r="K217" s="39"/>
      <c r="M217" s="346">
        <f>_xll.qlCalendarAdvance(Calendar,M216,"1M","f",,Trigger)</f>
        <v>48648</v>
      </c>
      <c r="N217" s="344">
        <f>_xll.qlCalendarAdvance(Calendar,M217,"3M","mf",,Trigger)</f>
        <v>48740</v>
      </c>
      <c r="O217" s="40" t="str">
        <f>_xll.qlMakeDatedOIS(,M217,N217,OvernightIndex,0,,,,EvaluationDate)</f>
        <v>obj_006b5#0000</v>
      </c>
      <c r="P217" s="40" t="b">
        <f>_xll.qlInstrumentSetPricingEngine(O217,OisEngine)</f>
        <v>1</v>
      </c>
      <c r="Q217" s="38">
        <f>_xll.qlIndexFixing(Currency&amp;IborType&amp;"3M",_xll.qlInterestRateIndexFixingDate(Currency&amp;IborType&amp;"3M",M217),TRUE,AllTriggers)</f>
        <v>2.3521037113236803E-2</v>
      </c>
      <c r="R217" s="38">
        <f>_xll.qlOvernightIndexedSwapFairRate(O217,AllTriggers)</f>
        <v>2.2641399511115264E-2</v>
      </c>
      <c r="S217" s="345">
        <f t="shared" si="5"/>
        <v>8.7963760212153921E-4</v>
      </c>
    </row>
    <row r="218" spans="5:19" ht="11.25" customHeight="1" x14ac:dyDescent="0.2">
      <c r="E218" s="254"/>
      <c r="F218" s="254"/>
      <c r="G218" s="39"/>
      <c r="J218" s="39"/>
      <c r="K218" s="39"/>
      <c r="M218" s="346">
        <f>_xll.qlCalendarAdvance(Calendar,M217,"1M","f",,Trigger)</f>
        <v>48680</v>
      </c>
      <c r="N218" s="344">
        <f>_xll.qlCalendarAdvance(Calendar,M218,"3M","mf",,Trigger)</f>
        <v>48771</v>
      </c>
      <c r="O218" s="40" t="str">
        <f>_xll.qlMakeDatedOIS(,M218,N218,OvernightIndex,0,,,,EvaluationDate)</f>
        <v>obj_006b6#0000</v>
      </c>
      <c r="P218" s="40" t="b">
        <f>_xll.qlInstrumentSetPricingEngine(O218,OisEngine)</f>
        <v>1</v>
      </c>
      <c r="Q218" s="38">
        <f>_xll.qlIndexFixing(Currency&amp;IborType&amp;"3M",_xll.qlInterestRateIndexFixingDate(Currency&amp;IborType&amp;"3M",M218),TRUE,AllTriggers)</f>
        <v>2.3490924476294056E-2</v>
      </c>
      <c r="R218" s="38">
        <f>_xll.qlOvernightIndexedSwapFairRate(O218,AllTriggers)</f>
        <v>2.2616256810675257E-2</v>
      </c>
      <c r="S218" s="345">
        <f t="shared" si="5"/>
        <v>8.7466766561879877E-4</v>
      </c>
    </row>
    <row r="219" spans="5:19" ht="11.25" customHeight="1" x14ac:dyDescent="0.2">
      <c r="E219" s="254"/>
      <c r="F219" s="254"/>
      <c r="G219" s="39"/>
      <c r="J219" s="39"/>
      <c r="K219" s="39"/>
      <c r="M219" s="346">
        <f>_xll.qlCalendarAdvance(Calendar,M218,"1M","f",,Trigger)</f>
        <v>48710</v>
      </c>
      <c r="N219" s="344">
        <f>_xll.qlCalendarAdvance(Calendar,M219,"3M","mf",,Trigger)</f>
        <v>48802</v>
      </c>
      <c r="O219" s="40" t="str">
        <f>_xll.qlMakeDatedOIS(,M219,N219,OvernightIndex,0,,,,EvaluationDate)</f>
        <v>obj_006b7#0000</v>
      </c>
      <c r="P219" s="40" t="b">
        <f>_xll.qlInstrumentSetPricingEngine(O219,OisEngine)</f>
        <v>1</v>
      </c>
      <c r="Q219" s="38">
        <f>_xll.qlIndexFixing(Currency&amp;IborType&amp;"3M",_xll.qlInterestRateIndexFixingDate(Currency&amp;IborType&amp;"3M",M219),TRUE,AllTriggers)</f>
        <v>2.346265320087473E-2</v>
      </c>
      <c r="R219" s="38">
        <f>_xll.qlOvernightIndexedSwapFairRate(O219,AllTriggers)</f>
        <v>2.259258759605667E-2</v>
      </c>
      <c r="S219" s="345">
        <f t="shared" si="5"/>
        <v>8.7006560481805995E-4</v>
      </c>
    </row>
    <row r="220" spans="5:19" ht="11.25" customHeight="1" x14ac:dyDescent="0.2">
      <c r="E220" s="254"/>
      <c r="F220" s="254"/>
      <c r="G220" s="39"/>
      <c r="J220" s="39"/>
      <c r="K220" s="39"/>
      <c r="M220" s="346">
        <f>_xll.qlCalendarAdvance(Calendar,M219,"1M","f",,Trigger)</f>
        <v>48743</v>
      </c>
      <c r="N220" s="344">
        <f>_xll.qlCalendarAdvance(Calendar,M220,"3M","mf",,Trigger)</f>
        <v>48835</v>
      </c>
      <c r="O220" s="40" t="str">
        <f>_xll.qlMakeDatedOIS(,M220,N220,OvernightIndex,0,,,,EvaluationDate)</f>
        <v>obj_006b8#0000</v>
      </c>
      <c r="P220" s="40" t="b">
        <f>_xll.qlInstrumentSetPricingEngine(O220,OisEngine)</f>
        <v>1</v>
      </c>
      <c r="Q220" s="38">
        <f>_xll.qlIndexFixing(Currency&amp;IborType&amp;"3M",_xll.qlInterestRateIndexFixingDate(Currency&amp;IborType&amp;"3M",M220),TRUE,AllTriggers)</f>
        <v>2.3430565839063659E-2</v>
      </c>
      <c r="R220" s="38">
        <f>_xll.qlOvernightIndexedSwapFairRate(O220,AllTriggers)</f>
        <v>2.2565431530832319E-2</v>
      </c>
      <c r="S220" s="345">
        <f t="shared" si="5"/>
        <v>8.651343082313398E-4</v>
      </c>
    </row>
    <row r="221" spans="5:19" ht="11.25" customHeight="1" x14ac:dyDescent="0.2">
      <c r="E221" s="254"/>
      <c r="F221" s="254"/>
      <c r="G221" s="39"/>
      <c r="J221" s="39"/>
      <c r="K221" s="39"/>
      <c r="M221" s="346">
        <f>_xll.qlCalendarAdvance(Calendar,M220,"1M","f",,Trigger)</f>
        <v>48773</v>
      </c>
      <c r="N221" s="344">
        <f>_xll.qlCalendarAdvance(Calendar,M221,"3M","mf",,Trigger)</f>
        <v>48865</v>
      </c>
      <c r="O221" s="40" t="str">
        <f>_xll.qlMakeDatedOIS(,M221,N221,OvernightIndex,0,,,,EvaluationDate)</f>
        <v>obj_006ba#0000</v>
      </c>
      <c r="P221" s="40" t="b">
        <f>_xll.qlInstrumentSetPricingEngine(O221,OisEngine)</f>
        <v>1</v>
      </c>
      <c r="Q221" s="38">
        <f>_xll.qlIndexFixing(Currency&amp;IborType&amp;"3M",_xll.qlInterestRateIndexFixingDate(Currency&amp;IborType&amp;"3M",M221),TRUE,AllTriggers)</f>
        <v>2.3400785391298463E-2</v>
      </c>
      <c r="R221" s="38">
        <f>_xll.qlOvernightIndexedSwapFairRate(O221,AllTriggers)</f>
        <v>2.2540035524599572E-2</v>
      </c>
      <c r="S221" s="345">
        <f t="shared" si="5"/>
        <v>8.6074986669889067E-4</v>
      </c>
    </row>
    <row r="222" spans="5:19" ht="11.25" customHeight="1" x14ac:dyDescent="0.2">
      <c r="E222" s="254"/>
      <c r="F222" s="254"/>
      <c r="G222" s="39"/>
      <c r="J222" s="39"/>
      <c r="K222" s="39"/>
      <c r="M222" s="346">
        <f>_xll.qlCalendarAdvance(Calendar,M221,"1M","f",,Trigger)</f>
        <v>48806</v>
      </c>
      <c r="N222" s="344">
        <f>_xll.qlCalendarAdvance(Calendar,M222,"3M","mf",,Trigger)</f>
        <v>48898</v>
      </c>
      <c r="O222" s="40" t="str">
        <f>_xll.qlMakeDatedOIS(,M222,N222,OvernightIndex,0,,,,EvaluationDate)</f>
        <v>obj_006bc#0000</v>
      </c>
      <c r="P222" s="40" t="b">
        <f>_xll.qlInstrumentSetPricingEngine(O222,OisEngine)</f>
        <v>1</v>
      </c>
      <c r="Q222" s="38">
        <f>_xll.qlIndexFixing(Currency&amp;IborType&amp;"3M",_xll.qlInterestRateIndexFixingDate(Currency&amp;IborType&amp;"3M",M222),TRUE,AllTriggers)</f>
        <v>2.3367355784277628E-2</v>
      </c>
      <c r="R222" s="38">
        <f>_xll.qlOvernightIndexedSwapFairRate(O222,AllTriggers)</f>
        <v>2.2511320392211161E-2</v>
      </c>
      <c r="S222" s="345">
        <f t="shared" si="5"/>
        <v>8.5603539206646762E-4</v>
      </c>
    </row>
    <row r="223" spans="5:19" ht="11.25" customHeight="1" x14ac:dyDescent="0.2">
      <c r="E223" s="254"/>
      <c r="F223" s="254"/>
      <c r="G223" s="39"/>
      <c r="J223" s="39"/>
      <c r="K223" s="39"/>
      <c r="M223" s="346">
        <f>_xll.qlCalendarAdvance(Calendar,M222,"1M","f",,Trigger)</f>
        <v>48837</v>
      </c>
      <c r="N223" s="344">
        <f>_xll.qlCalendarAdvance(Calendar,M223,"3M","mf",,Trigger)</f>
        <v>48928</v>
      </c>
      <c r="O223" s="40" t="str">
        <f>_xll.qlMakeDatedOIS(,M223,N223,OvernightIndex,0,,,,EvaluationDate)</f>
        <v>obj_006bd#0000</v>
      </c>
      <c r="P223" s="40" t="b">
        <f>_xll.qlInstrumentSetPricingEngine(O223,OisEngine)</f>
        <v>1</v>
      </c>
      <c r="Q223" s="38">
        <f>_xll.qlIndexFixing(Currency&amp;IborType&amp;"3M",_xll.qlInterestRateIndexFixingDate(Currency&amp;IborType&amp;"3M",M223),TRUE,AllTriggers)</f>
        <v>2.3335083647767402E-2</v>
      </c>
      <c r="R223" s="38">
        <f>_xll.qlOvernightIndexedSwapFairRate(O223,AllTriggers)</f>
        <v>2.2483359420822802E-2</v>
      </c>
      <c r="S223" s="345">
        <f t="shared" si="5"/>
        <v>8.5172422694460015E-4</v>
      </c>
    </row>
    <row r="224" spans="5:19" ht="11.25" customHeight="1" x14ac:dyDescent="0.2">
      <c r="E224" s="254"/>
      <c r="F224" s="254"/>
      <c r="G224" s="39"/>
      <c r="J224" s="39"/>
      <c r="K224" s="39"/>
      <c r="M224" s="346">
        <f>_xll.qlCalendarAdvance(Calendar,M223,"1M","f",,Trigger)</f>
        <v>48869</v>
      </c>
      <c r="N224" s="344">
        <f>_xll.qlCalendarAdvance(Calendar,M224,"3M","mf",,Trigger)</f>
        <v>48961</v>
      </c>
      <c r="O224" s="40" t="str">
        <f>_xll.qlMakeDatedOIS(,M224,N224,OvernightIndex,0,,,,EvaluationDate)</f>
        <v>obj_006be#0000</v>
      </c>
      <c r="P224" s="40" t="b">
        <f>_xll.qlInstrumentSetPricingEngine(O224,OisEngine)</f>
        <v>1</v>
      </c>
      <c r="Q224" s="38">
        <f>_xll.qlIndexFixing(Currency&amp;IborType&amp;"3M",_xll.qlInterestRateIndexFixingDate(Currency&amp;IborType&amp;"3M",M224),TRUE,AllTriggers)</f>
        <v>2.3301583356046866E-2</v>
      </c>
      <c r="R224" s="38">
        <f>_xll.qlOvernightIndexedSwapFairRate(O224,AllTriggers)</f>
        <v>2.2454232947014881E-2</v>
      </c>
      <c r="S224" s="345">
        <f t="shared" si="5"/>
        <v>8.4735040903198555E-4</v>
      </c>
    </row>
    <row r="225" spans="5:19" ht="11.25" customHeight="1" x14ac:dyDescent="0.2">
      <c r="E225" s="254"/>
      <c r="F225" s="254"/>
      <c r="G225" s="39"/>
      <c r="J225" s="39"/>
      <c r="K225" s="39"/>
      <c r="M225" s="346">
        <f>_xll.qlCalendarAdvance(Calendar,M224,"1M","f",,Trigger)</f>
        <v>48900</v>
      </c>
      <c r="N225" s="344">
        <f>_xll.qlCalendarAdvance(Calendar,M225,"3M","mf",,Trigger)</f>
        <v>48992</v>
      </c>
      <c r="O225" s="40" t="str">
        <f>_xll.qlMakeDatedOIS(,M225,N225,OvernightIndex,0,,,,EvaluationDate)</f>
        <v>obj_006bf#0000</v>
      </c>
      <c r="P225" s="40" t="b">
        <f>_xll.qlInstrumentSetPricingEngine(O225,OisEngine)</f>
        <v>1</v>
      </c>
      <c r="Q225" s="38">
        <f>_xll.qlIndexFixing(Currency&amp;IborType&amp;"3M",_xll.qlInterestRateIndexFixingDate(Currency&amp;IborType&amp;"3M",M225),TRUE,AllTriggers)</f>
        <v>2.3268278549869605E-2</v>
      </c>
      <c r="R225" s="38">
        <f>_xll.qlOvernightIndexedSwapFairRate(O225,AllTriggers)</f>
        <v>2.2425049751397426E-2</v>
      </c>
      <c r="S225" s="345">
        <f t="shared" si="5"/>
        <v>8.4322879847217869E-4</v>
      </c>
    </row>
    <row r="226" spans="5:19" ht="11.25" customHeight="1" x14ac:dyDescent="0.2">
      <c r="E226" s="254"/>
      <c r="F226" s="254"/>
      <c r="G226" s="39"/>
      <c r="J226" s="39"/>
      <c r="K226" s="39"/>
      <c r="M226" s="346">
        <f>_xll.qlCalendarAdvance(Calendar,M225,"1M","f",,Trigger)</f>
        <v>48932</v>
      </c>
      <c r="N226" s="344">
        <f>_xll.qlCalendarAdvance(Calendar,M226,"3M","mf",,Trigger)</f>
        <v>49023</v>
      </c>
      <c r="O226" s="40" t="str">
        <f>_xll.qlMakeDatedOIS(,M226,N226,OvernightIndex,0,,,,EvaluationDate)</f>
        <v>obj_006c1#0000</v>
      </c>
      <c r="P226" s="40" t="b">
        <f>_xll.qlInstrumentSetPricingEngine(O226,OisEngine)</f>
        <v>1</v>
      </c>
      <c r="Q226" s="38">
        <f>_xll.qlIndexFixing(Currency&amp;IborType&amp;"3M",_xll.qlInterestRateIndexFixingDate(Currency&amp;IborType&amp;"3M",M226),TRUE,AllTriggers)</f>
        <v>2.3233057792430512E-2</v>
      </c>
      <c r="R226" s="38">
        <f>_xll.qlOvernightIndexedSwapFairRate(O226,AllTriggers)</f>
        <v>2.2393968238110094E-2</v>
      </c>
      <c r="S226" s="345">
        <f t="shared" si="5"/>
        <v>8.3908955432041715E-4</v>
      </c>
    </row>
    <row r="227" spans="5:19" ht="11.25" customHeight="1" x14ac:dyDescent="0.2">
      <c r="E227" s="254"/>
      <c r="F227" s="254"/>
      <c r="G227" s="39"/>
      <c r="J227" s="39"/>
      <c r="K227" s="39"/>
      <c r="M227" s="346">
        <f>_xll.qlCalendarAdvance(Calendar,M226,"1M","f",,Trigger)</f>
        <v>48963</v>
      </c>
      <c r="N227" s="344">
        <f>_xll.qlCalendarAdvance(Calendar,M227,"3M","mf",,Trigger)</f>
        <v>49053</v>
      </c>
      <c r="O227" s="40" t="str">
        <f>_xll.qlMakeDatedOIS(,M227,N227,OvernightIndex,0,,,,EvaluationDate)</f>
        <v>obj_008a2#0000</v>
      </c>
      <c r="P227" s="40" t="b">
        <f>_xll.qlInstrumentSetPricingEngine(O227,OisEngine)</f>
        <v>1</v>
      </c>
      <c r="Q227" s="38">
        <f>_xll.qlIndexFixing(Currency&amp;IborType&amp;"3M",_xll.qlInterestRateIndexFixingDate(Currency&amp;IborType&amp;"3M",M227),TRUE,AllTriggers)</f>
        <v>2.3198325556013977E-2</v>
      </c>
      <c r="R227" s="38">
        <f>_xll.qlOvernightIndexedSwapFairRate(O227,AllTriggers)</f>
        <v>2.2363146295539593E-2</v>
      </c>
      <c r="S227" s="345">
        <f t="shared" si="5"/>
        <v>8.3517926047438351E-4</v>
      </c>
    </row>
    <row r="228" spans="5:19" ht="11.25" customHeight="1" x14ac:dyDescent="0.2">
      <c r="E228" s="254"/>
      <c r="F228" s="254"/>
      <c r="G228" s="39"/>
      <c r="J228" s="39"/>
      <c r="K228" s="39"/>
      <c r="M228" s="346">
        <f>_xll.qlCalendarAdvance(Calendar,M227,"1M","f",,Trigger)</f>
        <v>48995</v>
      </c>
      <c r="N228" s="344">
        <f>_xll.qlCalendarAdvance(Calendar,M228,"3M","mf",,Trigger)</f>
        <v>49086</v>
      </c>
      <c r="O228" s="40" t="str">
        <f>_xll.qlMakeDatedOIS(,M228,N228,OvernightIndex,0,,,,EvaluationDate)</f>
        <v>obj_006c2#0000</v>
      </c>
      <c r="P228" s="40" t="b">
        <f>_xll.qlInstrumentSetPricingEngine(O228,OisEngine)</f>
        <v>1</v>
      </c>
      <c r="Q228" s="38">
        <f>_xll.qlIndexFixing(Currency&amp;IborType&amp;"3M",_xll.qlInterestRateIndexFixingDate(Currency&amp;IborType&amp;"3M",M228),TRUE,AllTriggers)</f>
        <v>2.3162185894973007E-2</v>
      </c>
      <c r="R228" s="38">
        <f>_xll.qlOvernightIndexedSwapFairRate(O228,AllTriggers)</f>
        <v>2.233095609714307E-2</v>
      </c>
      <c r="S228" s="345">
        <f t="shared" si="5"/>
        <v>8.3122979782993683E-4</v>
      </c>
    </row>
    <row r="229" spans="5:19" ht="11.25" customHeight="1" x14ac:dyDescent="0.2">
      <c r="E229" s="254"/>
      <c r="F229" s="254"/>
      <c r="G229" s="39"/>
      <c r="J229" s="39"/>
      <c r="K229" s="39"/>
      <c r="M229" s="346">
        <f>_xll.qlCalendarAdvance(Calendar,M228,"1M","f",,Trigger)</f>
        <v>49023</v>
      </c>
      <c r="N229" s="344">
        <f>_xll.qlCalendarAdvance(Calendar,M229,"3M","mf",,Trigger)</f>
        <v>49115</v>
      </c>
      <c r="O229" s="40" t="str">
        <f>_xll.qlMakeDatedOIS(,M229,N229,OvernightIndex,0,,,,EvaluationDate)</f>
        <v>obj_006c4#0000</v>
      </c>
      <c r="P229" s="40" t="b">
        <f>_xll.qlInstrumentSetPricingEngine(O229,OisEngine)</f>
        <v>1</v>
      </c>
      <c r="Q229" s="38">
        <f>_xll.qlIndexFixing(Currency&amp;IborType&amp;"3M",_xll.qlInterestRateIndexFixingDate(Currency&amp;IborType&amp;"3M",M229),TRUE,AllTriggers)</f>
        <v>2.3130019845951838E-2</v>
      </c>
      <c r="R229" s="38">
        <f>_xll.qlOvernightIndexedSwapFairRate(O229,AllTriggers)</f>
        <v>2.2302156798645889E-2</v>
      </c>
      <c r="S229" s="345">
        <f t="shared" si="5"/>
        <v>8.2786304730594895E-4</v>
      </c>
    </row>
    <row r="230" spans="5:19" ht="11.25" customHeight="1" x14ac:dyDescent="0.2">
      <c r="E230" s="254"/>
      <c r="F230" s="254"/>
      <c r="G230" s="39"/>
      <c r="J230" s="39"/>
      <c r="K230" s="39"/>
      <c r="M230" s="346">
        <f>_xll.qlCalendarAdvance(Calendar,M229,"1M","f",,Trigger)</f>
        <v>49054</v>
      </c>
      <c r="N230" s="344">
        <f>_xll.qlCalendarAdvance(Calendar,M230,"3M","mf",,Trigger)</f>
        <v>49145</v>
      </c>
      <c r="O230" s="40" t="str">
        <f>_xll.qlMakeDatedOIS(,M230,N230,OvernightIndex,0,,,,EvaluationDate)</f>
        <v>obj_006c5#0000</v>
      </c>
      <c r="P230" s="40" t="b">
        <f>_xll.qlInstrumentSetPricingEngine(O230,OisEngine)</f>
        <v>1</v>
      </c>
      <c r="Q230" s="38">
        <f>_xll.qlIndexFixing(Currency&amp;IborType&amp;"3M",_xll.qlInterestRateIndexFixingDate(Currency&amp;IborType&amp;"3M",M230),TRUE,AllTriggers)</f>
        <v>2.3093490793256087E-2</v>
      </c>
      <c r="R230" s="38">
        <f>_xll.qlOvernightIndexedSwapFairRate(O230,AllTriggers)</f>
        <v>2.2269246402500907E-2</v>
      </c>
      <c r="S230" s="345">
        <f t="shared" si="5"/>
        <v>8.2424439075517997E-4</v>
      </c>
    </row>
    <row r="231" spans="5:19" ht="11.25" customHeight="1" x14ac:dyDescent="0.2">
      <c r="E231" s="254"/>
      <c r="F231" s="254"/>
      <c r="G231" s="39"/>
      <c r="J231" s="39"/>
      <c r="K231" s="39"/>
      <c r="M231" s="346">
        <f>_xll.qlCalendarAdvance(Calendar,M230,"1M","f",,Trigger)</f>
        <v>49086</v>
      </c>
      <c r="N231" s="344">
        <f>_xll.qlCalendarAdvance(Calendar,M231,"3M","mf",,Trigger)</f>
        <v>49178</v>
      </c>
      <c r="O231" s="40" t="str">
        <f>_xll.qlMakeDatedOIS(,M231,N231,OvernightIndex,0,,,,EvaluationDate)</f>
        <v>obj_00a22#0000</v>
      </c>
      <c r="P231" s="40" t="b">
        <f>_xll.qlInstrumentSetPricingEngine(O231,OisEngine)</f>
        <v>1</v>
      </c>
      <c r="Q231" s="38">
        <f>_xll.qlIndexFixing(Currency&amp;IborType&amp;"3M",_xll.qlInterestRateIndexFixingDate(Currency&amp;IborType&amp;"3M",M231),TRUE,AllTriggers)</f>
        <v>2.3055422479345365E-2</v>
      </c>
      <c r="R231" s="38">
        <f>_xll.qlOvernightIndexedSwapFairRate(O231,AllTriggers)</f>
        <v>2.2234818664453728E-2</v>
      </c>
      <c r="S231" s="345">
        <f t="shared" si="5"/>
        <v>8.2060381489163642E-4</v>
      </c>
    </row>
    <row r="232" spans="5:19" ht="11.25" customHeight="1" x14ac:dyDescent="0.2">
      <c r="E232" s="254"/>
      <c r="F232" s="254"/>
      <c r="G232" s="39"/>
      <c r="J232" s="39"/>
      <c r="K232" s="39"/>
      <c r="M232" s="346">
        <f>_xll.qlCalendarAdvance(Calendar,M231,"1M","f",,Trigger)</f>
        <v>49117</v>
      </c>
      <c r="N232" s="344">
        <f>_xll.qlCalendarAdvance(Calendar,M232,"3M","mf",,Trigger)</f>
        <v>49209</v>
      </c>
      <c r="O232" s="40" t="str">
        <f>_xll.qlMakeDatedOIS(,M232,N232,OvernightIndex,0,,,,EvaluationDate)</f>
        <v>obj_006c7#0000</v>
      </c>
      <c r="P232" s="40" t="b">
        <f>_xll.qlInstrumentSetPricingEngine(O232,OisEngine)</f>
        <v>1</v>
      </c>
      <c r="Q232" s="38">
        <f>_xll.qlIndexFixing(Currency&amp;IborType&amp;"3M",_xll.qlInterestRateIndexFixingDate(Currency&amp;IborType&amp;"3M",M232),TRUE,AllTriggers)</f>
        <v>2.3017775418610442E-2</v>
      </c>
      <c r="R232" s="38">
        <f>_xll.qlOvernightIndexedSwapFairRate(O232,AllTriggers)</f>
        <v>2.2200591660336711E-2</v>
      </c>
      <c r="S232" s="345">
        <f t="shared" si="5"/>
        <v>8.171837582737311E-4</v>
      </c>
    </row>
    <row r="233" spans="5:19" ht="11.25" customHeight="1" x14ac:dyDescent="0.2">
      <c r="E233" s="254"/>
      <c r="F233" s="254"/>
      <c r="G233" s="39"/>
      <c r="J233" s="39"/>
      <c r="K233" s="39"/>
      <c r="M233" s="346">
        <f>_xll.qlCalendarAdvance(Calendar,M232,"1M","f",,Trigger)</f>
        <v>49149</v>
      </c>
      <c r="N233" s="344">
        <f>_xll.qlCalendarAdvance(Calendar,M233,"3M","mf",,Trigger)</f>
        <v>49241</v>
      </c>
      <c r="O233" s="40" t="str">
        <f>_xll.qlMakeDatedOIS(,M233,N233,OvernightIndex,0,,,,EvaluationDate)</f>
        <v>obj_006c9#0000</v>
      </c>
      <c r="P233" s="40" t="b">
        <f>_xll.qlInstrumentSetPricingEngine(O233,OisEngine)</f>
        <v>1</v>
      </c>
      <c r="Q233" s="38">
        <f>_xll.qlIndexFixing(Currency&amp;IborType&amp;"3M",_xll.qlInterestRateIndexFixingDate(Currency&amp;IborType&amp;"3M",M233),TRUE,AllTriggers)</f>
        <v>2.2978263348594596E-2</v>
      </c>
      <c r="R233" s="38">
        <f>_xll.qlOvernightIndexedSwapFairRate(O233,AllTriggers)</f>
        <v>2.216450485110109E-2</v>
      </c>
      <c r="S233" s="345">
        <f t="shared" si="5"/>
        <v>8.1375849749350596E-4</v>
      </c>
    </row>
    <row r="234" spans="5:19" ht="11.25" customHeight="1" x14ac:dyDescent="0.2">
      <c r="E234" s="254"/>
      <c r="F234" s="254"/>
      <c r="G234" s="39"/>
      <c r="J234" s="39"/>
      <c r="K234" s="39"/>
      <c r="M234" s="346">
        <f>_xll.qlCalendarAdvance(Calendar,M233,"1M","f",,Trigger)</f>
        <v>49180</v>
      </c>
      <c r="N234" s="344">
        <f>_xll.qlCalendarAdvance(Calendar,M234,"3M","mf",,Trigger)</f>
        <v>49272</v>
      </c>
      <c r="O234" s="40" t="str">
        <f>_xll.qlMakeDatedOIS(,M234,N234,OvernightIndex,0,,,,EvaluationDate)</f>
        <v>obj_006ca#0000</v>
      </c>
      <c r="P234" s="40" t="b">
        <f>_xll.qlInstrumentSetPricingEngine(O234,OisEngine)</f>
        <v>1</v>
      </c>
      <c r="Q234" s="38">
        <f>_xll.qlIndexFixing(Currency&amp;IborType&amp;"3M",_xll.qlInterestRateIndexFixingDate(Currency&amp;IborType&amp;"3M",M234),TRUE,AllTriggers)</f>
        <v>2.2939372814190423E-2</v>
      </c>
      <c r="R234" s="38">
        <f>_xll.qlOvernightIndexedSwapFairRate(O234,AllTriggers)</f>
        <v>2.2128833098926368E-2</v>
      </c>
      <c r="S234" s="345">
        <f t="shared" si="5"/>
        <v>8.1053971526405533E-4</v>
      </c>
    </row>
    <row r="235" spans="5:19" ht="11.25" customHeight="1" x14ac:dyDescent="0.2">
      <c r="E235" s="254"/>
      <c r="F235" s="254"/>
      <c r="G235" s="39"/>
      <c r="J235" s="39"/>
      <c r="K235" s="39"/>
      <c r="M235" s="346">
        <f>_xll.qlCalendarAdvance(Calendar,M234,"1M","f",,Trigger)</f>
        <v>49212</v>
      </c>
      <c r="N235" s="344">
        <f>_xll.qlCalendarAdvance(Calendar,M235,"3M","mf",,Trigger)</f>
        <v>49305</v>
      </c>
      <c r="O235" s="40" t="str">
        <f>_xll.qlMakeDatedOIS(,M235,N235,OvernightIndex,0,,,,EvaluationDate)</f>
        <v>obj_006cc#0000</v>
      </c>
      <c r="P235" s="40" t="b">
        <f>_xll.qlInstrumentSetPricingEngine(O235,OisEngine)</f>
        <v>1</v>
      </c>
      <c r="Q235" s="38">
        <f>_xll.qlIndexFixing(Currency&amp;IborType&amp;"3M",_xll.qlInterestRateIndexFixingDate(Currency&amp;IborType&amp;"3M",M235),TRUE,AllTriggers)</f>
        <v>2.2898847083082829E-2</v>
      </c>
      <c r="R235" s="38">
        <f>_xll.qlOvernightIndexedSwapFairRate(O235,AllTriggers)</f>
        <v>2.2091550021938165E-2</v>
      </c>
      <c r="S235" s="345">
        <f t="shared" si="5"/>
        <v>8.0729706114466421E-4</v>
      </c>
    </row>
    <row r="236" spans="5:19" ht="11.25" customHeight="1" x14ac:dyDescent="0.2">
      <c r="E236" s="254"/>
      <c r="F236" s="254"/>
      <c r="G236" s="39"/>
      <c r="J236" s="39"/>
      <c r="K236" s="39"/>
      <c r="M236" s="346">
        <f>_xll.qlCalendarAdvance(Calendar,M235,"1M","f",,Trigger)</f>
        <v>49242</v>
      </c>
      <c r="N236" s="344">
        <f>_xll.qlCalendarAdvance(Calendar,M236,"3M","mf",,Trigger)</f>
        <v>49334</v>
      </c>
      <c r="O236" s="40" t="str">
        <f>_xll.qlMakeDatedOIS(,M236,N236,OvernightIndex,0,,,,EvaluationDate)</f>
        <v>obj_006cd#0000</v>
      </c>
      <c r="P236" s="40" t="b">
        <f>_xll.qlInstrumentSetPricingEngine(O236,OisEngine)</f>
        <v>1</v>
      </c>
      <c r="Q236" s="38">
        <f>_xll.qlIndexFixing(Currency&amp;IborType&amp;"3M",_xll.qlInterestRateIndexFixingDate(Currency&amp;IborType&amp;"3M",M236),TRUE,AllTriggers)</f>
        <v>2.2860463229914918E-2</v>
      </c>
      <c r="R236" s="38">
        <f>_xll.qlOvernightIndexedSwapFairRate(O236,AllTriggers)</f>
        <v>2.205616343920706E-2</v>
      </c>
      <c r="S236" s="345">
        <f t="shared" si="5"/>
        <v>8.042997907078582E-4</v>
      </c>
    </row>
    <row r="237" spans="5:19" ht="11.25" customHeight="1" x14ac:dyDescent="0.2">
      <c r="E237" s="254"/>
      <c r="F237" s="254"/>
      <c r="G237" s="39"/>
      <c r="J237" s="39"/>
      <c r="K237" s="39"/>
      <c r="M237" s="346">
        <f>_xll.qlCalendarAdvance(Calendar,M236,"1M","f",,Trigger)</f>
        <v>49275</v>
      </c>
      <c r="N237" s="344">
        <f>_xll.qlCalendarAdvance(Calendar,M237,"3M","mf",,Trigger)</f>
        <v>49367</v>
      </c>
      <c r="O237" s="40" t="str">
        <f>_xll.qlMakeDatedOIS(,M237,N237,OvernightIndex,0,,,,EvaluationDate)</f>
        <v>obj_006ce#0000</v>
      </c>
      <c r="P237" s="40" t="b">
        <f>_xll.qlInstrumentSetPricingEngine(O237,OisEngine)</f>
        <v>1</v>
      </c>
      <c r="Q237" s="38">
        <f>_xll.qlIndexFixing(Currency&amp;IborType&amp;"3M",_xll.qlInterestRateIndexFixingDate(Currency&amp;IborType&amp;"3M",M237),TRUE,AllTriggers)</f>
        <v>2.2818311091875744E-2</v>
      </c>
      <c r="R237" s="38">
        <f>_xll.qlOvernightIndexedSwapFairRate(O237,AllTriggers)</f>
        <v>2.2017290054057073E-2</v>
      </c>
      <c r="S237" s="345">
        <f t="shared" si="5"/>
        <v>8.0102103781867079E-4</v>
      </c>
    </row>
    <row r="238" spans="5:19" ht="11.25" customHeight="1" x14ac:dyDescent="0.2">
      <c r="E238" s="254"/>
      <c r="F238" s="254"/>
      <c r="G238" s="39"/>
      <c r="J238" s="39"/>
      <c r="K238" s="39"/>
      <c r="M238" s="346">
        <f>_xll.qlCalendarAdvance(Calendar,M237,"1M","f",,Trigger)</f>
        <v>49305</v>
      </c>
      <c r="N238" s="344">
        <f>_xll.qlCalendarAdvance(Calendar,M238,"3M","mf",,Trigger)</f>
        <v>49395</v>
      </c>
      <c r="O238" s="40" t="str">
        <f>_xll.qlMakeDatedOIS(,M238,N238,OvernightIndex,0,,,,EvaluationDate)</f>
        <v>obj_006d0#0000</v>
      </c>
      <c r="P238" s="40" t="b">
        <f>_xll.qlInstrumentSetPricingEngine(O238,OisEngine)</f>
        <v>1</v>
      </c>
      <c r="Q238" s="38">
        <f>_xll.qlIndexFixing(Currency&amp;IborType&amp;"3M",_xll.qlInterestRateIndexFixingDate(Currency&amp;IborType&amp;"3M",M238),TRUE,AllTriggers)</f>
        <v>2.2779859623493159E-2</v>
      </c>
      <c r="R238" s="38">
        <f>_xll.qlOvernightIndexedSwapFairRate(O238,AllTriggers)</f>
        <v>2.1981811191753131E-2</v>
      </c>
      <c r="S238" s="345">
        <f t="shared" si="5"/>
        <v>7.9804843174002826E-4</v>
      </c>
    </row>
    <row r="239" spans="5:19" ht="11.25" customHeight="1" x14ac:dyDescent="0.2">
      <c r="E239" s="254"/>
      <c r="F239" s="254"/>
      <c r="G239" s="39"/>
      <c r="J239" s="39"/>
      <c r="K239" s="39"/>
      <c r="M239" s="346">
        <f>_xll.qlCalendarAdvance(Calendar,M238,"1M","f",,Trigger)</f>
        <v>49338</v>
      </c>
      <c r="N239" s="344">
        <f>_xll.qlCalendarAdvance(Calendar,M239,"3M","mf",,Trigger)</f>
        <v>49429</v>
      </c>
      <c r="O239" s="40" t="str">
        <f>_xll.qlMakeDatedOIS(,M239,N239,OvernightIndex,0,,,,EvaluationDate)</f>
        <v>obj_006d1#0000</v>
      </c>
      <c r="P239" s="40" t="b">
        <f>_xll.qlInstrumentSetPricingEngine(O239,OisEngine)</f>
        <v>1</v>
      </c>
      <c r="Q239" s="38">
        <f>_xll.qlIndexFixing(Currency&amp;IborType&amp;"3M",_xll.qlInterestRateIndexFixingDate(Currency&amp;IborType&amp;"3M",M239),TRUE,AllTriggers)</f>
        <v>2.2737862430324007E-2</v>
      </c>
      <c r="R239" s="38">
        <f>_xll.qlOvernightIndexedSwapFairRate(O239,AllTriggers)</f>
        <v>2.1943074515000854E-2</v>
      </c>
      <c r="S239" s="345">
        <f t="shared" si="5"/>
        <v>7.9478791532315227E-4</v>
      </c>
    </row>
    <row r="240" spans="5:19" ht="11.25" customHeight="1" x14ac:dyDescent="0.2">
      <c r="E240" s="254"/>
      <c r="F240" s="254"/>
      <c r="G240" s="39"/>
      <c r="J240" s="39"/>
      <c r="K240" s="39"/>
      <c r="M240" s="346">
        <f>_xll.qlCalendarAdvance(Calendar,M239,"1M","f",,Trigger)</f>
        <v>49368</v>
      </c>
      <c r="N240" s="344">
        <f>_xll.qlCalendarAdvance(Calendar,M240,"3M","mf",,Trigger)</f>
        <v>49457</v>
      </c>
      <c r="O240" s="40" t="str">
        <f>_xll.qlMakeDatedOIS(,M240,N240,OvernightIndex,0,,,,EvaluationDate)</f>
        <v>obj_006d2#0000</v>
      </c>
      <c r="P240" s="40" t="b">
        <f>_xll.qlInstrumentSetPricingEngine(O240,OisEngine)</f>
        <v>1</v>
      </c>
      <c r="Q240" s="38">
        <f>_xll.qlIndexFixing(Currency&amp;IborType&amp;"3M",_xll.qlInterestRateIndexFixingDate(Currency&amp;IborType&amp;"3M",M240),TRUE,AllTriggers)</f>
        <v>2.2699719002631284E-2</v>
      </c>
      <c r="R240" s="38">
        <f>_xll.qlOvernightIndexedSwapFairRate(O240,AllTriggers)</f>
        <v>2.1907653232893478E-2</v>
      </c>
      <c r="S240" s="345">
        <f t="shared" si="5"/>
        <v>7.9206576973780626E-4</v>
      </c>
    </row>
    <row r="241" spans="5:19" ht="11.25" customHeight="1" x14ac:dyDescent="0.2">
      <c r="E241" s="254"/>
      <c r="F241" s="254"/>
      <c r="G241" s="39"/>
      <c r="J241" s="39"/>
      <c r="K241" s="39"/>
      <c r="M241" s="346">
        <f>_xll.qlCalendarAdvance(Calendar,M240,"1M","f",,Trigger)</f>
        <v>49396</v>
      </c>
      <c r="N241" s="344">
        <f>_xll.qlCalendarAdvance(Calendar,M241,"3M","mf",,Trigger)</f>
        <v>49488</v>
      </c>
      <c r="O241" s="40" t="str">
        <f>_xll.qlMakeDatedOIS(,M241,N241,OvernightIndex,0,,,,EvaluationDate)</f>
        <v>obj_006d3#0000</v>
      </c>
      <c r="P241" s="40" t="b">
        <f>_xll.qlInstrumentSetPricingEngine(O241,OisEngine)</f>
        <v>1</v>
      </c>
      <c r="Q241" s="38">
        <f>_xll.qlIndexFixing(Currency&amp;IborType&amp;"3M",_xll.qlInterestRateIndexFixingDate(Currency&amp;IborType&amp;"3M",M241),TRUE,AllTriggers)</f>
        <v>2.2664071983556477E-2</v>
      </c>
      <c r="R241" s="38">
        <f>_xll.qlOvernightIndexedSwapFairRate(O241,AllTriggers)</f>
        <v>2.1874992308089796E-2</v>
      </c>
      <c r="S241" s="345">
        <f t="shared" si="5"/>
        <v>7.8907967546668067E-4</v>
      </c>
    </row>
    <row r="242" spans="5:19" ht="11.25" customHeight="1" x14ac:dyDescent="0.2">
      <c r="E242" s="254"/>
      <c r="F242" s="254"/>
      <c r="G242" s="39"/>
      <c r="J242" s="39"/>
      <c r="K242" s="39"/>
      <c r="M242" s="346">
        <f>_xll.qlCalendarAdvance(Calendar,M241,"1M","f",,Trigger)</f>
        <v>49429</v>
      </c>
      <c r="N242" s="344">
        <f>_xll.qlCalendarAdvance(Calendar,M242,"3M","mf",,Trigger)</f>
        <v>49520</v>
      </c>
      <c r="O242" s="40" t="str">
        <f>_xll.qlMakeDatedOIS(,M242,N242,OvernightIndex,0,,,,EvaluationDate)</f>
        <v>obj_006d5#0000</v>
      </c>
      <c r="P242" s="40" t="b">
        <f>_xll.qlInstrumentSetPricingEngine(O242,OisEngine)</f>
        <v>1</v>
      </c>
      <c r="Q242" s="38">
        <f>_xll.qlIndexFixing(Currency&amp;IborType&amp;"3M",_xll.qlInterestRateIndexFixingDate(Currency&amp;IborType&amp;"3M",M242),TRUE,AllTriggers)</f>
        <v>2.2622093959599587E-2</v>
      </c>
      <c r="R242" s="38">
        <f>_xll.qlOvernightIndexedSwapFairRate(O242,AllTriggers)</f>
        <v>2.1836174612209099E-2</v>
      </c>
      <c r="S242" s="345">
        <f t="shared" si="5"/>
        <v>7.8591934739048741E-4</v>
      </c>
    </row>
    <row r="243" spans="5:19" ht="11.25" customHeight="1" x14ac:dyDescent="0.2">
      <c r="E243" s="254"/>
      <c r="F243" s="254"/>
      <c r="G243" s="39"/>
      <c r="J243" s="39"/>
      <c r="K243" s="39"/>
      <c r="M243" s="346">
        <f>_xll.qlCalendarAdvance(Calendar,M242,"1M","f",,Trigger)</f>
        <v>49459</v>
      </c>
      <c r="N243" s="344">
        <f>_xll.qlCalendarAdvance(Calendar,M243,"3M","mf",,Trigger)</f>
        <v>49551</v>
      </c>
      <c r="O243" s="40" t="str">
        <f>_xll.qlMakeDatedOIS(,M243,N243,OvernightIndex,0,,,,EvaluationDate)</f>
        <v>obj_00a21#0000</v>
      </c>
      <c r="P243" s="40" t="b">
        <f>_xll.qlInstrumentSetPricingEngine(O243,OisEngine)</f>
        <v>1</v>
      </c>
      <c r="Q243" s="38">
        <f>_xll.qlIndexFixing(Currency&amp;IborType&amp;"3M",_xll.qlInterestRateIndexFixingDate(Currency&amp;IborType&amp;"3M",M243),TRUE,AllTriggers)</f>
        <v>2.258396454279132E-2</v>
      </c>
      <c r="R243" s="38">
        <f>_xll.qlOvernightIndexedSwapFairRate(O243,AllTriggers)</f>
        <v>2.1801052138331566E-2</v>
      </c>
      <c r="S243" s="345">
        <f t="shared" si="5"/>
        <v>7.8291240445975407E-4</v>
      </c>
    </row>
    <row r="244" spans="5:19" ht="11.25" customHeight="1" x14ac:dyDescent="0.2">
      <c r="E244" s="254"/>
      <c r="F244" s="254"/>
      <c r="G244" s="39"/>
      <c r="J244" s="39"/>
      <c r="K244" s="39"/>
      <c r="M244" s="346">
        <f>_xll.qlCalendarAdvance(Calendar,M243,"1M","f",,Trigger)</f>
        <v>49492</v>
      </c>
      <c r="N244" s="344">
        <f>_xll.qlCalendarAdvance(Calendar,M244,"3M","mf",,Trigger)</f>
        <v>49584</v>
      </c>
      <c r="O244" s="40" t="str">
        <f>_xll.qlMakeDatedOIS(,M244,N244,OvernightIndex,0,,,,EvaluationDate)</f>
        <v>obj_006d6#0000</v>
      </c>
      <c r="P244" s="40" t="b">
        <f>_xll.qlInstrumentSetPricingEngine(O244,OisEngine)</f>
        <v>1</v>
      </c>
      <c r="Q244" s="38">
        <f>_xll.qlIndexFixing(Currency&amp;IborType&amp;"3M",_xll.qlInterestRateIndexFixingDate(Currency&amp;IborType&amp;"3M",M244),TRUE,AllTriggers)</f>
        <v>2.2542057848674725E-2</v>
      </c>
      <c r="R244" s="38">
        <f>_xll.qlOvernightIndexedSwapFairRate(O244,AllTriggers)</f>
        <v>2.176236221986343E-2</v>
      </c>
      <c r="S244" s="345">
        <f t="shared" si="5"/>
        <v>7.7969562881129509E-4</v>
      </c>
    </row>
    <row r="245" spans="5:19" ht="11.25" customHeight="1" x14ac:dyDescent="0.2">
      <c r="E245" s="254"/>
      <c r="F245" s="254"/>
      <c r="G245" s="39"/>
      <c r="J245" s="39"/>
      <c r="K245" s="39"/>
      <c r="M245" s="346">
        <f>_xll.qlCalendarAdvance(Calendar,M244,"1M","f",,Trigger)</f>
        <v>49523</v>
      </c>
      <c r="N245" s="344">
        <f>_xll.qlCalendarAdvance(Calendar,M245,"3M","mf",,Trigger)</f>
        <v>49615</v>
      </c>
      <c r="O245" s="40" t="str">
        <f>_xll.qlMakeDatedOIS(,M245,N245,OvernightIndex,0,,,,EvaluationDate)</f>
        <v>obj_006d7#0000</v>
      </c>
      <c r="P245" s="40" t="b">
        <f>_xll.qlInstrumentSetPricingEngine(O245,OisEngine)</f>
        <v>1</v>
      </c>
      <c r="Q245" s="38">
        <f>_xll.qlIndexFixing(Currency&amp;IborType&amp;"3M",_xll.qlInterestRateIndexFixingDate(Currency&amp;IborType&amp;"3M",M245),TRUE,AllTriggers)</f>
        <v>2.2502724987864615E-2</v>
      </c>
      <c r="R245" s="38">
        <f>_xll.qlOvernightIndexedSwapFairRate(O245,AllTriggers)</f>
        <v>2.1726042599455733E-2</v>
      </c>
      <c r="S245" s="345">
        <f t="shared" si="5"/>
        <v>7.7668238840888221E-4</v>
      </c>
    </row>
    <row r="246" spans="5:19" ht="11.25" customHeight="1" x14ac:dyDescent="0.2">
      <c r="E246" s="254"/>
      <c r="F246" s="254"/>
      <c r="G246" s="39"/>
      <c r="J246" s="39"/>
      <c r="K246" s="39"/>
      <c r="M246" s="346">
        <f>_xll.qlCalendarAdvance(Calendar,M245,"1M","f",,Trigger)</f>
        <v>49555</v>
      </c>
      <c r="N246" s="344">
        <f>_xll.qlCalendarAdvance(Calendar,M246,"3M","mf",,Trigger)</f>
        <v>49646</v>
      </c>
      <c r="O246" s="40" t="str">
        <f>_xll.qlMakeDatedOIS(,M246,N246,OvernightIndex,0,,,,EvaluationDate)</f>
        <v>obj_006d8#0000</v>
      </c>
      <c r="P246" s="40" t="b">
        <f>_xll.qlInstrumentSetPricingEngine(O246,OisEngine)</f>
        <v>1</v>
      </c>
      <c r="Q246" s="38">
        <f>_xll.qlIndexFixing(Currency&amp;IborType&amp;"3M",_xll.qlInterestRateIndexFixingDate(Currency&amp;IborType&amp;"3M",M246),TRUE,AllTriggers)</f>
        <v>2.2462091788914045E-2</v>
      </c>
      <c r="R246" s="38">
        <f>_xll.qlOvernightIndexedSwapFairRate(O246,AllTriggers)</f>
        <v>2.168851009998074E-2</v>
      </c>
      <c r="S246" s="345">
        <f t="shared" si="5"/>
        <v>7.7358168893330512E-4</v>
      </c>
    </row>
    <row r="247" spans="5:19" ht="11.25" customHeight="1" x14ac:dyDescent="0.2">
      <c r="E247" s="254"/>
      <c r="F247" s="254"/>
      <c r="G247" s="39"/>
      <c r="J247" s="39"/>
      <c r="K247" s="39"/>
      <c r="M247" s="346">
        <f>_xll.qlCalendarAdvance(Calendar,M246,"1M","f",,Trigger)</f>
        <v>49585</v>
      </c>
      <c r="N247" s="344">
        <f>_xll.qlCalendarAdvance(Calendar,M247,"3M","mf",,Trigger)</f>
        <v>49677</v>
      </c>
      <c r="O247" s="40" t="str">
        <f>_xll.qlMakeDatedOIS(,M247,N247,OvernightIndex,0,,,,EvaluationDate)</f>
        <v>obj_006da#0000</v>
      </c>
      <c r="P247" s="40" t="b">
        <f>_xll.qlInstrumentSetPricingEngine(O247,OisEngine)</f>
        <v>1</v>
      </c>
      <c r="Q247" s="38">
        <f>_xll.qlIndexFixing(Currency&amp;IborType&amp;"3M",_xll.qlInterestRateIndexFixingDate(Currency&amp;IborType&amp;"3M",M247),TRUE,AllTriggers)</f>
        <v>2.2424158172589248E-2</v>
      </c>
      <c r="R247" s="38">
        <f>_xll.qlOvernightIndexedSwapFairRate(O247,AllTriggers)</f>
        <v>2.1653477333081688E-2</v>
      </c>
      <c r="S247" s="345">
        <f t="shared" si="5"/>
        <v>7.7068083950755997E-4</v>
      </c>
    </row>
    <row r="248" spans="5:19" ht="11.25" customHeight="1" x14ac:dyDescent="0.2">
      <c r="E248" s="254"/>
      <c r="F248" s="254"/>
      <c r="G248" s="39"/>
      <c r="J248" s="39"/>
      <c r="K248" s="39"/>
      <c r="M248" s="346">
        <f>_xll.qlCalendarAdvance(Calendar,M247,"1M","f",,Trigger)</f>
        <v>49618</v>
      </c>
      <c r="N248" s="344">
        <f>_xll.qlCalendarAdvance(Calendar,M248,"3M","mf",,Trigger)</f>
        <v>49710</v>
      </c>
      <c r="O248" s="40" t="str">
        <f>_xll.qlMakeDatedOIS(,M248,N248,OvernightIndex,0,,,,EvaluationDate)</f>
        <v>obj_006db#0000</v>
      </c>
      <c r="P248" s="40" t="b">
        <f>_xll.qlInstrumentSetPricingEngine(O248,OisEngine)</f>
        <v>1</v>
      </c>
      <c r="Q248" s="38">
        <f>_xll.qlIndexFixing(Currency&amp;IborType&amp;"3M",_xll.qlInterestRateIndexFixingDate(Currency&amp;IborType&amp;"3M",M248),TRUE,AllTriggers)</f>
        <v>2.238239412521403E-2</v>
      </c>
      <c r="R248" s="38">
        <f>_xll.qlOvernightIndexedSwapFairRate(O248,AllTriggers)</f>
        <v>2.1614894103592946E-2</v>
      </c>
      <c r="S248" s="345">
        <f t="shared" si="5"/>
        <v>7.6750002162108422E-4</v>
      </c>
    </row>
    <row r="249" spans="5:19" ht="11.25" customHeight="1" x14ac:dyDescent="0.2">
      <c r="E249" s="254"/>
      <c r="F249" s="254"/>
      <c r="G249" s="39"/>
      <c r="J249" s="39"/>
      <c r="K249" s="39"/>
      <c r="M249" s="346">
        <f>_xll.qlCalendarAdvance(Calendar,M248,"1M","f",,Trigger)</f>
        <v>49648</v>
      </c>
      <c r="N249" s="344">
        <f>_xll.qlCalendarAdvance(Calendar,M249,"3M","mf",,Trigger)</f>
        <v>49739</v>
      </c>
      <c r="O249" s="40" t="str">
        <f>_xll.qlMakeDatedOIS(,M249,N249,OvernightIndex,0,,,,EvaluationDate)</f>
        <v>obj_006dc#0000</v>
      </c>
      <c r="P249" s="40" t="b">
        <f>_xll.qlInstrumentSetPricingEngine(O249,OisEngine)</f>
        <v>1</v>
      </c>
      <c r="Q249" s="38">
        <f>_xll.qlIndexFixing(Currency&amp;IborType&amp;"3M",_xll.qlInterestRateIndexFixingDate(Currency&amp;IborType&amp;"3M",M249),TRUE,AllTriggers)</f>
        <v>2.2344398817580526E-2</v>
      </c>
      <c r="R249" s="38">
        <f>_xll.qlOvernightIndexedSwapFairRate(O249,AllTriggers)</f>
        <v>2.1579780866884165E-2</v>
      </c>
      <c r="S249" s="345">
        <f t="shared" si="5"/>
        <v>7.646179506963606E-4</v>
      </c>
    </row>
    <row r="250" spans="5:19" ht="11.25" customHeight="1" x14ac:dyDescent="0.2">
      <c r="E250" s="254"/>
      <c r="F250" s="254"/>
      <c r="G250" s="39"/>
      <c r="J250" s="39"/>
      <c r="K250" s="39"/>
      <c r="M250" s="346">
        <f>_xll.qlCalendarAdvance(Calendar,M249,"1M","f",,Trigger)</f>
        <v>49681</v>
      </c>
      <c r="N250" s="344">
        <f>_xll.qlCalendarAdvance(Calendar,M250,"3M","mf",,Trigger)</f>
        <v>49772</v>
      </c>
      <c r="O250" s="40" t="str">
        <f>_xll.qlMakeDatedOIS(,M250,N250,OvernightIndex,0,,,,EvaluationDate)</f>
        <v>obj_006dd#0000</v>
      </c>
      <c r="P250" s="40" t="b">
        <f>_xll.qlInstrumentSetPricingEngine(O250,OisEngine)</f>
        <v>1</v>
      </c>
      <c r="Q250" s="38">
        <f>_xll.qlIndexFixing(Currency&amp;IborType&amp;"3M",_xll.qlInterestRateIndexFixingDate(Currency&amp;IborType&amp;"3M",M250),TRUE,AllTriggers)</f>
        <v>2.2302708099183857E-2</v>
      </c>
      <c r="R250" s="38">
        <f>_xll.qlOvernightIndexedSwapFairRate(O250,AllTriggers)</f>
        <v>2.1541252855368939E-2</v>
      </c>
      <c r="S250" s="345">
        <f t="shared" si="5"/>
        <v>7.6145524381491733E-4</v>
      </c>
    </row>
    <row r="251" spans="5:19" ht="11.25" customHeight="1" x14ac:dyDescent="0.2">
      <c r="E251" s="254"/>
      <c r="F251" s="254"/>
      <c r="G251" s="39"/>
      <c r="J251" s="39"/>
      <c r="K251" s="39"/>
      <c r="M251" s="346">
        <f>_xll.qlCalendarAdvance(Calendar,M250,"1M","f",,Trigger)</f>
        <v>49712</v>
      </c>
      <c r="N251" s="344">
        <f>_xll.qlCalendarAdvance(Calendar,M251,"3M","mf",,Trigger)</f>
        <v>49802</v>
      </c>
      <c r="O251" s="40" t="str">
        <f>_xll.qlMakeDatedOIS(,M251,N251,OvernightIndex,0,,,,EvaluationDate)</f>
        <v>obj_00886#0000</v>
      </c>
      <c r="P251" s="40" t="b">
        <f>_xll.qlInstrumentSetPricingEngine(O251,OisEngine)</f>
        <v>1</v>
      </c>
      <c r="Q251" s="38">
        <f>_xll.qlIndexFixing(Currency&amp;IborType&amp;"3M",_xll.qlInterestRateIndexFixingDate(Currency&amp;IborType&amp;"3M",M251),TRUE,AllTriggers)</f>
        <v>2.2263521560534016E-2</v>
      </c>
      <c r="R251" s="38">
        <f>_xll.qlOvernightIndexedSwapFairRate(O251,AllTriggers)</f>
        <v>2.1505027101891727E-2</v>
      </c>
      <c r="S251" s="345">
        <f t="shared" si="5"/>
        <v>7.5849445864228926E-4</v>
      </c>
    </row>
    <row r="252" spans="5:19" ht="11.25" customHeight="1" x14ac:dyDescent="0.2">
      <c r="E252" s="254"/>
      <c r="F252" s="254"/>
      <c r="G252" s="39"/>
      <c r="J252" s="39"/>
      <c r="K252" s="39"/>
      <c r="M252" s="346">
        <f>_xll.qlCalendarAdvance(Calendar,M251,"1M","f",,Trigger)</f>
        <v>49741</v>
      </c>
      <c r="N252" s="344">
        <f>_xll.qlCalendarAdvance(Calendar,M252,"3M","mf",,Trigger)</f>
        <v>49835</v>
      </c>
      <c r="O252" s="40" t="str">
        <f>_xll.qlMakeDatedOIS(,M252,N252,OvernightIndex,0,,,,EvaluationDate)</f>
        <v>obj_006df#0000</v>
      </c>
      <c r="P252" s="40" t="b">
        <f>_xll.qlInstrumentSetPricingEngine(O252,OisEngine)</f>
        <v>1</v>
      </c>
      <c r="Q252" s="38">
        <f>_xll.qlIndexFixing(Currency&amp;IborType&amp;"3M",_xll.qlInterestRateIndexFixingDate(Currency&amp;IborType&amp;"3M",M252),TRUE,AllTriggers)</f>
        <v>2.2227166632847146E-2</v>
      </c>
      <c r="R252" s="38">
        <f>_xll.qlOvernightIndexedSwapFairRate(O252,AllTriggers)</f>
        <v>2.1471443007711366E-2</v>
      </c>
      <c r="S252" s="345">
        <f t="shared" si="5"/>
        <v>7.5572362513577976E-4</v>
      </c>
    </row>
    <row r="253" spans="5:19" ht="11.25" customHeight="1" x14ac:dyDescent="0.2">
      <c r="E253" s="254"/>
      <c r="F253" s="254"/>
      <c r="G253" s="39"/>
      <c r="J253" s="39"/>
      <c r="K253" s="39"/>
      <c r="M253" s="346">
        <f>_xll.qlCalendarAdvance(Calendar,M252,"1M","f",,Trigger)</f>
        <v>49772</v>
      </c>
      <c r="N253" s="344">
        <f>_xll.qlCalendarAdvance(Calendar,M253,"3M","mf",,Trigger)</f>
        <v>49863</v>
      </c>
      <c r="O253" s="40" t="str">
        <f>_xll.qlMakeDatedOIS(,M253,N253,OvernightIndex,0,,,,EvaluationDate)</f>
        <v>obj_006e0#0000</v>
      </c>
      <c r="P253" s="40" t="b">
        <f>_xll.qlInstrumentSetPricingEngine(O253,OisEngine)</f>
        <v>1</v>
      </c>
      <c r="Q253" s="38">
        <f>_xll.qlIndexFixing(Currency&amp;IborType&amp;"3M",_xll.qlInterestRateIndexFixingDate(Currency&amp;IborType&amp;"3M",M253),TRUE,AllTriggers)</f>
        <v>2.2187936275875349E-2</v>
      </c>
      <c r="R253" s="38">
        <f>_xll.qlOvernightIndexedSwapFairRate(O253,AllTriggers)</f>
        <v>2.1435153660887392E-2</v>
      </c>
      <c r="S253" s="345">
        <f t="shared" si="5"/>
        <v>7.5278261498795684E-4</v>
      </c>
    </row>
    <row r="254" spans="5:19" ht="11.25" customHeight="1" x14ac:dyDescent="0.2">
      <c r="E254" s="254"/>
      <c r="F254" s="254"/>
      <c r="G254" s="39"/>
      <c r="J254" s="39"/>
      <c r="K254" s="39"/>
      <c r="M254" s="346">
        <f>_xll.qlCalendarAdvance(Calendar,M253,"1M","f",,Trigger)</f>
        <v>49802</v>
      </c>
      <c r="N254" s="344">
        <f>_xll.qlCalendarAdvance(Calendar,M254,"3M","mf",,Trigger)</f>
        <v>49894</v>
      </c>
      <c r="O254" s="40" t="str">
        <f>_xll.qlMakeDatedOIS(,M254,N254,OvernightIndex,0,,,,EvaluationDate)</f>
        <v>obj_006e1#0000</v>
      </c>
      <c r="P254" s="40" t="b">
        <f>_xll.qlInstrumentSetPricingEngine(O254,OisEngine)</f>
        <v>1</v>
      </c>
      <c r="Q254" s="38">
        <f>_xll.qlIndexFixing(Currency&amp;IborType&amp;"3M",_xll.qlInterestRateIndexFixingDate(Currency&amp;IborType&amp;"3M",M254),TRUE,AllTriggers)</f>
        <v>2.2150212733055528E-2</v>
      </c>
      <c r="R254" s="38">
        <f>_xll.qlOvernightIndexedSwapFairRate(O254,AllTriggers)</f>
        <v>2.1400275561520868E-2</v>
      </c>
      <c r="S254" s="345">
        <f t="shared" si="5"/>
        <v>7.4993717153466061E-4</v>
      </c>
    </row>
    <row r="255" spans="5:19" ht="11.25" customHeight="1" x14ac:dyDescent="0.2">
      <c r="E255" s="254"/>
      <c r="F255" s="254"/>
      <c r="G255" s="39"/>
      <c r="J255" s="39"/>
      <c r="K255" s="39"/>
      <c r="M255" s="346">
        <f>_xll.qlCalendarAdvance(Calendar,M254,"1M","f",,Trigger)</f>
        <v>49835</v>
      </c>
      <c r="N255" s="344">
        <f>_xll.qlCalendarAdvance(Calendar,M255,"3M","mf",,Trigger)</f>
        <v>49927</v>
      </c>
      <c r="O255" s="40" t="str">
        <f>_xll.qlMakeDatedOIS(,M255,N255,OvernightIndex,0,,,,EvaluationDate)</f>
        <v>obj_006e2#0000</v>
      </c>
      <c r="P255" s="40" t="b">
        <f>_xll.qlInstrumentSetPricingEngine(O255,OisEngine)</f>
        <v>1</v>
      </c>
      <c r="Q255" s="38">
        <f>_xll.qlIndexFixing(Currency&amp;IborType&amp;"3M",_xll.qlInterestRateIndexFixingDate(Currency&amp;IborType&amp;"3M",M255),TRUE,AllTriggers)</f>
        <v>2.2108694314779978E-2</v>
      </c>
      <c r="R255" s="38">
        <f>_xll.qlOvernightIndexedSwapFairRate(O255,AllTriggers)</f>
        <v>2.1361876046347192E-2</v>
      </c>
      <c r="S255" s="345">
        <f t="shared" si="5"/>
        <v>7.468182684327862E-4</v>
      </c>
    </row>
    <row r="256" spans="5:19" ht="11.25" customHeight="1" x14ac:dyDescent="0.2">
      <c r="E256" s="254"/>
      <c r="F256" s="254"/>
      <c r="G256" s="39"/>
      <c r="J256" s="39"/>
      <c r="K256" s="39"/>
      <c r="M256" s="346">
        <f>_xll.qlCalendarAdvance(Calendar,M255,"1M","f",,Trigger)</f>
        <v>49865</v>
      </c>
      <c r="N256" s="344">
        <f>_xll.qlCalendarAdvance(Calendar,M256,"3M","mf",,Trigger)</f>
        <v>49957</v>
      </c>
      <c r="O256" s="40" t="str">
        <f>_xll.qlMakeDatedOIS(,M256,N256,OvernightIndex,0,,,,EvaluationDate)</f>
        <v>obj_006e3#0000</v>
      </c>
      <c r="P256" s="40" t="b">
        <f>_xll.qlInstrumentSetPricingEngine(O256,OisEngine)</f>
        <v>1</v>
      </c>
      <c r="Q256" s="38">
        <f>_xll.qlIndexFixing(Currency&amp;IborType&amp;"3M",_xll.qlInterestRateIndexFixingDate(Currency&amp;IborType&amp;"3M",M256),TRUE,AllTriggers)</f>
        <v>2.2070982708732482E-2</v>
      </c>
      <c r="R256" s="38">
        <f>_xll.qlOvernightIndexedSwapFairRate(O256,AllTriggers)</f>
        <v>2.1326991637365719E-2</v>
      </c>
      <c r="S256" s="345">
        <f t="shared" si="5"/>
        <v>7.439910713667626E-4</v>
      </c>
    </row>
    <row r="257" spans="5:19" ht="11.25" customHeight="1" x14ac:dyDescent="0.2">
      <c r="E257" s="254"/>
      <c r="F257" s="254"/>
      <c r="G257" s="39"/>
      <c r="J257" s="39"/>
      <c r="K257" s="39"/>
      <c r="M257" s="346">
        <f>_xll.qlCalendarAdvance(Calendar,M256,"1M","f",,Trigger)</f>
        <v>49898</v>
      </c>
      <c r="N257" s="344">
        <f>_xll.qlCalendarAdvance(Calendar,M257,"3M","mf",,Trigger)</f>
        <v>49990</v>
      </c>
      <c r="O257" s="40" t="str">
        <f>_xll.qlMakeDatedOIS(,M257,N257,OvernightIndex,0,,,,EvaluationDate)</f>
        <v>obj_006e5#0000</v>
      </c>
      <c r="P257" s="40" t="b">
        <f>_xll.qlInstrumentSetPricingEngine(O257,OisEngine)</f>
        <v>1</v>
      </c>
      <c r="Q257" s="38">
        <f>_xll.qlIndexFixing(Currency&amp;IborType&amp;"3M",_xll.qlInterestRateIndexFixingDate(Currency&amp;IborType&amp;"3M",M257),TRUE,AllTriggers)</f>
        <v>2.2029535592617628E-2</v>
      </c>
      <c r="R257" s="38">
        <f>_xll.qlOvernightIndexedSwapFairRate(O257,AllTriggers)</f>
        <v>2.1288645452033447E-2</v>
      </c>
      <c r="S257" s="345">
        <f t="shared" si="5"/>
        <v>7.4089014058418071E-4</v>
      </c>
    </row>
    <row r="258" spans="5:19" ht="11.25" customHeight="1" x14ac:dyDescent="0.2">
      <c r="E258" s="254"/>
      <c r="F258" s="254"/>
      <c r="G258" s="39"/>
      <c r="J258" s="39"/>
      <c r="K258" s="39"/>
      <c r="M258" s="346">
        <f>_xll.qlCalendarAdvance(Calendar,M257,"1M","f",,Trigger)</f>
        <v>49929</v>
      </c>
      <c r="N258" s="344">
        <f>_xll.qlCalendarAdvance(Calendar,M258,"3M","mf",,Trigger)</f>
        <v>50020</v>
      </c>
      <c r="O258" s="40" t="str">
        <f>_xll.qlMakeDatedOIS(,M258,N258,OvernightIndex,0,,,,EvaluationDate)</f>
        <v>obj_006e7#0000</v>
      </c>
      <c r="P258" s="40" t="b">
        <f>_xll.qlInstrumentSetPricingEngine(O258,OisEngine)</f>
        <v>1</v>
      </c>
      <c r="Q258" s="38">
        <f>_xll.qlIndexFixing(Currency&amp;IborType&amp;"3M",_xll.qlInterestRateIndexFixingDate(Currency&amp;IborType&amp;"3M",M258),TRUE,AllTriggers)</f>
        <v>2.199059094145063E-2</v>
      </c>
      <c r="R258" s="38">
        <f>_xll.qlOvernightIndexedSwapFairRate(O258,AllTriggers)</f>
        <v>2.1252602711469407E-2</v>
      </c>
      <c r="S258" s="345">
        <f t="shared" si="5"/>
        <v>7.3798822998122349E-4</v>
      </c>
    </row>
    <row r="259" spans="5:19" ht="11.25" customHeight="1" x14ac:dyDescent="0.2">
      <c r="E259" s="254"/>
      <c r="F259" s="254"/>
      <c r="G259" s="39"/>
      <c r="J259" s="39"/>
      <c r="K259" s="39"/>
      <c r="M259" s="346">
        <f>_xll.qlCalendarAdvance(Calendar,M258,"1M","f",,Trigger)</f>
        <v>49961</v>
      </c>
      <c r="N259" s="344">
        <f>_xll.qlCalendarAdvance(Calendar,M259,"3M","mf",,Trigger)</f>
        <v>50053</v>
      </c>
      <c r="O259" s="40" t="str">
        <f>_xll.qlMakeDatedOIS(,M259,N259,OvernightIndex,0,,,,EvaluationDate)</f>
        <v>obj_006e8#0000</v>
      </c>
      <c r="P259" s="40" t="b">
        <f>_xll.qlInstrumentSetPricingEngine(O259,OisEngine)</f>
        <v>1</v>
      </c>
      <c r="Q259" s="38">
        <f>_xll.qlIndexFixing(Currency&amp;IborType&amp;"3M",_xll.qlInterestRateIndexFixingDate(Currency&amp;IborType&amp;"3M",M259),TRUE,AllTriggers)</f>
        <v>2.1950512986552803E-2</v>
      </c>
      <c r="R259" s="38">
        <f>_xll.qlOvernightIndexedSwapFairRate(O259,AllTriggers)</f>
        <v>2.1215516664941494E-2</v>
      </c>
      <c r="S259" s="345">
        <f t="shared" ref="S259:S322" si="6">Q259-R259</f>
        <v>7.3499632161130868E-4</v>
      </c>
    </row>
    <row r="260" spans="5:19" ht="11.25" customHeight="1" x14ac:dyDescent="0.2">
      <c r="E260" s="254"/>
      <c r="F260" s="254"/>
      <c r="G260" s="39"/>
      <c r="J260" s="39"/>
      <c r="K260" s="39"/>
      <c r="M260" s="346">
        <f>_xll.qlCalendarAdvance(Calendar,M259,"1M","f",,Trigger)</f>
        <v>49992</v>
      </c>
      <c r="N260" s="344">
        <f>_xll.qlCalendarAdvance(Calendar,M260,"3M","mf",,Trigger)</f>
        <v>50084</v>
      </c>
      <c r="O260" s="40" t="str">
        <f>_xll.qlMakeDatedOIS(,M260,N260,OvernightIndex,0,,,,EvaluationDate)</f>
        <v>obj_006ea#0000</v>
      </c>
      <c r="P260" s="40" t="b">
        <f>_xll.qlInstrumentSetPricingEngine(O260,OisEngine)</f>
        <v>1</v>
      </c>
      <c r="Q260" s="38">
        <f>_xll.qlIndexFixing(Currency&amp;IborType&amp;"3M",_xll.qlInterestRateIndexFixingDate(Currency&amp;IborType&amp;"3M",M260),TRUE,AllTriggers)</f>
        <v>2.1911678812116628E-2</v>
      </c>
      <c r="R260" s="38">
        <f>_xll.qlOvernightIndexedSwapFairRate(O260,AllTriggers)</f>
        <v>2.1179570029799949E-2</v>
      </c>
      <c r="S260" s="345">
        <f t="shared" si="6"/>
        <v>7.3210878231667886E-4</v>
      </c>
    </row>
    <row r="261" spans="5:19" ht="11.25" customHeight="1" x14ac:dyDescent="0.2">
      <c r="E261" s="254"/>
      <c r="F261" s="254"/>
      <c r="G261" s="39"/>
      <c r="J261" s="39"/>
      <c r="K261" s="39"/>
      <c r="M261" s="346">
        <f>_xll.qlCalendarAdvance(Calendar,M260,"1M","f",,Trigger)</f>
        <v>50024</v>
      </c>
      <c r="N261" s="344">
        <f>_xll.qlCalendarAdvance(Calendar,M261,"3M","mf",,Trigger)</f>
        <v>50115</v>
      </c>
      <c r="O261" s="40" t="str">
        <f>_xll.qlMakeDatedOIS(,M261,N261,OvernightIndex,0,,,,EvaluationDate)</f>
        <v>obj_006ec#0000</v>
      </c>
      <c r="P261" s="40" t="b">
        <f>_xll.qlInstrumentSetPricingEngine(O261,OisEngine)</f>
        <v>1</v>
      </c>
      <c r="Q261" s="38">
        <f>_xll.qlIndexFixing(Currency&amp;IborType&amp;"3M",_xll.qlInterestRateIndexFixingDate(Currency&amp;IborType&amp;"3M",M261),TRUE,AllTriggers)</f>
        <v>2.1871588587406725E-2</v>
      </c>
      <c r="R261" s="38">
        <f>_xll.qlOvernightIndexedSwapFairRate(O261,AllTriggers)</f>
        <v>2.1142448918215085E-2</v>
      </c>
      <c r="S261" s="345">
        <f t="shared" si="6"/>
        <v>7.2913966919163978E-4</v>
      </c>
    </row>
    <row r="262" spans="5:19" ht="11.25" customHeight="1" x14ac:dyDescent="0.2">
      <c r="E262" s="254"/>
      <c r="F262" s="254"/>
      <c r="G262" s="39"/>
      <c r="J262" s="39"/>
      <c r="K262" s="39"/>
      <c r="M262" s="346">
        <f>_xll.qlCalendarAdvance(Calendar,M261,"1M","f",,Trigger)</f>
        <v>50055</v>
      </c>
      <c r="N262" s="344">
        <f>_xll.qlCalendarAdvance(Calendar,M262,"3M","mf",,Trigger)</f>
        <v>50145</v>
      </c>
      <c r="O262" s="40" t="str">
        <f>_xll.qlMakeDatedOIS(,M262,N262,OvernightIndex,0,,,,EvaluationDate)</f>
        <v>obj_006ed#0000</v>
      </c>
      <c r="P262" s="40" t="b">
        <f>_xll.qlInstrumentSetPricingEngine(O262,OisEngine)</f>
        <v>1</v>
      </c>
      <c r="Q262" s="38">
        <f>_xll.qlIndexFixing(Currency&amp;IborType&amp;"3M",_xll.qlInterestRateIndexFixingDate(Currency&amp;IborType&amp;"3M",M262),TRUE,AllTriggers)</f>
        <v>2.1832787075549476E-2</v>
      </c>
      <c r="R262" s="38">
        <f>_xll.qlOvernightIndexedSwapFairRate(O262,AllTriggers)</f>
        <v>2.1106514983981306E-2</v>
      </c>
      <c r="S262" s="345">
        <f t="shared" si="6"/>
        <v>7.2627209156816974E-4</v>
      </c>
    </row>
    <row r="263" spans="5:19" ht="11.25" customHeight="1" x14ac:dyDescent="0.2">
      <c r="E263" s="254"/>
      <c r="F263" s="254"/>
      <c r="G263" s="39"/>
      <c r="J263" s="39"/>
      <c r="K263" s="39"/>
      <c r="M263" s="346">
        <f>_xll.qlCalendarAdvance(Calendar,M262,"1M","f",,Trigger)</f>
        <v>50087</v>
      </c>
      <c r="N263" s="344">
        <f>_xll.qlCalendarAdvance(Calendar,M263,"3M","mf",,Trigger)</f>
        <v>50178</v>
      </c>
      <c r="O263" s="40" t="str">
        <f>_xll.qlMakeDatedOIS(,M263,N263,OvernightIndex,0,,,,EvaluationDate)</f>
        <v>obj_00a1f#0000</v>
      </c>
      <c r="P263" s="40" t="b">
        <f>_xll.qlInstrumentSetPricingEngine(O263,OisEngine)</f>
        <v>1</v>
      </c>
      <c r="Q263" s="38">
        <f>_xll.qlIndexFixing(Currency&amp;IborType&amp;"3M",_xll.qlInterestRateIndexFixingDate(Currency&amp;IborType&amp;"3M",M263),TRUE,AllTriggers)</f>
        <v>2.1792841871635302E-2</v>
      </c>
      <c r="R263" s="38">
        <f>_xll.qlOvernightIndexedSwapFairRate(O263,AllTriggers)</f>
        <v>2.1069527184817027E-2</v>
      </c>
      <c r="S263" s="345">
        <f t="shared" si="6"/>
        <v>7.2331468681827507E-4</v>
      </c>
    </row>
    <row r="264" spans="5:19" ht="11.25" customHeight="1" x14ac:dyDescent="0.2">
      <c r="E264" s="254"/>
      <c r="F264" s="254"/>
      <c r="G264" s="39"/>
      <c r="J264" s="39"/>
      <c r="K264" s="39"/>
      <c r="M264" s="346">
        <f>_xll.qlCalendarAdvance(Calendar,M263,"1M","f",,Trigger)</f>
        <v>50115</v>
      </c>
      <c r="N264" s="344">
        <f>_xll.qlCalendarAdvance(Calendar,M264,"3M","mf",,Trigger)</f>
        <v>50207</v>
      </c>
      <c r="O264" s="40" t="str">
        <f>_xll.qlMakeDatedOIS(,M264,N264,OvernightIndex,0,,,,EvaluationDate)</f>
        <v>obj_006ee#0000</v>
      </c>
      <c r="P264" s="40" t="b">
        <f>_xll.qlInstrumentSetPricingEngine(O264,OisEngine)</f>
        <v>1</v>
      </c>
      <c r="Q264" s="38">
        <f>_xll.qlIndexFixing(Currency&amp;IborType&amp;"3M",_xll.qlInterestRateIndexFixingDate(Currency&amp;IborType&amp;"3M",M264),TRUE,AllTriggers)</f>
        <v>2.1757919597428281E-2</v>
      </c>
      <c r="R264" s="38">
        <f>_xll.qlOvernightIndexedSwapFairRate(O264,AllTriggers)</f>
        <v>2.1037185968375272E-2</v>
      </c>
      <c r="S264" s="345">
        <f t="shared" si="6"/>
        <v>7.2073362905300878E-4</v>
      </c>
    </row>
    <row r="265" spans="5:19" ht="11.25" customHeight="1" x14ac:dyDescent="0.2">
      <c r="E265" s="254"/>
      <c r="F265" s="254"/>
      <c r="G265" s="39"/>
      <c r="J265" s="39"/>
      <c r="K265" s="39"/>
      <c r="M265" s="346">
        <f>_xll.qlCalendarAdvance(Calendar,M264,"1M","f",,Trigger)</f>
        <v>50146</v>
      </c>
      <c r="N265" s="344">
        <f>_xll.qlCalendarAdvance(Calendar,M265,"3M","mf",,Trigger)</f>
        <v>50237</v>
      </c>
      <c r="O265" s="40" t="str">
        <f>_xll.qlMakeDatedOIS(,M265,N265,OvernightIndex,0,,,,EvaluationDate)</f>
        <v>obj_006ef#0000</v>
      </c>
      <c r="P265" s="40" t="b">
        <f>_xll.qlInstrumentSetPricingEngine(O265,OisEngine)</f>
        <v>1</v>
      </c>
      <c r="Q265" s="38">
        <f>_xll.qlIndexFixing(Currency&amp;IborType&amp;"3M",_xll.qlInterestRateIndexFixingDate(Currency&amp;IborType&amp;"3M",M265),TRUE,AllTriggers)</f>
        <v>2.171921832952237E-2</v>
      </c>
      <c r="R265" s="38">
        <f>_xll.qlOvernightIndexedSwapFairRate(O265,AllTriggers)</f>
        <v>2.1001327685419732E-2</v>
      </c>
      <c r="S265" s="345">
        <f t="shared" si="6"/>
        <v>7.1789064410263809E-4</v>
      </c>
    </row>
    <row r="266" spans="5:19" ht="11.25" customHeight="1" x14ac:dyDescent="0.2">
      <c r="E266" s="254"/>
      <c r="F266" s="254"/>
      <c r="G266" s="39"/>
      <c r="J266" s="39"/>
      <c r="K266" s="39"/>
      <c r="M266" s="346">
        <f>_xll.qlCalendarAdvance(Calendar,M265,"1M","f",,Trigger)</f>
        <v>50178</v>
      </c>
      <c r="N266" s="344">
        <f>_xll.qlCalendarAdvance(Calendar,M266,"3M","mf",,Trigger)</f>
        <v>50270</v>
      </c>
      <c r="O266" s="40" t="str">
        <f>_xll.qlMakeDatedOIS(,M266,N266,OvernightIndex,0,,,,EvaluationDate)</f>
        <v>obj_006f0#0000</v>
      </c>
      <c r="P266" s="40" t="b">
        <f>_xll.qlInstrumentSetPricingEngine(O266,OisEngine)</f>
        <v>1</v>
      </c>
      <c r="Q266" s="38">
        <f>_xll.qlIndexFixing(Currency&amp;IborType&amp;"3M",_xll.qlInterestRateIndexFixingDate(Currency&amp;IborType&amp;"3M",M266),TRUE,AllTriggers)</f>
        <v>2.1679365773513079E-2</v>
      </c>
      <c r="R266" s="38">
        <f>_xll.qlOvernightIndexedSwapFairRate(O266,AllTriggers)</f>
        <v>2.0964407807592175E-2</v>
      </c>
      <c r="S266" s="345">
        <f t="shared" si="6"/>
        <v>7.1495796592090446E-4</v>
      </c>
    </row>
    <row r="267" spans="5:19" ht="11.25" customHeight="1" x14ac:dyDescent="0.2">
      <c r="E267" s="254"/>
      <c r="F267" s="254"/>
      <c r="G267" s="39"/>
      <c r="J267" s="39"/>
      <c r="K267" s="39"/>
      <c r="M267" s="346">
        <f>_xll.qlCalendarAdvance(Calendar,M266,"1M","f",,Trigger)</f>
        <v>50209</v>
      </c>
      <c r="N267" s="344">
        <f>_xll.qlCalendarAdvance(Calendar,M267,"3M","mf",,Trigger)</f>
        <v>50301</v>
      </c>
      <c r="O267" s="40" t="str">
        <f>_xll.qlMakeDatedOIS(,M267,N267,OvernightIndex,0,,,,EvaluationDate)</f>
        <v>obj_006f1#0000</v>
      </c>
      <c r="P267" s="40" t="b">
        <f>_xll.qlInstrumentSetPricingEngine(O267,OisEngine)</f>
        <v>1</v>
      </c>
      <c r="Q267" s="38">
        <f>_xll.qlIndexFixing(Currency&amp;IborType&amp;"3M",_xll.qlInterestRateIndexFixingDate(Currency&amp;IborType&amp;"3M",M267),TRUE,AllTriggers)</f>
        <v>2.1640762259406001E-2</v>
      </c>
      <c r="R267" s="38">
        <f>_xll.qlOvernightIndexedSwapFairRate(O267,AllTriggers)</f>
        <v>2.0928633695761915E-2</v>
      </c>
      <c r="S267" s="345">
        <f t="shared" si="6"/>
        <v>7.1212856364408564E-4</v>
      </c>
    </row>
    <row r="268" spans="5:19" ht="11.25" customHeight="1" x14ac:dyDescent="0.2">
      <c r="E268" s="254"/>
      <c r="F268" s="254"/>
      <c r="G268" s="39"/>
      <c r="J268" s="39"/>
      <c r="K268" s="39"/>
      <c r="M268" s="346">
        <f>_xll.qlCalendarAdvance(Calendar,M267,"1M","f",,Trigger)</f>
        <v>50241</v>
      </c>
      <c r="N268" s="344">
        <f>_xll.qlCalendarAdvance(Calendar,M268,"3M","mf",,Trigger)</f>
        <v>50333</v>
      </c>
      <c r="O268" s="40" t="str">
        <f>_xll.qlMakeDatedOIS(,M268,N268,OvernightIndex,0,,,,EvaluationDate)</f>
        <v>obj_006f2#0000</v>
      </c>
      <c r="P268" s="40" t="b">
        <f>_xll.qlInstrumentSetPricingEngine(O268,OisEngine)</f>
        <v>1</v>
      </c>
      <c r="Q268" s="38">
        <f>_xll.qlIndexFixing(Currency&amp;IborType&amp;"3M",_xll.qlInterestRateIndexFixingDate(Currency&amp;IborType&amp;"3M",M268),TRUE,AllTriggers)</f>
        <v>2.1600948029641628E-2</v>
      </c>
      <c r="R268" s="38">
        <f>_xll.qlOvernightIndexedSwapFairRate(O268,AllTriggers)</f>
        <v>2.0891731429086461E-2</v>
      </c>
      <c r="S268" s="345">
        <f t="shared" si="6"/>
        <v>7.0921660055516672E-4</v>
      </c>
    </row>
    <row r="269" spans="5:19" ht="11.25" customHeight="1" x14ac:dyDescent="0.2">
      <c r="E269" s="254"/>
      <c r="F269" s="254"/>
      <c r="G269" s="39"/>
      <c r="J269" s="39"/>
      <c r="K269" s="39"/>
      <c r="M269" s="346">
        <f>_xll.qlCalendarAdvance(Calendar,M268,"1M","f",,Trigger)</f>
        <v>50272</v>
      </c>
      <c r="N269" s="344">
        <f>_xll.qlCalendarAdvance(Calendar,M269,"3M","mf",,Trigger)</f>
        <v>50364</v>
      </c>
      <c r="O269" s="40" t="str">
        <f>_xll.qlMakeDatedOIS(,M269,N269,OvernightIndex,0,,,,EvaluationDate)</f>
        <v>obj_006f3#0000</v>
      </c>
      <c r="P269" s="40" t="b">
        <f>_xll.qlInstrumentSetPricingEngine(O269,OisEngine)</f>
        <v>1</v>
      </c>
      <c r="Q269" s="38">
        <f>_xll.qlIndexFixing(Currency&amp;IborType&amp;"3M",_xll.qlInterestRateIndexFixingDate(Currency&amp;IborType&amp;"3M",M269),TRUE,AllTriggers)</f>
        <v>2.1562411472592708E-2</v>
      </c>
      <c r="R269" s="38">
        <f>_xll.qlOvernightIndexedSwapFairRate(O269,AllTriggers)</f>
        <v>2.0856007398545755E-2</v>
      </c>
      <c r="S269" s="345">
        <f t="shared" si="6"/>
        <v>7.0640407404695335E-4</v>
      </c>
    </row>
    <row r="270" spans="5:19" ht="11.25" customHeight="1" x14ac:dyDescent="0.2">
      <c r="E270" s="254"/>
      <c r="F270" s="254"/>
      <c r="G270" s="39"/>
      <c r="J270" s="39"/>
      <c r="K270" s="39"/>
      <c r="M270" s="346">
        <f>_xll.qlCalendarAdvance(Calendar,M269,"1M","f",,Trigger)</f>
        <v>50304</v>
      </c>
      <c r="N270" s="344">
        <f>_xll.qlCalendarAdvance(Calendar,M270,"3M","mf",,Trigger)</f>
        <v>50395</v>
      </c>
      <c r="O270" s="40" t="str">
        <f>_xll.qlMakeDatedOIS(,M270,N270,OvernightIndex,0,,,,EvaluationDate)</f>
        <v>obj_006f4#0000</v>
      </c>
      <c r="P270" s="40" t="b">
        <f>_xll.qlInstrumentSetPricingEngine(O270,OisEngine)</f>
        <v>1</v>
      </c>
      <c r="Q270" s="38">
        <f>_xll.qlIndexFixing(Currency&amp;IborType&amp;"3M",_xll.qlInterestRateIndexFixingDate(Currency&amp;IborType&amp;"3M",M270),TRUE,AllTriggers)</f>
        <v>2.1522644630592492E-2</v>
      </c>
      <c r="R270" s="38">
        <f>_xll.qlOvernightIndexedSwapFairRate(O270,AllTriggers)</f>
        <v>2.0819131269499698E-2</v>
      </c>
      <c r="S270" s="345">
        <f t="shared" si="6"/>
        <v>7.0351336109279392E-4</v>
      </c>
    </row>
    <row r="271" spans="5:19" ht="11.25" customHeight="1" x14ac:dyDescent="0.2">
      <c r="E271" s="254"/>
      <c r="F271" s="254"/>
      <c r="G271" s="39"/>
      <c r="J271" s="39"/>
      <c r="K271" s="39"/>
      <c r="M271" s="346">
        <f>_xll.qlCalendarAdvance(Calendar,M270,"1M","f",,Trigger)</f>
        <v>50334</v>
      </c>
      <c r="N271" s="344">
        <f>_xll.qlCalendarAdvance(Calendar,M271,"3M","mf",,Trigger)</f>
        <v>50426</v>
      </c>
      <c r="O271" s="40" t="str">
        <f>_xll.qlMakeDatedOIS(,M271,N271,OvernightIndex,0,,,,EvaluationDate)</f>
        <v>obj_006f5#0000</v>
      </c>
      <c r="P271" s="40" t="b">
        <f>_xll.qlInstrumentSetPricingEngine(O271,OisEngine)</f>
        <v>1</v>
      </c>
      <c r="Q271" s="38">
        <f>_xll.qlIndexFixing(Currency&amp;IborType&amp;"3M",_xll.qlInterestRateIndexFixingDate(Currency&amp;IborType&amp;"3M",M271),TRUE,AllTriggers)</f>
        <v>2.1485437194533354E-2</v>
      </c>
      <c r="R271" s="38">
        <f>_xll.qlOvernightIndexedSwapFairRate(O271,AllTriggers)</f>
        <v>2.0784633263298491E-2</v>
      </c>
      <c r="S271" s="345">
        <f t="shared" si="6"/>
        <v>7.0080393123486337E-4</v>
      </c>
    </row>
    <row r="272" spans="5:19" ht="11.25" customHeight="1" x14ac:dyDescent="0.2">
      <c r="E272" s="254"/>
      <c r="F272" s="254"/>
      <c r="G272" s="39"/>
      <c r="J272" s="39"/>
      <c r="K272" s="39"/>
      <c r="M272" s="346">
        <f>_xll.qlCalendarAdvance(Calendar,M271,"1M","f",,Trigger)</f>
        <v>50367</v>
      </c>
      <c r="N272" s="344">
        <f>_xll.qlCalendarAdvance(Calendar,M272,"3M","mf",,Trigger)</f>
        <v>50459</v>
      </c>
      <c r="O272" s="40" t="str">
        <f>_xll.qlMakeDatedOIS(,M272,N272,OvernightIndex,0,,,,EvaluationDate)</f>
        <v>obj_006f6#0000</v>
      </c>
      <c r="P272" s="40" t="b">
        <f>_xll.qlInstrumentSetPricingEngine(O272,OisEngine)</f>
        <v>1</v>
      </c>
      <c r="Q272" s="38">
        <f>_xll.qlIndexFixing(Currency&amp;IborType&amp;"3M",_xll.qlInterestRateIndexFixingDate(Currency&amp;IborType&amp;"3M",M272),TRUE,AllTriggers)</f>
        <v>2.1444520749753206E-2</v>
      </c>
      <c r="R272" s="38">
        <f>_xll.qlOvernightIndexedSwapFairRate(O272,AllTriggers)</f>
        <v>2.0746683996550313E-2</v>
      </c>
      <c r="S272" s="345">
        <f t="shared" si="6"/>
        <v>6.9783675320289271E-4</v>
      </c>
    </row>
    <row r="273" spans="5:19" ht="11.25" customHeight="1" x14ac:dyDescent="0.2">
      <c r="E273" s="254"/>
      <c r="F273" s="254"/>
      <c r="G273" s="39"/>
      <c r="J273" s="39"/>
      <c r="K273" s="39"/>
      <c r="M273" s="346">
        <f>_xll.qlCalendarAdvance(Calendar,M272,"1M","f",,Trigger)</f>
        <v>50397</v>
      </c>
      <c r="N273" s="344">
        <f>_xll.qlCalendarAdvance(Calendar,M273,"3M","mf",,Trigger)</f>
        <v>50487</v>
      </c>
      <c r="O273" s="40" t="str">
        <f>_xll.qlMakeDatedOIS(,M273,N273,OvernightIndex,0,,,,EvaluationDate)</f>
        <v>obj_006f7#0000</v>
      </c>
      <c r="P273" s="40" t="b">
        <f>_xll.qlInstrumentSetPricingEngine(O273,OisEngine)</f>
        <v>1</v>
      </c>
      <c r="Q273" s="38">
        <f>_xll.qlIndexFixing(Currency&amp;IborType&amp;"3M",_xll.qlInterestRateIndexFixingDate(Currency&amp;IborType&amp;"3M",M273),TRUE,AllTriggers)</f>
        <v>2.1407323410157275E-2</v>
      </c>
      <c r="R273" s="38">
        <f>_xll.qlOvernightIndexedSwapFairRate(O273,AllTriggers)</f>
        <v>2.0712167663887726E-2</v>
      </c>
      <c r="S273" s="345">
        <f t="shared" si="6"/>
        <v>6.9515574626954901E-4</v>
      </c>
    </row>
    <row r="274" spans="5:19" ht="11.25" customHeight="1" x14ac:dyDescent="0.2">
      <c r="E274" s="254"/>
      <c r="F274" s="254"/>
      <c r="G274" s="39"/>
      <c r="J274" s="39"/>
      <c r="K274" s="39"/>
      <c r="M274" s="346">
        <f>_xll.qlCalendarAdvance(Calendar,M273,"1M","f",,Trigger)</f>
        <v>50430</v>
      </c>
      <c r="N274" s="344">
        <f>_xll.qlCalendarAdvance(Calendar,M274,"3M","mf",,Trigger)</f>
        <v>50522</v>
      </c>
      <c r="O274" s="40" t="str">
        <f>_xll.qlMakeDatedOIS(,M274,N274,OvernightIndex,0,,,,EvaluationDate)</f>
        <v>obj_006f8#0000</v>
      </c>
      <c r="P274" s="40" t="b">
        <f>_xll.qlInstrumentSetPricingEngine(O274,OisEngine)</f>
        <v>1</v>
      </c>
      <c r="Q274" s="38">
        <f>_xll.qlIndexFixing(Currency&amp;IborType&amp;"3M",_xll.qlInterestRateIndexFixingDate(Currency&amp;IborType&amp;"3M",M274),TRUE,AllTriggers)</f>
        <v>2.136651119763085E-2</v>
      </c>
      <c r="R274" s="38">
        <f>_xll.qlOvernightIndexedSwapFairRate(O274,AllTriggers)</f>
        <v>2.0674312931361832E-2</v>
      </c>
      <c r="S274" s="345">
        <f t="shared" si="6"/>
        <v>6.9219826626901876E-4</v>
      </c>
    </row>
    <row r="275" spans="5:19" ht="11.25" customHeight="1" x14ac:dyDescent="0.2">
      <c r="E275" s="254"/>
      <c r="F275" s="254"/>
      <c r="G275" s="39"/>
      <c r="J275" s="39"/>
      <c r="K275" s="39"/>
      <c r="M275" s="346">
        <f>_xll.qlCalendarAdvance(Calendar,M274,"1M","f",,Trigger)</f>
        <v>50461</v>
      </c>
      <c r="N275" s="344">
        <f>_xll.qlCalendarAdvance(Calendar,M275,"3M","mf",,Trigger)</f>
        <v>50550</v>
      </c>
      <c r="O275" s="40" t="str">
        <f>_xll.qlMakeDatedOIS(,M275,N275,OvernightIndex,0,,,,EvaluationDate)</f>
        <v>obj_006f9#0000</v>
      </c>
      <c r="P275" s="40" t="b">
        <f>_xll.qlInstrumentSetPricingEngine(O275,OisEngine)</f>
        <v>1</v>
      </c>
      <c r="Q275" s="38">
        <f>_xll.qlIndexFixing(Currency&amp;IborType&amp;"3M",_xll.qlInterestRateIndexFixingDate(Currency&amp;IborType&amp;"3M",M275),TRUE,AllTriggers)</f>
        <v>2.1328136754687831E-2</v>
      </c>
      <c r="R275" s="38">
        <f>_xll.qlOvernightIndexedSwapFairRate(O275,AllTriggers)</f>
        <v>2.0638687396821627E-2</v>
      </c>
      <c r="S275" s="345">
        <f t="shared" si="6"/>
        <v>6.8944935786620365E-4</v>
      </c>
    </row>
    <row r="276" spans="5:19" ht="11.25" customHeight="1" x14ac:dyDescent="0.2">
      <c r="E276" s="254"/>
      <c r="F276" s="254"/>
      <c r="G276" s="39"/>
      <c r="J276" s="39"/>
      <c r="K276" s="39"/>
      <c r="M276" s="346">
        <f>_xll.qlCalendarAdvance(Calendar,M275,"1M","f",,Trigger)</f>
        <v>50489</v>
      </c>
      <c r="N276" s="344">
        <f>_xll.qlCalendarAdvance(Calendar,M276,"3M","mf",,Trigger)</f>
        <v>50581</v>
      </c>
      <c r="O276" s="40" t="str">
        <f>_xll.qlMakeDatedOIS(,M276,N276,OvernightIndex,0,,,,EvaluationDate)</f>
        <v>obj_006fa#0000</v>
      </c>
      <c r="P276" s="40" t="b">
        <f>_xll.qlInstrumentSetPricingEngine(O276,OisEngine)</f>
        <v>1</v>
      </c>
      <c r="Q276" s="38">
        <f>_xll.qlIndexFixing(Currency&amp;IborType&amp;"3M",_xll.qlInterestRateIndexFixingDate(Currency&amp;IborType&amp;"3M",M276),TRUE,AllTriggers)</f>
        <v>2.1293577998217992E-2</v>
      </c>
      <c r="R276" s="38">
        <f>_xll.qlOvernightIndexedSwapFairRate(O276,AllTriggers)</f>
        <v>2.0606629128189276E-2</v>
      </c>
      <c r="S276" s="345">
        <f t="shared" si="6"/>
        <v>6.8694887002871546E-4</v>
      </c>
    </row>
    <row r="277" spans="5:19" ht="11.25" customHeight="1" x14ac:dyDescent="0.2">
      <c r="E277" s="254"/>
      <c r="F277" s="254"/>
      <c r="G277" s="39"/>
      <c r="J277" s="39"/>
      <c r="K277" s="39"/>
      <c r="M277" s="346">
        <f>_xll.qlCalendarAdvance(Calendar,M276,"1M","f",,Trigger)</f>
        <v>50522</v>
      </c>
      <c r="N277" s="344">
        <f>_xll.qlCalendarAdvance(Calendar,M277,"3M","mf",,Trigger)</f>
        <v>50613</v>
      </c>
      <c r="O277" s="40" t="str">
        <f>_xll.qlMakeDatedOIS(,M277,N277,OvernightIndex,0,,,,EvaluationDate)</f>
        <v>obj_006fb#0000</v>
      </c>
      <c r="P277" s="40" t="b">
        <f>_xll.qlInstrumentSetPricingEngine(O277,OisEngine)</f>
        <v>1</v>
      </c>
      <c r="Q277" s="38">
        <f>_xll.qlIndexFixing(Currency&amp;IborType&amp;"3M",_xll.qlInterestRateIndexFixingDate(Currency&amp;IborType&amp;"3M",M277),TRUE,AllTriggers)</f>
        <v>2.1252827407535119E-2</v>
      </c>
      <c r="R277" s="38">
        <f>_xll.qlOvernightIndexedSwapFairRate(O277,AllTriggers)</f>
        <v>2.0568797004083369E-2</v>
      </c>
      <c r="S277" s="345">
        <f t="shared" si="6"/>
        <v>6.8403040345174984E-4</v>
      </c>
    </row>
    <row r="278" spans="5:19" ht="11.25" customHeight="1" x14ac:dyDescent="0.2">
      <c r="E278" s="254"/>
      <c r="F278" s="254"/>
      <c r="G278" s="39"/>
      <c r="J278" s="39"/>
      <c r="K278" s="39"/>
      <c r="M278" s="346">
        <f>_xll.qlCalendarAdvance(Calendar,M277,"1M","f",,Trigger)</f>
        <v>50552</v>
      </c>
      <c r="N278" s="344">
        <f>_xll.qlCalendarAdvance(Calendar,M278,"3M","mf",,Trigger)</f>
        <v>50644</v>
      </c>
      <c r="O278" s="40" t="str">
        <f>_xll.qlMakeDatedOIS(,M278,N278,OvernightIndex,0,,,,EvaluationDate)</f>
        <v>obj_006fc#0000</v>
      </c>
      <c r="P278" s="40" t="b">
        <f>_xll.qlInstrumentSetPricingEngine(O278,OisEngine)</f>
        <v>1</v>
      </c>
      <c r="Q278" s="38">
        <f>_xll.qlIndexFixing(Currency&amp;IborType&amp;"3M",_xll.qlInterestRateIndexFixingDate(Currency&amp;IborType&amp;"3M",M278),TRUE,AllTriggers)</f>
        <v>2.121583189653797E-2</v>
      </c>
      <c r="R278" s="38">
        <f>_xll.qlOvernightIndexedSwapFairRate(O278,AllTriggers)</f>
        <v>2.0534455116929626E-2</v>
      </c>
      <c r="S278" s="345">
        <f t="shared" si="6"/>
        <v>6.8137677960834406E-4</v>
      </c>
    </row>
    <row r="279" spans="5:19" ht="11.25" customHeight="1" x14ac:dyDescent="0.2">
      <c r="E279" s="254"/>
      <c r="F279" s="254"/>
      <c r="G279" s="39"/>
      <c r="J279" s="39"/>
      <c r="K279" s="39"/>
      <c r="M279" s="346">
        <f>_xll.qlCalendarAdvance(Calendar,M278,"1M","f",,Trigger)</f>
        <v>50584</v>
      </c>
      <c r="N279" s="344">
        <f>_xll.qlCalendarAdvance(Calendar,M279,"3M","mf",,Trigger)</f>
        <v>50676</v>
      </c>
      <c r="O279" s="40" t="str">
        <f>_xll.qlMakeDatedOIS(,M279,N279,OvernightIndex,0,,,,EvaluationDate)</f>
        <v>obj_006fd#0000</v>
      </c>
      <c r="P279" s="40" t="b">
        <f>_xll.qlInstrumentSetPricingEngine(O279,OisEngine)</f>
        <v>1</v>
      </c>
      <c r="Q279" s="38">
        <f>_xll.qlIndexFixing(Currency&amp;IborType&amp;"3M",_xll.qlInterestRateIndexFixingDate(Currency&amp;IborType&amp;"3M",M279),TRUE,AllTriggers)</f>
        <v>2.1176393909673911E-2</v>
      </c>
      <c r="R279" s="38">
        <f>_xll.qlOvernightIndexedSwapFairRate(O279,AllTriggers)</f>
        <v>2.0497834268721832E-2</v>
      </c>
      <c r="S279" s="345">
        <f t="shared" si="6"/>
        <v>6.7855964095207832E-4</v>
      </c>
    </row>
    <row r="280" spans="5:19" ht="11.25" customHeight="1" x14ac:dyDescent="0.2">
      <c r="E280" s="254"/>
      <c r="F280" s="254"/>
      <c r="G280" s="39"/>
      <c r="J280" s="39"/>
      <c r="K280" s="39"/>
      <c r="M280" s="346">
        <f>_xll.qlCalendarAdvance(Calendar,M279,"1M","f",,Trigger)</f>
        <v>50614</v>
      </c>
      <c r="N280" s="344">
        <f>_xll.qlCalendarAdvance(Calendar,M280,"3M","mf",,Trigger)</f>
        <v>50706</v>
      </c>
      <c r="O280" s="40" t="str">
        <f>_xll.qlMakeDatedOIS(,M280,N280,OvernightIndex,0,,,,EvaluationDate)</f>
        <v>obj_006fe#0000</v>
      </c>
      <c r="P280" s="40" t="b">
        <f>_xll.qlInstrumentSetPricingEngine(O280,OisEngine)</f>
        <v>1</v>
      </c>
      <c r="Q280" s="38">
        <f>_xll.qlIndexFixing(Currency&amp;IborType&amp;"3M",_xll.qlInterestRateIndexFixingDate(Currency&amp;IborType&amp;"3M",M280),TRUE,AllTriggers)</f>
        <v>2.1139452670600106E-2</v>
      </c>
      <c r="R280" s="38">
        <f>_xll.qlOvernightIndexedSwapFairRate(O280,AllTriggers)</f>
        <v>2.0463526064342652E-2</v>
      </c>
      <c r="S280" s="345">
        <f t="shared" si="6"/>
        <v>6.7592660625745427E-4</v>
      </c>
    </row>
    <row r="281" spans="5:19" ht="11.25" customHeight="1" x14ac:dyDescent="0.2">
      <c r="E281" s="254"/>
      <c r="F281" s="254"/>
      <c r="G281" s="39"/>
      <c r="J281" s="39"/>
      <c r="K281" s="39"/>
      <c r="M281" s="346">
        <f>_xll.qlCalendarAdvance(Calendar,M280,"1M","f",,Trigger)</f>
        <v>50647</v>
      </c>
      <c r="N281" s="344">
        <f>_xll.qlCalendarAdvance(Calendar,M281,"3M","mf",,Trigger)</f>
        <v>50739</v>
      </c>
      <c r="O281" s="40" t="str">
        <f>_xll.qlMakeDatedOIS(,M281,N281,OvernightIndex,0,,,,EvaluationDate)</f>
        <v>obj_006ff#0000</v>
      </c>
      <c r="P281" s="40" t="b">
        <f>_xll.qlInstrumentSetPricingEngine(O281,OisEngine)</f>
        <v>1</v>
      </c>
      <c r="Q281" s="38">
        <f>_xll.qlIndexFixing(Currency&amp;IborType&amp;"3M",_xll.qlInterestRateIndexFixingDate(Currency&amp;IborType&amp;"3M",M281),TRUE,AllTriggers)</f>
        <v>2.1098852933038665E-2</v>
      </c>
      <c r="R281" s="38">
        <f>_xll.qlOvernightIndexedSwapFairRate(O281,AllTriggers)</f>
        <v>2.0425813686673261E-2</v>
      </c>
      <c r="S281" s="345">
        <f t="shared" si="6"/>
        <v>6.7303924636540405E-4</v>
      </c>
    </row>
    <row r="282" spans="5:19" ht="11.25" customHeight="1" x14ac:dyDescent="0.2">
      <c r="E282" s="254"/>
      <c r="F282" s="254"/>
      <c r="G282" s="39"/>
      <c r="J282" s="39"/>
      <c r="K282" s="39"/>
      <c r="M282" s="346">
        <f>_xll.qlCalendarAdvance(Calendar,M281,"1M","f",,Trigger)</f>
        <v>50678</v>
      </c>
      <c r="N282" s="344">
        <f>_xll.qlCalendarAdvance(Calendar,M282,"3M","mf",,Trigger)</f>
        <v>50769</v>
      </c>
      <c r="O282" s="40" t="str">
        <f>_xll.qlMakeDatedOIS(,M282,N282,OvernightIndex,0,,,,EvaluationDate)</f>
        <v>obj_00700#0000</v>
      </c>
      <c r="P282" s="40" t="b">
        <f>_xll.qlInstrumentSetPricingEngine(O282,OisEngine)</f>
        <v>1</v>
      </c>
      <c r="Q282" s="38">
        <f>_xll.qlIndexFixing(Currency&amp;IborType&amp;"3M",_xll.qlInterestRateIndexFixingDate(Currency&amp;IborType&amp;"3M",M282),TRUE,AllTriggers)</f>
        <v>2.1060747782156188E-2</v>
      </c>
      <c r="R282" s="38">
        <f>_xll.qlOvernightIndexedSwapFairRate(O282,AllTriggers)</f>
        <v>2.0390406459818083E-2</v>
      </c>
      <c r="S282" s="345">
        <f t="shared" si="6"/>
        <v>6.7034132233810551E-4</v>
      </c>
    </row>
    <row r="283" spans="5:19" ht="11.25" customHeight="1" x14ac:dyDescent="0.2">
      <c r="E283" s="254"/>
      <c r="F283" s="254"/>
      <c r="G283" s="39"/>
      <c r="J283" s="39"/>
      <c r="K283" s="39"/>
      <c r="M283" s="346">
        <f>_xll.qlCalendarAdvance(Calendar,M282,"1M","f",,Trigger)</f>
        <v>50710</v>
      </c>
      <c r="N283" s="344">
        <f>_xll.qlCalendarAdvance(Calendar,M283,"3M","mf",,Trigger)</f>
        <v>50802</v>
      </c>
      <c r="O283" s="40" t="str">
        <f>_xll.qlMakeDatedOIS(,M283,N283,OvernightIndex,0,,,,EvaluationDate)</f>
        <v>obj_00701#0000</v>
      </c>
      <c r="P283" s="40" t="b">
        <f>_xll.qlInstrumentSetPricingEngine(O283,OisEngine)</f>
        <v>1</v>
      </c>
      <c r="Q283" s="38">
        <f>_xll.qlIndexFixing(Currency&amp;IborType&amp;"3M",_xll.qlInterestRateIndexFixingDate(Currency&amp;IborType&amp;"3M",M283),TRUE,AllTriggers)</f>
        <v>2.1021447976681939E-2</v>
      </c>
      <c r="R283" s="38">
        <f>_xll.qlOvernightIndexedSwapFairRate(O283,AllTriggers)</f>
        <v>2.0353894845467398E-2</v>
      </c>
      <c r="S283" s="345">
        <f t="shared" si="6"/>
        <v>6.6755313121454052E-4</v>
      </c>
    </row>
    <row r="284" spans="5:19" ht="11.25" customHeight="1" x14ac:dyDescent="0.2">
      <c r="E284" s="254"/>
      <c r="F284" s="254"/>
      <c r="G284" s="39"/>
      <c r="J284" s="39"/>
      <c r="K284" s="39"/>
      <c r="M284" s="346">
        <f>_xll.qlCalendarAdvance(Calendar,M283,"1M","f",,Trigger)</f>
        <v>50740</v>
      </c>
      <c r="N284" s="344">
        <f>_xll.qlCalendarAdvance(Calendar,M284,"3M","mf",,Trigger)</f>
        <v>50830</v>
      </c>
      <c r="O284" s="40" t="str">
        <f>_xll.qlMakeDatedOIS(,M284,N284,OvernightIndex,0,,,,EvaluationDate)</f>
        <v>obj_00702#0000</v>
      </c>
      <c r="P284" s="40" t="b">
        <f>_xll.qlInstrumentSetPricingEngine(O284,OisEngine)</f>
        <v>1</v>
      </c>
      <c r="Q284" s="38">
        <f>_xll.qlIndexFixing(Currency&amp;IborType&amp;"3M",_xll.qlInterestRateIndexFixingDate(Currency&amp;IborType&amp;"3M",M284),TRUE,AllTriggers)</f>
        <v>2.0984641202014487E-2</v>
      </c>
      <c r="R284" s="38">
        <f>_xll.qlOvernightIndexedSwapFairRate(O284,AllTriggers)</f>
        <v>2.0319678136847763E-2</v>
      </c>
      <c r="S284" s="345">
        <f t="shared" si="6"/>
        <v>6.6496306516672377E-4</v>
      </c>
    </row>
    <row r="285" spans="5:19" ht="11.25" customHeight="1" x14ac:dyDescent="0.2">
      <c r="E285" s="254"/>
      <c r="F285" s="254"/>
      <c r="G285" s="39"/>
      <c r="J285" s="39"/>
      <c r="K285" s="39"/>
      <c r="M285" s="346">
        <f>_xll.qlCalendarAdvance(Calendar,M284,"1M","f",,Trigger)</f>
        <v>50773</v>
      </c>
      <c r="N285" s="344">
        <f>_xll.qlCalendarAdvance(Calendar,M285,"3M","mf",,Trigger)</f>
        <v>50864</v>
      </c>
      <c r="O285" s="40" t="str">
        <f>_xll.qlMakeDatedOIS(,M285,N285,OvernightIndex,0,,,,EvaluationDate)</f>
        <v>obj_00703#0000</v>
      </c>
      <c r="P285" s="40" t="b">
        <f>_xll.qlInstrumentSetPricingEngine(O285,OisEngine)</f>
        <v>1</v>
      </c>
      <c r="Q285" s="38">
        <f>_xll.qlIndexFixing(Currency&amp;IborType&amp;"3M",_xll.qlInterestRateIndexFixingDate(Currency&amp;IborType&amp;"3M",M285),TRUE,AllTriggers)</f>
        <v>2.0944183296633116E-2</v>
      </c>
      <c r="R285" s="38">
        <f>_xll.qlOvernightIndexedSwapFairRate(O285,AllTriggers)</f>
        <v>2.0282076749396669E-2</v>
      </c>
      <c r="S285" s="345">
        <f t="shared" si="6"/>
        <v>6.6210654723644624E-4</v>
      </c>
    </row>
    <row r="286" spans="5:19" ht="11.25" customHeight="1" x14ac:dyDescent="0.2">
      <c r="E286" s="254"/>
      <c r="F286" s="254"/>
      <c r="G286" s="39"/>
      <c r="J286" s="39"/>
      <c r="K286" s="39"/>
      <c r="M286" s="346">
        <f>_xll.qlCalendarAdvance(Calendar,M285,"1M","f",,Trigger)</f>
        <v>50804</v>
      </c>
      <c r="N286" s="344">
        <f>_xll.qlCalendarAdvance(Calendar,M286,"3M","mf",,Trigger)</f>
        <v>50893</v>
      </c>
      <c r="O286" s="40" t="str">
        <f>_xll.qlMakeDatedOIS(,M286,N286,OvernightIndex,0,,,,EvaluationDate)</f>
        <v>obj_00704#0000</v>
      </c>
      <c r="P286" s="40" t="b">
        <f>_xll.qlInstrumentSetPricingEngine(O286,OisEngine)</f>
        <v>1</v>
      </c>
      <c r="Q286" s="38">
        <f>_xll.qlIndexFixing(Currency&amp;IborType&amp;"3M",_xll.qlInterestRateIndexFixingDate(Currency&amp;IborType&amp;"3M",M286),TRUE,AllTriggers)</f>
        <v>2.0906225427337631E-2</v>
      </c>
      <c r="R286" s="38">
        <f>_xll.qlOvernightIndexedSwapFairRate(O286,AllTriggers)</f>
        <v>2.0246778189990617E-2</v>
      </c>
      <c r="S286" s="345">
        <f t="shared" si="6"/>
        <v>6.5944723734701408E-4</v>
      </c>
    </row>
    <row r="287" spans="5:19" ht="11.25" customHeight="1" x14ac:dyDescent="0.2">
      <c r="E287" s="254"/>
      <c r="F287" s="254"/>
      <c r="G287" s="39"/>
      <c r="J287" s="39"/>
      <c r="K287" s="39"/>
      <c r="M287" s="346">
        <f>_xll.qlCalendarAdvance(Calendar,M286,"1M","f",,Trigger)</f>
        <v>50832</v>
      </c>
      <c r="N287" s="344">
        <f>_xll.qlCalendarAdvance(Calendar,M287,"3M","mf",,Trigger)</f>
        <v>50924</v>
      </c>
      <c r="O287" s="40" t="str">
        <f>_xll.qlMakeDatedOIS(,M287,N287,OvernightIndex,0,,,,EvaluationDate)</f>
        <v>obj_00705#0000</v>
      </c>
      <c r="P287" s="40" t="b">
        <f>_xll.qlInstrumentSetPricingEngine(O287,OisEngine)</f>
        <v>1</v>
      </c>
      <c r="Q287" s="38">
        <f>_xll.qlIndexFixing(Currency&amp;IborType&amp;"3M",_xll.qlInterestRateIndexFixingDate(Currency&amp;IborType&amp;"3M",M287),TRUE,AllTriggers)</f>
        <v>2.0871939379139681E-2</v>
      </c>
      <c r="R287" s="38">
        <f>_xll.qlOvernightIndexedSwapFairRate(O287,AllTriggers)</f>
        <v>2.0214912696314608E-2</v>
      </c>
      <c r="S287" s="345">
        <f t="shared" si="6"/>
        <v>6.5702668282507232E-4</v>
      </c>
    </row>
    <row r="288" spans="5:19" ht="11.25" customHeight="1" x14ac:dyDescent="0.2">
      <c r="E288" s="254"/>
      <c r="F288" s="254"/>
      <c r="G288" s="39"/>
      <c r="J288" s="39"/>
      <c r="K288" s="39"/>
      <c r="M288" s="346">
        <f>_xll.qlCalendarAdvance(Calendar,M287,"1M","f",,Trigger)</f>
        <v>50864</v>
      </c>
      <c r="N288" s="344">
        <f>_xll.qlCalendarAdvance(Calendar,M288,"3M","mf",,Trigger)</f>
        <v>50955</v>
      </c>
      <c r="O288" s="40" t="str">
        <f>_xll.qlMakeDatedOIS(,M288,N288,OvernightIndex,0,,,,EvaluationDate)</f>
        <v>obj_00706#0000</v>
      </c>
      <c r="P288" s="40" t="b">
        <f>_xll.qlInstrumentSetPricingEngine(O288,OisEngine)</f>
        <v>1</v>
      </c>
      <c r="Q288" s="38">
        <f>_xll.qlIndexFixing(Currency&amp;IborType&amp;"3M",_xll.qlInterestRateIndexFixingDate(Currency&amp;IborType&amp;"3M",M288),TRUE,AllTriggers)</f>
        <v>2.0832817590024942E-2</v>
      </c>
      <c r="R288" s="38">
        <f>_xll.qlOvernightIndexedSwapFairRate(O288,AllTriggers)</f>
        <v>2.0178525163639535E-2</v>
      </c>
      <c r="S288" s="345">
        <f t="shared" si="6"/>
        <v>6.5429242638540691E-4</v>
      </c>
    </row>
    <row r="289" spans="5:19" ht="11.25" customHeight="1" x14ac:dyDescent="0.2">
      <c r="E289" s="254"/>
      <c r="F289" s="254"/>
      <c r="G289" s="39"/>
      <c r="J289" s="39"/>
      <c r="K289" s="39"/>
      <c r="M289" s="346">
        <f>_xll.qlCalendarAdvance(Calendar,M288,"1M","f",,Trigger)</f>
        <v>50894</v>
      </c>
      <c r="N289" s="344">
        <f>_xll.qlCalendarAdvance(Calendar,M289,"3M","mf",,Trigger)</f>
        <v>50986</v>
      </c>
      <c r="O289" s="40" t="str">
        <f>_xll.qlMakeDatedOIS(,M289,N289,OvernightIndex,0,,,,EvaluationDate)</f>
        <v>obj_00708#0000</v>
      </c>
      <c r="P289" s="40" t="b">
        <f>_xll.qlInstrumentSetPricingEngine(O289,OisEngine)</f>
        <v>1</v>
      </c>
      <c r="Q289" s="38">
        <f>_xll.qlIndexFixing(Currency&amp;IborType&amp;"3M",_xll.qlInterestRateIndexFixingDate(Currency&amp;IborType&amp;"3M",M289),TRUE,AllTriggers)</f>
        <v>2.0796155050000598E-2</v>
      </c>
      <c r="R289" s="38">
        <f>_xll.qlOvernightIndexedSwapFairRate(O289,AllTriggers)</f>
        <v>2.0144428618609791E-2</v>
      </c>
      <c r="S289" s="345">
        <f t="shared" si="6"/>
        <v>6.517264313908068E-4</v>
      </c>
    </row>
    <row r="290" spans="5:19" ht="11.25" customHeight="1" x14ac:dyDescent="0.2">
      <c r="E290" s="254"/>
      <c r="F290" s="254"/>
      <c r="G290" s="39"/>
      <c r="J290" s="39"/>
      <c r="K290" s="39"/>
      <c r="M290" s="346">
        <f>_xll.qlCalendarAdvance(Calendar,M289,"1M","f",,Trigger)</f>
        <v>50927</v>
      </c>
      <c r="N290" s="344">
        <f>_xll.qlCalendarAdvance(Calendar,M290,"3M","mf",,Trigger)</f>
        <v>51019</v>
      </c>
      <c r="O290" s="40" t="str">
        <f>_xll.qlMakeDatedOIS(,M290,N290,OvernightIndex,0,,,,EvaluationDate)</f>
        <v>obj_00709#0000</v>
      </c>
      <c r="P290" s="40" t="b">
        <f>_xll.qlInstrumentSetPricingEngine(O290,OisEngine)</f>
        <v>1</v>
      </c>
      <c r="Q290" s="38">
        <f>_xll.qlIndexFixing(Currency&amp;IborType&amp;"3M",_xll.qlInterestRateIndexFixingDate(Currency&amp;IborType&amp;"3M",M290),TRUE,AllTriggers)</f>
        <v>2.0755871937096083E-2</v>
      </c>
      <c r="R290" s="38">
        <f>_xll.qlOvernightIndexedSwapFairRate(O290,AllTriggers)</f>
        <v>2.0106953072712853E-2</v>
      </c>
      <c r="S290" s="345">
        <f t="shared" si="6"/>
        <v>6.4891886438322999E-4</v>
      </c>
    </row>
    <row r="291" spans="5:19" ht="11.25" customHeight="1" x14ac:dyDescent="0.2">
      <c r="E291" s="254"/>
      <c r="F291" s="254"/>
      <c r="G291" s="39"/>
      <c r="J291" s="39"/>
      <c r="K291" s="39"/>
      <c r="M291" s="346">
        <f>_xll.qlCalendarAdvance(Calendar,M290,"1M","f",,Trigger)</f>
        <v>50957</v>
      </c>
      <c r="N291" s="344">
        <f>_xll.qlCalendarAdvance(Calendar,M291,"3M","mf",,Trigger)</f>
        <v>51049</v>
      </c>
      <c r="O291" s="40" t="str">
        <f>_xll.qlMakeDatedOIS(,M291,N291,OvernightIndex,0,,,,EvaluationDate)</f>
        <v>obj_0070a#0000</v>
      </c>
      <c r="P291" s="40" t="b">
        <f>_xll.qlInstrumentSetPricingEngine(O291,OisEngine)</f>
        <v>1</v>
      </c>
      <c r="Q291" s="38">
        <f>_xll.qlIndexFixing(Currency&amp;IborType&amp;"3M",_xll.qlInterestRateIndexFixingDate(Currency&amp;IborType&amp;"3M",M291),TRUE,AllTriggers)</f>
        <v>2.0719283302770286E-2</v>
      </c>
      <c r="R291" s="38">
        <f>_xll.qlOvernightIndexedSwapFairRate(O291,AllTriggers)</f>
        <v>2.007290861281558E-2</v>
      </c>
      <c r="S291" s="345">
        <f t="shared" si="6"/>
        <v>6.4637468995470612E-4</v>
      </c>
    </row>
    <row r="292" spans="5:19" ht="11.25" customHeight="1" x14ac:dyDescent="0.2">
      <c r="E292" s="254"/>
      <c r="F292" s="254"/>
      <c r="G292" s="39"/>
      <c r="J292" s="39"/>
      <c r="K292" s="39"/>
      <c r="M292" s="346">
        <f>_xll.qlCalendarAdvance(Calendar,M291,"1M","f",,Trigger)</f>
        <v>50990</v>
      </c>
      <c r="N292" s="344">
        <f>_xll.qlCalendarAdvance(Calendar,M292,"3M","mf",,Trigger)</f>
        <v>51082</v>
      </c>
      <c r="O292" s="40" t="str">
        <f>_xll.qlMakeDatedOIS(,M292,N292,OvernightIndex,0,,,,EvaluationDate)</f>
        <v>obj_0070b#0000</v>
      </c>
      <c r="P292" s="40" t="b">
        <f>_xll.qlInstrumentSetPricingEngine(O292,OisEngine)</f>
        <v>1</v>
      </c>
      <c r="Q292" s="38">
        <f>_xll.qlIndexFixing(Currency&amp;IborType&amp;"3M",_xll.qlInterestRateIndexFixingDate(Currency&amp;IborType&amp;"3M",M292),TRUE,AllTriggers)</f>
        <v>2.0679072463500679E-2</v>
      </c>
      <c r="R292" s="38">
        <f>_xll.qlOvernightIndexedSwapFairRate(O292,AllTriggers)</f>
        <v>2.0035487394049263E-2</v>
      </c>
      <c r="S292" s="345">
        <f t="shared" si="6"/>
        <v>6.4358506945141544E-4</v>
      </c>
    </row>
    <row r="293" spans="5:19" ht="11.25" customHeight="1" x14ac:dyDescent="0.2">
      <c r="E293" s="254"/>
      <c r="F293" s="254"/>
      <c r="G293" s="39"/>
      <c r="J293" s="39"/>
      <c r="K293" s="39"/>
      <c r="M293" s="346">
        <f>_xll.qlCalendarAdvance(Calendar,M292,"1M","f",,Trigger)</f>
        <v>51021</v>
      </c>
      <c r="N293" s="344">
        <f>_xll.qlCalendarAdvance(Calendar,M293,"3M","mf",,Trigger)</f>
        <v>51112</v>
      </c>
      <c r="O293" s="40" t="str">
        <f>_xll.qlMakeDatedOIS(,M293,N293,OvernightIndex,0,,,,EvaluationDate)</f>
        <v>obj_0070d#0000</v>
      </c>
      <c r="P293" s="40" t="b">
        <f>_xll.qlInstrumentSetPricingEngine(O293,OisEngine)</f>
        <v>1</v>
      </c>
      <c r="Q293" s="38">
        <f>_xll.qlIndexFixing(Currency&amp;IborType&amp;"3M",_xll.qlInterestRateIndexFixingDate(Currency&amp;IborType&amp;"3M",M293),TRUE,AllTriggers)</f>
        <v>2.0641461218726089E-2</v>
      </c>
      <c r="R293" s="38">
        <f>_xll.qlOvernightIndexedSwapFairRate(O293,AllTriggers)</f>
        <v>2.0000482596426256E-2</v>
      </c>
      <c r="S293" s="345">
        <f t="shared" si="6"/>
        <v>6.4097862229983357E-4</v>
      </c>
    </row>
    <row r="294" spans="5:19" ht="11.25" customHeight="1" x14ac:dyDescent="0.2">
      <c r="E294" s="254"/>
      <c r="F294" s="254"/>
      <c r="G294" s="39"/>
      <c r="J294" s="39"/>
      <c r="K294" s="39"/>
      <c r="M294" s="346">
        <f>_xll.qlCalendarAdvance(Calendar,M293,"1M","f",,Trigger)</f>
        <v>51053</v>
      </c>
      <c r="N294" s="344">
        <f>_xll.qlCalendarAdvance(Calendar,M294,"3M","mf",,Trigger)</f>
        <v>51145</v>
      </c>
      <c r="O294" s="40" t="str">
        <f>_xll.qlMakeDatedOIS(,M294,N294,OvernightIndex,0,,,,EvaluationDate)</f>
        <v>obj_0070f#0000</v>
      </c>
      <c r="P294" s="40" t="b">
        <f>_xll.qlInstrumentSetPricingEngine(O294,OisEngine)</f>
        <v>1</v>
      </c>
      <c r="Q294" s="38">
        <f>_xll.qlIndexFixing(Currency&amp;IborType&amp;"3M",_xll.qlInterestRateIndexFixingDate(Currency&amp;IborType&amp;"3M",M294),TRUE,AllTriggers)</f>
        <v>2.0603136944872837E-2</v>
      </c>
      <c r="R294" s="38">
        <f>_xll.qlOvernightIndexedSwapFairRate(O294,AllTriggers)</f>
        <v>1.9964853806482566E-2</v>
      </c>
      <c r="S294" s="345">
        <f t="shared" si="6"/>
        <v>6.3828313839027137E-4</v>
      </c>
    </row>
    <row r="295" spans="5:19" ht="11.25" customHeight="1" x14ac:dyDescent="0.2">
      <c r="E295" s="254"/>
      <c r="F295" s="254"/>
      <c r="G295" s="39"/>
      <c r="J295" s="39"/>
      <c r="K295" s="39"/>
      <c r="M295" s="346">
        <f>_xll.qlCalendarAdvance(Calendar,M294,"1M","f",,Trigger)</f>
        <v>51084</v>
      </c>
      <c r="N295" s="344">
        <f>_xll.qlCalendarAdvance(Calendar,M295,"3M","mf",,Trigger)</f>
        <v>51176</v>
      </c>
      <c r="O295" s="40" t="str">
        <f>_xll.qlMakeDatedOIS(,M295,N295,OvernightIndex,0,,,,EvaluationDate)</f>
        <v>obj_00710#0000</v>
      </c>
      <c r="P295" s="40" t="b">
        <f>_xll.qlInstrumentSetPricingEngine(O295,OisEngine)</f>
        <v>1</v>
      </c>
      <c r="Q295" s="38">
        <f>_xll.qlIndexFixing(Currency&amp;IborType&amp;"3M",_xll.qlInterestRateIndexFixingDate(Currency&amp;IborType&amp;"3M",M295),TRUE,AllTriggers)</f>
        <v>2.0566895562028526E-2</v>
      </c>
      <c r="R295" s="38">
        <f>_xll.qlOvernightIndexedSwapFairRate(O295,AllTriggers)</f>
        <v>1.9931212277146382E-2</v>
      </c>
      <c r="S295" s="345">
        <f t="shared" si="6"/>
        <v>6.3568328488214365E-4</v>
      </c>
    </row>
    <row r="296" spans="5:19" ht="11.25" customHeight="1" x14ac:dyDescent="0.2">
      <c r="E296" s="254"/>
      <c r="F296" s="254"/>
      <c r="G296" s="39"/>
      <c r="J296" s="39"/>
      <c r="K296" s="39"/>
      <c r="M296" s="346">
        <f>_xll.qlCalendarAdvance(Calendar,M295,"1M","f",,Trigger)</f>
        <v>51116</v>
      </c>
      <c r="N296" s="344">
        <f>_xll.qlCalendarAdvance(Calendar,M296,"3M","mf",,Trigger)</f>
        <v>51207</v>
      </c>
      <c r="O296" s="40" t="str">
        <f>_xll.qlMakeDatedOIS(,M296,N296,OvernightIndex,0,,,,EvaluationDate)</f>
        <v>obj_00711#0000</v>
      </c>
      <c r="P296" s="40" t="b">
        <f>_xll.qlInstrumentSetPricingEngine(O296,OisEngine)</f>
        <v>1</v>
      </c>
      <c r="Q296" s="38">
        <f>_xll.qlIndexFixing(Currency&amp;IborType&amp;"3M",_xll.qlInterestRateIndexFixingDate(Currency&amp;IborType&amp;"3M",M296),TRUE,AllTriggers)</f>
        <v>2.053059922659552E-2</v>
      </c>
      <c r="R296" s="38">
        <f>_xll.qlOvernightIndexedSwapFairRate(O296,AllTriggers)</f>
        <v>1.989758831956303E-2</v>
      </c>
      <c r="S296" s="345">
        <f t="shared" si="6"/>
        <v>6.3301090703249061E-4</v>
      </c>
    </row>
    <row r="297" spans="5:19" ht="11.25" customHeight="1" x14ac:dyDescent="0.2">
      <c r="E297" s="254"/>
      <c r="F297" s="254"/>
      <c r="G297" s="39"/>
      <c r="J297" s="39"/>
      <c r="K297" s="39"/>
      <c r="M297" s="346">
        <f>_xll.qlCalendarAdvance(Calendar,M296,"1M","f",,Trigger)</f>
        <v>51147</v>
      </c>
      <c r="N297" s="344">
        <f>_xll.qlCalendarAdvance(Calendar,M297,"3M","mf",,Trigger)</f>
        <v>51238</v>
      </c>
      <c r="O297" s="40" t="str">
        <f>_xll.qlMakeDatedOIS(,M297,N297,OvernightIndex,0,,,,EvaluationDate)</f>
        <v>obj_00713#0000</v>
      </c>
      <c r="P297" s="40" t="b">
        <f>_xll.qlInstrumentSetPricingEngine(O297,OisEngine)</f>
        <v>1</v>
      </c>
      <c r="Q297" s="38">
        <f>_xll.qlIndexFixing(Currency&amp;IborType&amp;"3M",_xll.qlInterestRateIndexFixingDate(Currency&amp;IborType&amp;"3M",M297),TRUE,AllTriggers)</f>
        <v>2.0496588700688743E-2</v>
      </c>
      <c r="R297" s="38">
        <f>_xll.qlOvernightIndexedSwapFairRate(O297,AllTriggers)</f>
        <v>1.9866167865150677E-2</v>
      </c>
      <c r="S297" s="345">
        <f t="shared" si="6"/>
        <v>6.3042083553806541E-4</v>
      </c>
    </row>
    <row r="298" spans="5:19" ht="11.25" customHeight="1" x14ac:dyDescent="0.2">
      <c r="E298" s="254"/>
      <c r="F298" s="254"/>
      <c r="G298" s="39"/>
      <c r="J298" s="39"/>
      <c r="K298" s="39"/>
      <c r="M298" s="346">
        <f>_xll.qlCalendarAdvance(Calendar,M297,"1M","f",,Trigger)</f>
        <v>51179</v>
      </c>
      <c r="N298" s="344">
        <f>_xll.qlCalendarAdvance(Calendar,M298,"3M","mf",,Trigger)</f>
        <v>51270</v>
      </c>
      <c r="O298" s="40" t="str">
        <f>_xll.qlMakeDatedOIS(,M298,N298,OvernightIndex,0,,,,EvaluationDate)</f>
        <v>obj_00714#0000</v>
      </c>
      <c r="P298" s="40" t="b">
        <f>_xll.qlInstrumentSetPricingEngine(O298,OisEngine)</f>
        <v>1</v>
      </c>
      <c r="Q298" s="38">
        <f>_xll.qlIndexFixing(Currency&amp;IborType&amp;"3M",_xll.qlInterestRateIndexFixingDate(Currency&amp;IborType&amp;"3M",M298),TRUE,AllTriggers)</f>
        <v>2.0462650388400786E-2</v>
      </c>
      <c r="R298" s="38">
        <f>_xll.qlOvernightIndexedSwapFairRate(O298,AllTriggers)</f>
        <v>1.9834898229919642E-2</v>
      </c>
      <c r="S298" s="345">
        <f t="shared" si="6"/>
        <v>6.2775215848114366E-4</v>
      </c>
    </row>
    <row r="299" spans="5:19" ht="11.25" customHeight="1" x14ac:dyDescent="0.2">
      <c r="E299" s="254"/>
      <c r="F299" s="254"/>
      <c r="G299" s="39"/>
      <c r="J299" s="39"/>
      <c r="K299" s="39"/>
      <c r="M299" s="346">
        <f>_xll.qlCalendarAdvance(Calendar,M298,"1M","f",,Trigger)</f>
        <v>51208</v>
      </c>
      <c r="N299" s="344">
        <f>_xll.qlCalendarAdvance(Calendar,M299,"3M","mf",,Trigger)</f>
        <v>51300</v>
      </c>
      <c r="O299" s="40" t="str">
        <f>_xll.qlMakeDatedOIS(,M299,N299,OvernightIndex,0,,,,EvaluationDate)</f>
        <v>obj_00716#0000</v>
      </c>
      <c r="P299" s="40" t="b">
        <f>_xll.qlInstrumentSetPricingEngine(O299,OisEngine)</f>
        <v>1</v>
      </c>
      <c r="Q299" s="38">
        <f>_xll.qlIndexFixing(Currency&amp;IborType&amp;"3M",_xll.qlInterestRateIndexFixingDate(Currency&amp;IborType&amp;"3M",M299),TRUE,AllTriggers)</f>
        <v>2.0433003485486094E-2</v>
      </c>
      <c r="R299" s="38">
        <f>_xll.qlOvernightIndexedSwapFairRate(O299,AllTriggers)</f>
        <v>1.9807672169355729E-2</v>
      </c>
      <c r="S299" s="345">
        <f t="shared" si="6"/>
        <v>6.2533131613036474E-4</v>
      </c>
    </row>
    <row r="300" spans="5:19" ht="11.25" customHeight="1" x14ac:dyDescent="0.2">
      <c r="E300" s="254"/>
      <c r="F300" s="254"/>
      <c r="G300" s="39"/>
      <c r="J300" s="39"/>
      <c r="K300" s="39"/>
      <c r="M300" s="346">
        <f>_xll.qlCalendarAdvance(Calendar,M299,"1M","f",,Trigger)</f>
        <v>51239</v>
      </c>
      <c r="N300" s="344">
        <f>_xll.qlCalendarAdvance(Calendar,M300,"3M","mf",,Trigger)</f>
        <v>51330</v>
      </c>
      <c r="O300" s="40" t="str">
        <f>_xll.qlMakeDatedOIS(,M300,N300,OvernightIndex,0,,,,EvaluationDate)</f>
        <v>obj_00717#0000</v>
      </c>
      <c r="P300" s="40" t="b">
        <f>_xll.qlInstrumentSetPricingEngine(O300,OisEngine)</f>
        <v>1</v>
      </c>
      <c r="Q300" s="38">
        <f>_xll.qlIndexFixing(Currency&amp;IborType&amp;"3M",_xll.qlInterestRateIndexFixingDate(Currency&amp;IborType&amp;"3M",M300),TRUE,AllTriggers)</f>
        <v>2.0402217678345262E-2</v>
      </c>
      <c r="R300" s="38">
        <f>_xll.qlOvernightIndexedSwapFairRate(O300,AllTriggers)</f>
        <v>1.977945575774594E-2</v>
      </c>
      <c r="S300" s="345">
        <f t="shared" si="6"/>
        <v>6.2276192059932192E-4</v>
      </c>
    </row>
    <row r="301" spans="5:19" ht="11.25" customHeight="1" x14ac:dyDescent="0.2">
      <c r="E301" s="254"/>
      <c r="F301" s="254"/>
      <c r="G301" s="39"/>
      <c r="J301" s="39"/>
      <c r="K301" s="39"/>
      <c r="M301" s="346">
        <f>_xll.qlCalendarAdvance(Calendar,M300,"1M","f",,Trigger)</f>
        <v>51270</v>
      </c>
      <c r="N301" s="344">
        <f>_xll.qlCalendarAdvance(Calendar,M301,"3M","mf",,Trigger)</f>
        <v>51362</v>
      </c>
      <c r="O301" s="40" t="str">
        <f>_xll.qlMakeDatedOIS(,M301,N301,OvernightIndex,0,,,,EvaluationDate)</f>
        <v>obj_00719#0000</v>
      </c>
      <c r="P301" s="40" t="b">
        <f>_xll.qlInstrumentSetPricingEngine(O301,OisEngine)</f>
        <v>1</v>
      </c>
      <c r="Q301" s="38">
        <f>_xll.qlIndexFixing(Currency&amp;IborType&amp;"3M",_xll.qlInterestRateIndexFixingDate(Currency&amp;IborType&amp;"3M",M301),TRUE,AllTriggers)</f>
        <v>2.0372746462445288E-2</v>
      </c>
      <c r="R301" s="38">
        <f>_xll.qlOvernightIndexedSwapFairRate(O301,AllTriggers)</f>
        <v>1.9752562845397569E-2</v>
      </c>
      <c r="S301" s="345">
        <f t="shared" si="6"/>
        <v>6.2018361704771832E-4</v>
      </c>
    </row>
    <row r="302" spans="5:19" ht="11.25" customHeight="1" x14ac:dyDescent="0.2">
      <c r="E302" s="254"/>
      <c r="F302" s="254"/>
      <c r="G302" s="39"/>
      <c r="J302" s="39"/>
      <c r="K302" s="39"/>
      <c r="M302" s="346">
        <f>_xll.qlCalendarAdvance(Calendar,M301,"1M","f",,Trigger)</f>
        <v>51301</v>
      </c>
      <c r="N302" s="344">
        <f>_xll.qlCalendarAdvance(Calendar,M302,"3M","mf",,Trigger)</f>
        <v>51393</v>
      </c>
      <c r="O302" s="40" t="str">
        <f>_xll.qlMakeDatedOIS(,M302,N302,OvernightIndex,0,,,,EvaluationDate)</f>
        <v>obj_0071a#0000</v>
      </c>
      <c r="P302" s="40" t="b">
        <f>_xll.qlInstrumentSetPricingEngine(O302,OisEngine)</f>
        <v>1</v>
      </c>
      <c r="Q302" s="38">
        <f>_xll.qlIndexFixing(Currency&amp;IborType&amp;"3M",_xll.qlInterestRateIndexFixingDate(Currency&amp;IborType&amp;"3M",M302),TRUE,AllTriggers)</f>
        <v>2.0344290112600093E-2</v>
      </c>
      <c r="R302" s="38">
        <f>_xll.qlOvernightIndexedSwapFairRate(O302,AllTriggers)</f>
        <v>1.972667328178029E-2</v>
      </c>
      <c r="S302" s="345">
        <f t="shared" si="6"/>
        <v>6.1761683081980323E-4</v>
      </c>
    </row>
    <row r="303" spans="5:19" ht="11.25" customHeight="1" x14ac:dyDescent="0.2">
      <c r="E303" s="254"/>
      <c r="F303" s="254"/>
      <c r="G303" s="39"/>
      <c r="J303" s="39"/>
      <c r="K303" s="39"/>
      <c r="M303" s="346">
        <f>_xll.qlCalendarAdvance(Calendar,M302,"1M","f",,Trigger)</f>
        <v>51333</v>
      </c>
      <c r="N303" s="344">
        <f>_xll.qlCalendarAdvance(Calendar,M303,"3M","mf",,Trigger)</f>
        <v>51425</v>
      </c>
      <c r="O303" s="40" t="str">
        <f>_xll.qlMakeDatedOIS(,M303,N303,OvernightIndex,0,,,,EvaluationDate)</f>
        <v>obj_0071b#0000</v>
      </c>
      <c r="P303" s="40" t="b">
        <f>_xll.qlInstrumentSetPricingEngine(O303,OisEngine)</f>
        <v>1</v>
      </c>
      <c r="Q303" s="38">
        <f>_xll.qlIndexFixing(Currency&amp;IborType&amp;"3M",_xll.qlInterestRateIndexFixingDate(Currency&amp;IborType&amp;"3M",M303),TRUE,AllTriggers)</f>
        <v>2.0316085076712374E-2</v>
      </c>
      <c r="R303" s="38">
        <f>_xll.qlOvernightIndexedSwapFairRate(O303,AllTriggers)</f>
        <v>1.970111289570823E-2</v>
      </c>
      <c r="S303" s="345">
        <f t="shared" si="6"/>
        <v>6.1497218100414405E-4</v>
      </c>
    </row>
    <row r="304" spans="5:19" ht="11.25" customHeight="1" x14ac:dyDescent="0.2">
      <c r="E304" s="254"/>
      <c r="F304" s="254"/>
      <c r="G304" s="39"/>
      <c r="J304" s="39"/>
      <c r="K304" s="39"/>
      <c r="M304" s="346">
        <f>_xll.qlCalendarAdvance(Calendar,M303,"1M","f",,Trigger)</f>
        <v>51364</v>
      </c>
      <c r="N304" s="344">
        <f>_xll.qlCalendarAdvance(Calendar,M304,"3M","mf",,Trigger)</f>
        <v>51456</v>
      </c>
      <c r="O304" s="40" t="str">
        <f>_xll.qlMakeDatedOIS(,M304,N304,OvernightIndex,0,,,,EvaluationDate)</f>
        <v>obj_0071c#0000</v>
      </c>
      <c r="P304" s="40" t="b">
        <f>_xll.qlInstrumentSetPricingEngine(O304,OisEngine)</f>
        <v>1</v>
      </c>
      <c r="Q304" s="38">
        <f>_xll.qlIndexFixing(Currency&amp;IborType&amp;"3M",_xll.qlInterestRateIndexFixingDate(Currency&amp;IborType&amp;"3M",M304),TRUE,AllTriggers)</f>
        <v>2.0289894145671034E-2</v>
      </c>
      <c r="R304" s="38">
        <f>_xll.qlOvernightIndexedSwapFairRate(O304,AllTriggers)</f>
        <v>1.9677479189778555E-2</v>
      </c>
      <c r="S304" s="345">
        <f t="shared" si="6"/>
        <v>6.1241495589247838E-4</v>
      </c>
    </row>
    <row r="305" spans="5:19" ht="11.25" customHeight="1" x14ac:dyDescent="0.2">
      <c r="E305" s="254"/>
      <c r="F305" s="254"/>
      <c r="G305" s="39"/>
      <c r="J305" s="39"/>
      <c r="K305" s="39"/>
      <c r="M305" s="346">
        <f>_xll.qlCalendarAdvance(Calendar,M304,"1M","f",,Trigger)</f>
        <v>51396</v>
      </c>
      <c r="N305" s="344">
        <f>_xll.qlCalendarAdvance(Calendar,M305,"3M","mf",,Trigger)</f>
        <v>51487</v>
      </c>
      <c r="O305" s="40" t="str">
        <f>_xll.qlMakeDatedOIS(,M305,N305,OvernightIndex,0,,,,EvaluationDate)</f>
        <v>obj_0071e#0000</v>
      </c>
      <c r="P305" s="40" t="b">
        <f>_xll.qlInstrumentSetPricingEngine(O305,OisEngine)</f>
        <v>1</v>
      </c>
      <c r="Q305" s="38">
        <f>_xll.qlIndexFixing(Currency&amp;IborType&amp;"3M",_xll.qlInterestRateIndexFixingDate(Currency&amp;IborType&amp;"3M",M305),TRUE,AllTriggers)</f>
        <v>2.0263844396449709E-2</v>
      </c>
      <c r="R305" s="38">
        <f>_xll.qlOvernightIndexedSwapFairRate(O305,AllTriggers)</f>
        <v>1.9654056856171262E-2</v>
      </c>
      <c r="S305" s="345">
        <f t="shared" si="6"/>
        <v>6.097875402784475E-4</v>
      </c>
    </row>
    <row r="306" spans="5:19" ht="11.25" customHeight="1" x14ac:dyDescent="0.2">
      <c r="E306" s="254"/>
      <c r="F306" s="254"/>
      <c r="G306" s="39"/>
      <c r="J306" s="39"/>
      <c r="K306" s="39"/>
      <c r="M306" s="346">
        <f>_xll.qlCalendarAdvance(Calendar,M305,"1M","f",,Trigger)</f>
        <v>51426</v>
      </c>
      <c r="N306" s="344">
        <f>_xll.qlCalendarAdvance(Calendar,M306,"3M","mf",,Trigger)</f>
        <v>51518</v>
      </c>
      <c r="O306" s="40" t="str">
        <f>_xll.qlMakeDatedOIS(,M306,N306,OvernightIndex,0,,,,EvaluationDate)</f>
        <v>obj_0071f#0000</v>
      </c>
      <c r="P306" s="40" t="b">
        <f>_xll.qlInstrumentSetPricingEngine(O306,OisEngine)</f>
        <v>1</v>
      </c>
      <c r="Q306" s="38">
        <f>_xll.qlIndexFixing(Currency&amp;IborType&amp;"3M",_xll.qlInterestRateIndexFixingDate(Currency&amp;IborType&amp;"3M",M306),TRUE,AllTriggers)</f>
        <v>2.0240856349177144E-2</v>
      </c>
      <c r="R306" s="38">
        <f>_xll.qlOvernightIndexedSwapFairRate(O306,AllTriggers)</f>
        <v>1.9633541741996736E-2</v>
      </c>
      <c r="S306" s="345">
        <f t="shared" si="6"/>
        <v>6.0731460718040781E-4</v>
      </c>
    </row>
    <row r="307" spans="5:19" ht="11.25" customHeight="1" x14ac:dyDescent="0.2">
      <c r="E307" s="254"/>
      <c r="F307" s="254"/>
      <c r="G307" s="39"/>
      <c r="J307" s="39"/>
      <c r="K307" s="39"/>
      <c r="M307" s="346">
        <f>_xll.qlCalendarAdvance(Calendar,M306,"1M","f",,Trigger)</f>
        <v>51459</v>
      </c>
      <c r="N307" s="344">
        <f>_xll.qlCalendarAdvance(Calendar,M307,"3M","mf",,Trigger)</f>
        <v>51551</v>
      </c>
      <c r="O307" s="40" t="str">
        <f>_xll.qlMakeDatedOIS(,M307,N307,OvernightIndex,0,,,,EvaluationDate)</f>
        <v>obj_00720#0000</v>
      </c>
      <c r="P307" s="40" t="b">
        <f>_xll.qlInstrumentSetPricingEngine(O307,OisEngine)</f>
        <v>1</v>
      </c>
      <c r="Q307" s="38">
        <f>_xll.qlIndexFixing(Currency&amp;IborType&amp;"3M",_xll.qlInterestRateIndexFixingDate(Currency&amp;IborType&amp;"3M",M307),TRUE,AllTriggers)</f>
        <v>2.0216573723923978E-2</v>
      </c>
      <c r="R307" s="38">
        <f>_xll.qlOvernightIndexedSwapFairRate(O307,AllTriggers)</f>
        <v>1.9611966156380368E-2</v>
      </c>
      <c r="S307" s="345">
        <f t="shared" si="6"/>
        <v>6.0460756754360939E-4</v>
      </c>
    </row>
    <row r="308" spans="5:19" ht="11.25" customHeight="1" x14ac:dyDescent="0.2">
      <c r="E308" s="254"/>
      <c r="F308" s="254"/>
      <c r="G308" s="39"/>
      <c r="J308" s="39"/>
      <c r="K308" s="39"/>
      <c r="M308" s="346">
        <f>_xll.qlCalendarAdvance(Calendar,M307,"1M","f",,Trigger)</f>
        <v>51489</v>
      </c>
      <c r="N308" s="344">
        <f>_xll.qlCalendarAdvance(Calendar,M308,"3M","mf",,Trigger)</f>
        <v>51579</v>
      </c>
      <c r="O308" s="40" t="str">
        <f>_xll.qlMakeDatedOIS(,M308,N308,OvernightIndex,0,,,,EvaluationDate)</f>
        <v>obj_00721#0000</v>
      </c>
      <c r="P308" s="40" t="b">
        <f>_xll.qlInstrumentSetPricingEngine(O308,OisEngine)</f>
        <v>1</v>
      </c>
      <c r="Q308" s="38">
        <f>_xll.qlIndexFixing(Currency&amp;IborType&amp;"3M",_xll.qlInterestRateIndexFixingDate(Currency&amp;IborType&amp;"3M",M308),TRUE,AllTriggers)</f>
        <v>2.0195128541916851E-2</v>
      </c>
      <c r="R308" s="38">
        <f>_xll.qlOvernightIndexedSwapFairRate(O308,AllTriggers)</f>
        <v>1.9592961961659938E-2</v>
      </c>
      <c r="S308" s="345">
        <f t="shared" si="6"/>
        <v>6.0216658025691316E-4</v>
      </c>
    </row>
    <row r="309" spans="5:19" ht="11.25" customHeight="1" x14ac:dyDescent="0.2">
      <c r="E309" s="254"/>
      <c r="F309" s="254"/>
      <c r="G309" s="39"/>
      <c r="J309" s="39"/>
      <c r="K309" s="39"/>
      <c r="M309" s="346">
        <f>_xll.qlCalendarAdvance(Calendar,M308,"1M","f",,Trigger)</f>
        <v>51522</v>
      </c>
      <c r="N309" s="344">
        <f>_xll.qlCalendarAdvance(Calendar,M309,"3M","mf",,Trigger)</f>
        <v>51614</v>
      </c>
      <c r="O309" s="40" t="str">
        <f>_xll.qlMakeDatedOIS(,M309,N309,OvernightIndex,0,,,,EvaluationDate)</f>
        <v>obj_00723#0000</v>
      </c>
      <c r="P309" s="40" t="b">
        <f>_xll.qlInstrumentSetPricingEngine(O309,OisEngine)</f>
        <v>1</v>
      </c>
      <c r="Q309" s="38">
        <f>_xll.qlIndexFixing(Currency&amp;IborType&amp;"3M",_xll.qlInterestRateIndexFixingDate(Currency&amp;IborType&amp;"3M",M309),TRUE,AllTriggers)</f>
        <v>2.0173723407483624E-2</v>
      </c>
      <c r="R309" s="38">
        <f>_xll.qlOvernightIndexedSwapFairRate(O309,AllTriggers)</f>
        <v>1.9574269055012937E-2</v>
      </c>
      <c r="S309" s="345">
        <f t="shared" si="6"/>
        <v>5.9945435247068732E-4</v>
      </c>
    </row>
    <row r="310" spans="5:19" ht="11.25" customHeight="1" x14ac:dyDescent="0.2">
      <c r="E310" s="254"/>
      <c r="F310" s="254"/>
      <c r="G310" s="39"/>
      <c r="J310" s="39"/>
      <c r="K310" s="39"/>
      <c r="M310" s="346">
        <f>_xll.qlCalendarAdvance(Calendar,M309,"1M","f",,Trigger)</f>
        <v>51553</v>
      </c>
      <c r="N310" s="344">
        <f>_xll.qlCalendarAdvance(Calendar,M310,"3M","mf",,Trigger)</f>
        <v>51642</v>
      </c>
      <c r="O310" s="40" t="str">
        <f>_xll.qlMakeDatedOIS(,M310,N310,OvernightIndex,0,,,,EvaluationDate)</f>
        <v>obj_00724#0000</v>
      </c>
      <c r="P310" s="40" t="b">
        <f>_xll.qlInstrumentSetPricingEngine(O310,OisEngine)</f>
        <v>1</v>
      </c>
      <c r="Q310" s="38">
        <f>_xll.qlIndexFixing(Currency&amp;IborType&amp;"3M",_xll.qlInterestRateIndexFixingDate(Currency&amp;IborType&amp;"3M",M310),TRUE,AllTriggers)</f>
        <v>2.0153525147324807E-2</v>
      </c>
      <c r="R310" s="38">
        <f>_xll.qlOvernightIndexedSwapFairRate(O310,AllTriggers)</f>
        <v>1.9556575795513363E-2</v>
      </c>
      <c r="S310" s="345">
        <f t="shared" si="6"/>
        <v>5.9694935181144396E-4</v>
      </c>
    </row>
    <row r="311" spans="5:19" ht="11.25" customHeight="1" x14ac:dyDescent="0.2">
      <c r="E311" s="254"/>
      <c r="F311" s="254"/>
      <c r="G311" s="39"/>
      <c r="J311" s="39"/>
      <c r="K311" s="39"/>
      <c r="M311" s="346">
        <f>_xll.qlCalendarAdvance(Calendar,M310,"1M","f",,Trigger)</f>
        <v>51581</v>
      </c>
      <c r="N311" s="344">
        <f>_xll.qlCalendarAdvance(Calendar,M311,"3M","mf",,Trigger)</f>
        <v>51673</v>
      </c>
      <c r="O311" s="40" t="str">
        <f>_xll.qlMakeDatedOIS(,M311,N311,OvernightIndex,0,,,,EvaluationDate)</f>
        <v>obj_00a1a#0000</v>
      </c>
      <c r="P311" s="40" t="b">
        <f>_xll.qlInstrumentSetPricingEngine(O311,OisEngine)</f>
        <v>1</v>
      </c>
      <c r="Q311" s="38">
        <f>_xll.qlIndexFixing(Currency&amp;IborType&amp;"3M",_xll.qlInterestRateIndexFixingDate(Currency&amp;IborType&amp;"3M",M311),TRUE,AllTriggers)</f>
        <v>2.0137767978746661E-2</v>
      </c>
      <c r="R311" s="38">
        <f>_xll.qlOvernightIndexedSwapFairRate(O311,AllTriggers)</f>
        <v>1.9543122088855384E-2</v>
      </c>
      <c r="S311" s="345">
        <f t="shared" si="6"/>
        <v>5.9464588989127654E-4</v>
      </c>
    </row>
    <row r="312" spans="5:19" ht="11.25" customHeight="1" x14ac:dyDescent="0.2">
      <c r="E312" s="254"/>
      <c r="F312" s="254"/>
      <c r="G312" s="39"/>
      <c r="J312" s="39"/>
      <c r="K312" s="39"/>
      <c r="M312" s="346">
        <f>_xll.qlCalendarAdvance(Calendar,M311,"1M","f",,Trigger)</f>
        <v>51614</v>
      </c>
      <c r="N312" s="344">
        <f>_xll.qlCalendarAdvance(Calendar,M312,"3M","mf",,Trigger)</f>
        <v>51705</v>
      </c>
      <c r="O312" s="40" t="str">
        <f>_xll.qlMakeDatedOIS(,M312,N312,OvernightIndex,0,,,,EvaluationDate)</f>
        <v>obj_00726#0000</v>
      </c>
      <c r="P312" s="40" t="b">
        <f>_xll.qlInstrumentSetPricingEngine(O312,OisEngine)</f>
        <v>1</v>
      </c>
      <c r="Q312" s="38">
        <f>_xll.qlIndexFixing(Currency&amp;IborType&amp;"3M",_xll.qlInterestRateIndexFixingDate(Currency&amp;IborType&amp;"3M",M312),TRUE,AllTriggers)</f>
        <v>2.0119116409029286E-2</v>
      </c>
      <c r="R312" s="38">
        <f>_xll.qlOvernightIndexedSwapFairRate(O312,AllTriggers)</f>
        <v>1.9527144550767071E-2</v>
      </c>
      <c r="S312" s="345">
        <f t="shared" si="6"/>
        <v>5.9197185826221493E-4</v>
      </c>
    </row>
    <row r="313" spans="5:19" ht="11.25" customHeight="1" x14ac:dyDescent="0.2">
      <c r="E313" s="254"/>
      <c r="F313" s="254"/>
      <c r="G313" s="39"/>
      <c r="J313" s="39"/>
      <c r="K313" s="39"/>
      <c r="M313" s="346">
        <f>_xll.qlCalendarAdvance(Calendar,M312,"1M","f",,Trigger)</f>
        <v>51644</v>
      </c>
      <c r="N313" s="344">
        <f>_xll.qlCalendarAdvance(Calendar,M313,"3M","mf",,Trigger)</f>
        <v>51736</v>
      </c>
      <c r="O313" s="40" t="str">
        <f>_xll.qlMakeDatedOIS(,M313,N313,OvernightIndex,0,,,,EvaluationDate)</f>
        <v>obj_00727#0000</v>
      </c>
      <c r="P313" s="40" t="b">
        <f>_xll.qlInstrumentSetPricingEngine(O313,OisEngine)</f>
        <v>1</v>
      </c>
      <c r="Q313" s="38">
        <f>_xll.qlIndexFixing(Currency&amp;IborType&amp;"3M",_xll.qlInterestRateIndexFixingDate(Currency&amp;IborType&amp;"3M",M313),TRUE,AllTriggers)</f>
        <v>2.0103831997584944E-2</v>
      </c>
      <c r="R313" s="38">
        <f>_xll.qlOvernightIndexedSwapFairRate(O313,AllTriggers)</f>
        <v>1.951430183023925E-2</v>
      </c>
      <c r="S313" s="345">
        <f t="shared" si="6"/>
        <v>5.8953016734569416E-4</v>
      </c>
    </row>
    <row r="314" spans="5:19" ht="11.25" customHeight="1" x14ac:dyDescent="0.2">
      <c r="E314" s="254"/>
      <c r="F314" s="254"/>
      <c r="G314" s="39"/>
      <c r="J314" s="39"/>
      <c r="K314" s="39"/>
      <c r="M314" s="346">
        <f>_xll.qlCalendarAdvance(Calendar,M313,"1M","f",,Trigger)</f>
        <v>51676</v>
      </c>
      <c r="N314" s="344">
        <f>_xll.qlCalendarAdvance(Calendar,M314,"3M","mf",,Trigger)</f>
        <v>51768</v>
      </c>
      <c r="O314" s="40" t="str">
        <f>_xll.qlMakeDatedOIS(,M314,N314,OvernightIndex,0,,,,EvaluationDate)</f>
        <v>obj_00729#0000</v>
      </c>
      <c r="P314" s="40" t="b">
        <f>_xll.qlInstrumentSetPricingEngine(O314,OisEngine)</f>
        <v>1</v>
      </c>
      <c r="Q314" s="38">
        <f>_xll.qlIndexFixing(Currency&amp;IborType&amp;"3M",_xll.qlInterestRateIndexFixingDate(Currency&amp;IborType&amp;"3M",M314),TRUE,AllTriggers)</f>
        <v>2.0088357529080971E-2</v>
      </c>
      <c r="R314" s="38">
        <f>_xll.qlOvernightIndexedSwapFairRate(O314,AllTriggers)</f>
        <v>1.9501418418580007E-2</v>
      </c>
      <c r="S314" s="345">
        <f t="shared" si="6"/>
        <v>5.8693911050096415E-4</v>
      </c>
    </row>
    <row r="315" spans="5:19" ht="11.25" customHeight="1" x14ac:dyDescent="0.2">
      <c r="E315" s="254"/>
      <c r="F315" s="254"/>
      <c r="G315" s="39"/>
      <c r="J315" s="39"/>
      <c r="K315" s="39"/>
      <c r="M315" s="346">
        <f>_xll.qlCalendarAdvance(Calendar,M314,"1M","f",,Trigger)</f>
        <v>51706</v>
      </c>
      <c r="N315" s="344">
        <f>_xll.qlCalendarAdvance(Calendar,M315,"3M","mf",,Trigger)</f>
        <v>51798</v>
      </c>
      <c r="O315" s="40" t="str">
        <f>_xll.qlMakeDatedOIS(,M315,N315,OvernightIndex,0,,,,EvaluationDate)</f>
        <v>obj_0072a#0000</v>
      </c>
      <c r="P315" s="40" t="b">
        <f>_xll.qlInstrumentSetPricingEngine(O315,OisEngine)</f>
        <v>1</v>
      </c>
      <c r="Q315" s="38">
        <f>_xll.qlIndexFixing(Currency&amp;IborType&amp;"3M",_xll.qlInterestRateIndexFixingDate(Currency&amp;IborType&amp;"3M",M315),TRUE,AllTriggers)</f>
        <v>2.0074928787026974E-2</v>
      </c>
      <c r="R315" s="38">
        <f>_xll.qlOvernightIndexedSwapFairRate(O315,AllTriggers)</f>
        <v>1.949041426421837E-2</v>
      </c>
      <c r="S315" s="345">
        <f t="shared" si="6"/>
        <v>5.8451452280860322E-4</v>
      </c>
    </row>
    <row r="316" spans="5:19" ht="11.25" customHeight="1" x14ac:dyDescent="0.2">
      <c r="E316" s="254"/>
      <c r="F316" s="254"/>
      <c r="G316" s="39"/>
      <c r="J316" s="39"/>
      <c r="K316" s="39"/>
      <c r="M316" s="346">
        <f>_xll.qlCalendarAdvance(Calendar,M315,"1M","f",,Trigger)</f>
        <v>51739</v>
      </c>
      <c r="N316" s="344">
        <f>_xll.qlCalendarAdvance(Calendar,M316,"3M","mf",,Trigger)</f>
        <v>51831</v>
      </c>
      <c r="O316" s="40" t="str">
        <f>_xll.qlMakeDatedOIS(,M316,N316,OvernightIndex,0,,,,EvaluationDate)</f>
        <v>obj_0072b#0000</v>
      </c>
      <c r="P316" s="40" t="b">
        <f>_xll.qlInstrumentSetPricingEngine(O316,OisEngine)</f>
        <v>1</v>
      </c>
      <c r="Q316" s="38">
        <f>_xll.qlIndexFixing(Currency&amp;IborType&amp;"3M",_xll.qlInterestRateIndexFixingDate(Currency&amp;IborType&amp;"3M",M316),TRUE,AllTriggers)</f>
        <v>2.0061362723087808E-2</v>
      </c>
      <c r="R316" s="38">
        <f>_xll.qlOvernightIndexedSwapFairRate(O316,AllTriggers)</f>
        <v>1.9479510187886066E-2</v>
      </c>
      <c r="S316" s="345">
        <f t="shared" si="6"/>
        <v>5.8185253520174132E-4</v>
      </c>
    </row>
    <row r="317" spans="5:19" ht="11.25" customHeight="1" x14ac:dyDescent="0.2">
      <c r="E317" s="254"/>
      <c r="F317" s="254"/>
      <c r="G317" s="39"/>
      <c r="J317" s="39"/>
      <c r="K317" s="39"/>
      <c r="M317" s="346">
        <f>_xll.qlCalendarAdvance(Calendar,M316,"1M","f",,Trigger)</f>
        <v>51770</v>
      </c>
      <c r="N317" s="344">
        <f>_xll.qlCalendarAdvance(Calendar,M317,"3M","mf",,Trigger)</f>
        <v>51862</v>
      </c>
      <c r="O317" s="40" t="str">
        <f>_xll.qlMakeDatedOIS(,M317,N317,OvernightIndex,0,,,,EvaluationDate)</f>
        <v>obj_0072d#0000</v>
      </c>
      <c r="P317" s="40" t="b">
        <f>_xll.qlInstrumentSetPricingEngine(O317,OisEngine)</f>
        <v>1</v>
      </c>
      <c r="Q317" s="38">
        <f>_xll.qlIndexFixing(Currency&amp;IborType&amp;"3M",_xll.qlInterestRateIndexFixingDate(Currency&amp;IborType&amp;"3M",M317),TRUE,AllTriggers)</f>
        <v>2.0049769298096487E-2</v>
      </c>
      <c r="R317" s="38">
        <f>_xll.qlOvernightIndexedSwapFairRate(O317,AllTriggers)</f>
        <v>1.9470412592487305E-2</v>
      </c>
      <c r="S317" s="345">
        <f t="shared" si="6"/>
        <v>5.7935670560918182E-4</v>
      </c>
    </row>
    <row r="318" spans="5:19" ht="11.25" customHeight="1" x14ac:dyDescent="0.2">
      <c r="E318" s="254"/>
      <c r="F318" s="254"/>
      <c r="G318" s="39"/>
      <c r="J318" s="39"/>
      <c r="K318" s="39"/>
      <c r="M318" s="346">
        <f>_xll.qlCalendarAdvance(Calendar,M317,"1M","f",,Trigger)</f>
        <v>51802</v>
      </c>
      <c r="N318" s="344">
        <f>_xll.qlCalendarAdvance(Calendar,M318,"3M","mf",,Trigger)</f>
        <v>51894</v>
      </c>
      <c r="O318" s="40" t="str">
        <f>_xll.qlMakeDatedOIS(,M318,N318,OvernightIndex,0,,,,EvaluationDate)</f>
        <v>obj_0072f#0000</v>
      </c>
      <c r="P318" s="40" t="b">
        <f>_xll.qlInstrumentSetPricingEngine(O318,OisEngine)</f>
        <v>1</v>
      </c>
      <c r="Q318" s="38">
        <f>_xll.qlIndexFixing(Currency&amp;IborType&amp;"3M",_xll.qlInterestRateIndexFixingDate(Currency&amp;IborType&amp;"3M",M318),TRUE,AllTriggers)</f>
        <v>2.0038970889927971E-2</v>
      </c>
      <c r="R318" s="38">
        <f>_xll.qlOvernightIndexedSwapFairRate(O318,AllTriggers)</f>
        <v>1.9462185623613338E-2</v>
      </c>
      <c r="S318" s="345">
        <f t="shared" si="6"/>
        <v>5.7678526631463334E-4</v>
      </c>
    </row>
    <row r="319" spans="5:19" ht="11.25" customHeight="1" x14ac:dyDescent="0.2">
      <c r="E319" s="254"/>
      <c r="F319" s="254"/>
      <c r="G319" s="39"/>
      <c r="J319" s="39"/>
      <c r="K319" s="39"/>
      <c r="M319" s="346">
        <f>_xll.qlCalendarAdvance(Calendar,M318,"1M","f",,Trigger)</f>
        <v>51833</v>
      </c>
      <c r="N319" s="344">
        <f>_xll.qlCalendarAdvance(Calendar,M319,"3M","mf",,Trigger)</f>
        <v>51925</v>
      </c>
      <c r="O319" s="40" t="str">
        <f>_xll.qlMakeDatedOIS(,M319,N319,OvernightIndex,0,,,,EvaluationDate)</f>
        <v>obj_00730#0000</v>
      </c>
      <c r="P319" s="40" t="b">
        <f>_xll.qlInstrumentSetPricingEngine(O319,OisEngine)</f>
        <v>1</v>
      </c>
      <c r="Q319" s="38">
        <f>_xll.qlIndexFixing(Currency&amp;IborType&amp;"3M",_xll.qlInterestRateIndexFixingDate(Currency&amp;IborType&amp;"3M",M319),TRUE,AllTriggers)</f>
        <v>2.0029642389960703E-2</v>
      </c>
      <c r="R319" s="38">
        <f>_xll.qlOvernightIndexedSwapFairRate(O319,AllTriggers)</f>
        <v>1.9455343459883832E-2</v>
      </c>
      <c r="S319" s="345">
        <f t="shared" si="6"/>
        <v>5.7429893007687055E-4</v>
      </c>
    </row>
    <row r="320" spans="5:19" ht="11.25" customHeight="1" x14ac:dyDescent="0.2">
      <c r="E320" s="254"/>
      <c r="F320" s="254"/>
      <c r="G320" s="39"/>
      <c r="J320" s="39"/>
      <c r="K320" s="39"/>
      <c r="M320" s="346">
        <f>_xll.qlCalendarAdvance(Calendar,M319,"1M","f",,Trigger)</f>
        <v>51865</v>
      </c>
      <c r="N320" s="344">
        <f>_xll.qlCalendarAdvance(Calendar,M320,"3M","mf",,Trigger)</f>
        <v>51956</v>
      </c>
      <c r="O320" s="40" t="str">
        <f>_xll.qlMakeDatedOIS(,M320,N320,OvernightIndex,0,,,,EvaluationDate)</f>
        <v>obj_00731#0000</v>
      </c>
      <c r="P320" s="40" t="b">
        <f>_xll.qlInstrumentSetPricingEngine(O320,OisEngine)</f>
        <v>1</v>
      </c>
      <c r="Q320" s="38">
        <f>_xll.qlIndexFixing(Currency&amp;IborType&amp;"3M",_xll.qlInterestRateIndexFixingDate(Currency&amp;IborType&amp;"3M",M320),TRUE,AllTriggers)</f>
        <v>2.0020740388251815E-2</v>
      </c>
      <c r="R320" s="38">
        <f>_xll.qlOvernightIndexedSwapFairRate(O320,AllTriggers)</f>
        <v>1.9448994417466985E-2</v>
      </c>
      <c r="S320" s="345">
        <f t="shared" si="6"/>
        <v>5.717459707848295E-4</v>
      </c>
    </row>
    <row r="321" spans="5:19" ht="11.25" customHeight="1" x14ac:dyDescent="0.2">
      <c r="E321" s="254"/>
      <c r="F321" s="254"/>
      <c r="G321" s="39"/>
      <c r="J321" s="39"/>
      <c r="K321" s="39"/>
      <c r="M321" s="346">
        <f>_xll.qlCalendarAdvance(Calendar,M320,"1M","f",,Trigger)</f>
        <v>51896</v>
      </c>
      <c r="N321" s="344">
        <f>_xll.qlCalendarAdvance(Calendar,M321,"3M","mf",,Trigger)</f>
        <v>51986</v>
      </c>
      <c r="O321" s="40" t="str">
        <f>_xll.qlMakeDatedOIS(,M321,N321,OvernightIndex,0,,,,EvaluationDate)</f>
        <v>obj_00732#0000</v>
      </c>
      <c r="P321" s="40" t="b">
        <f>_xll.qlInstrumentSetPricingEngine(O321,OisEngine)</f>
        <v>1</v>
      </c>
      <c r="Q321" s="38">
        <f>_xll.qlIndexFixing(Currency&amp;IborType&amp;"3M",_xll.qlInterestRateIndexFixingDate(Currency&amp;IborType&amp;"3M",M321),TRUE,AllTriggers)</f>
        <v>2.0013200449294111E-2</v>
      </c>
      <c r="R321" s="38">
        <f>_xll.qlOvernightIndexedSwapFairRate(O321,AllTriggers)</f>
        <v>1.9443922507726974E-2</v>
      </c>
      <c r="S321" s="345">
        <f t="shared" si="6"/>
        <v>5.6927794156713674E-4</v>
      </c>
    </row>
    <row r="322" spans="5:19" ht="11.25" customHeight="1" x14ac:dyDescent="0.2">
      <c r="E322" s="254"/>
      <c r="F322" s="254"/>
      <c r="G322" s="39"/>
      <c r="J322" s="39"/>
      <c r="K322" s="39"/>
      <c r="M322" s="346">
        <f>_xll.qlCalendarAdvance(Calendar,M321,"1M","f",,Trigger)</f>
        <v>51925</v>
      </c>
      <c r="N322" s="344">
        <f>_xll.qlCalendarAdvance(Calendar,M322,"3M","mf",,Trigger)</f>
        <v>52014</v>
      </c>
      <c r="O322" s="40" t="str">
        <f>_xll.qlMakeDatedOIS(,M322,N322,OvernightIndex,0,,,,EvaluationDate)</f>
        <v>obj_00733#0000</v>
      </c>
      <c r="P322" s="40" t="b">
        <f>_xll.qlInstrumentSetPricingEngine(O322,OisEngine)</f>
        <v>1</v>
      </c>
      <c r="Q322" s="38">
        <f>_xll.qlIndexFixing(Currency&amp;IborType&amp;"3M",_xll.qlInterestRateIndexFixingDate(Currency&amp;IborType&amp;"3M",M322),TRUE,AllTriggers)</f>
        <v>2.0008043732550503E-2</v>
      </c>
      <c r="R322" s="38">
        <f>_xll.qlOvernightIndexedSwapFairRate(O322,AllTriggers)</f>
        <v>1.9440119578531697E-2</v>
      </c>
      <c r="S322" s="345">
        <f t="shared" si="6"/>
        <v>5.6792415401880555E-4</v>
      </c>
    </row>
    <row r="323" spans="5:19" ht="11.25" customHeight="1" x14ac:dyDescent="0.2">
      <c r="E323" s="254"/>
      <c r="F323" s="254"/>
      <c r="G323" s="39"/>
      <c r="J323" s="39"/>
      <c r="K323" s="39"/>
      <c r="M323" s="346">
        <f>_xll.qlCalendarAdvance(Calendar,M322,"1M","f",,Trigger)</f>
        <v>51953</v>
      </c>
      <c r="N323" s="344">
        <f>_xll.qlCalendarAdvance(Calendar,M323,"3M","mf",,Trigger)</f>
        <v>52047</v>
      </c>
      <c r="O323" s="40" t="str">
        <f>_xll.qlMakeDatedOIS(,M323,N323,OvernightIndex,0,,,,EvaluationDate)</f>
        <v>obj_009c6#0000</v>
      </c>
      <c r="P323" s="40" t="b">
        <f>_xll.qlInstrumentSetPricingEngine(O323,OisEngine)</f>
        <v>1</v>
      </c>
      <c r="Q323" s="38">
        <f>_xll.qlIndexFixing(Currency&amp;IborType&amp;"3M",_xll.qlInterestRateIndexFixingDate(Currency&amp;IborType&amp;"3M",M323),TRUE,AllTriggers)</f>
        <v>2.0005023387392077E-2</v>
      </c>
      <c r="R323" s="38">
        <f>_xll.qlOvernightIndexedSwapFairRate(O323,AllTriggers)</f>
        <v>1.9440322751500726E-2</v>
      </c>
      <c r="S323" s="345">
        <f t="shared" ref="S323:S386" si="7">Q323-R323</f>
        <v>5.647006358913513E-4</v>
      </c>
    </row>
    <row r="324" spans="5:19" ht="11.25" customHeight="1" x14ac:dyDescent="0.2">
      <c r="E324" s="254"/>
      <c r="F324" s="254"/>
      <c r="G324" s="39"/>
      <c r="J324" s="39"/>
      <c r="K324" s="39"/>
      <c r="M324" s="346">
        <f>_xll.qlCalendarAdvance(Calendar,M323,"1M","f",,Trigger)</f>
        <v>51984</v>
      </c>
      <c r="N324" s="344">
        <f>_xll.qlCalendarAdvance(Calendar,M324,"3M","mf",,Trigger)</f>
        <v>52075</v>
      </c>
      <c r="O324" s="40" t="str">
        <f>_xll.qlMakeDatedOIS(,M324,N324,OvernightIndex,0,,,,EvaluationDate)</f>
        <v>obj_00734#0000</v>
      </c>
      <c r="P324" s="40" t="b">
        <f>_xll.qlInstrumentSetPricingEngine(O324,OisEngine)</f>
        <v>1</v>
      </c>
      <c r="Q324" s="38">
        <f>_xll.qlIndexFixing(Currency&amp;IborType&amp;"3M",_xll.qlInterestRateIndexFixingDate(Currency&amp;IborType&amp;"3M",M324),TRUE,AllTriggers)</f>
        <v>1.9999629534116235E-2</v>
      </c>
      <c r="R324" s="38">
        <f>_xll.qlOvernightIndexedSwapFairRate(O324,AllTriggers)</f>
        <v>1.9437365819165556E-2</v>
      </c>
      <c r="S324" s="345">
        <f t="shared" si="7"/>
        <v>5.6226371495067887E-4</v>
      </c>
    </row>
    <row r="325" spans="5:19" ht="11.25" customHeight="1" x14ac:dyDescent="0.2">
      <c r="E325" s="254"/>
      <c r="F325" s="254"/>
      <c r="G325" s="39"/>
      <c r="J325" s="39"/>
      <c r="K325" s="39"/>
      <c r="M325" s="346">
        <f>_xll.qlCalendarAdvance(Calendar,M324,"1M","f",,Trigger)</f>
        <v>52014</v>
      </c>
      <c r="N325" s="344">
        <f>_xll.qlCalendarAdvance(Calendar,M325,"3M","mf",,Trigger)</f>
        <v>52106</v>
      </c>
      <c r="O325" s="40" t="str">
        <f>_xll.qlMakeDatedOIS(,M325,N325,OvernightIndex,0,,,,EvaluationDate)</f>
        <v>obj_00736#0000</v>
      </c>
      <c r="P325" s="40" t="b">
        <f>_xll.qlInstrumentSetPricingEngine(O325,OisEngine)</f>
        <v>1</v>
      </c>
      <c r="Q325" s="38">
        <f>_xll.qlIndexFixing(Currency&amp;IborType&amp;"3M",_xll.qlInterestRateIndexFixingDate(Currency&amp;IborType&amp;"3M",M325),TRUE,AllTriggers)</f>
        <v>1.9997425849446242E-2</v>
      </c>
      <c r="R325" s="38">
        <f>_xll.qlOvernightIndexedSwapFairRate(O325,AllTriggers)</f>
        <v>1.9437550786553494E-2</v>
      </c>
      <c r="S325" s="345">
        <f t="shared" si="7"/>
        <v>5.5987506289274791E-4</v>
      </c>
    </row>
    <row r="326" spans="5:19" ht="11.25" customHeight="1" x14ac:dyDescent="0.2">
      <c r="E326" s="254"/>
      <c r="F326" s="254"/>
      <c r="G326" s="39"/>
      <c r="J326" s="39"/>
      <c r="K326" s="39"/>
      <c r="M326" s="346">
        <f>_xll.qlCalendarAdvance(Calendar,M325,"1M","f",,Trigger)</f>
        <v>52047</v>
      </c>
      <c r="N326" s="344">
        <f>_xll.qlCalendarAdvance(Calendar,M326,"3M","mf",,Trigger)</f>
        <v>52139</v>
      </c>
      <c r="O326" s="40" t="str">
        <f>_xll.qlMakeDatedOIS(,M326,N326,OvernightIndex,0,,,,EvaluationDate)</f>
        <v>obj_00737#0000</v>
      </c>
      <c r="P326" s="40" t="b">
        <f>_xll.qlInstrumentSetPricingEngine(O326,OisEngine)</f>
        <v>1</v>
      </c>
      <c r="Q326" s="38">
        <f>_xll.qlIndexFixing(Currency&amp;IborType&amp;"3M",_xll.qlInterestRateIndexFixingDate(Currency&amp;IborType&amp;"3M",M326),TRUE,AllTriggers)</f>
        <v>1.9995646944913001E-2</v>
      </c>
      <c r="R326" s="38">
        <f>_xll.qlOvernightIndexedSwapFairRate(O326,AllTriggers)</f>
        <v>1.9438384528917337E-2</v>
      </c>
      <c r="S326" s="345">
        <f t="shared" si="7"/>
        <v>5.5726241599566434E-4</v>
      </c>
    </row>
    <row r="327" spans="5:19" ht="11.25" customHeight="1" x14ac:dyDescent="0.2">
      <c r="E327" s="254"/>
      <c r="F327" s="254"/>
      <c r="G327" s="39"/>
      <c r="J327" s="39"/>
      <c r="K327" s="39"/>
      <c r="M327" s="346">
        <f>_xll.qlCalendarAdvance(Calendar,M326,"1M","f",,Trigger)</f>
        <v>52077</v>
      </c>
      <c r="N327" s="344">
        <f>_xll.qlCalendarAdvance(Calendar,M327,"3M","mf",,Trigger)</f>
        <v>52169</v>
      </c>
      <c r="O327" s="40" t="str">
        <f>_xll.qlMakeDatedOIS(,M327,N327,OvernightIndex,0,,,,EvaluationDate)</f>
        <v>obj_00739#0000</v>
      </c>
      <c r="P327" s="40" t="b">
        <f>_xll.qlInstrumentSetPricingEngine(O327,OisEngine)</f>
        <v>1</v>
      </c>
      <c r="Q327" s="38">
        <f>_xll.qlIndexFixing(Currency&amp;IborType&amp;"3M",_xll.qlInterestRateIndexFixingDate(Currency&amp;IborType&amp;"3M",M327),TRUE,AllTriggers)</f>
        <v>1.9995125649741621E-2</v>
      </c>
      <c r="R327" s="38">
        <f>_xll.qlOvernightIndexedSwapFairRate(O327,AllTriggers)</f>
        <v>1.9440233791152853E-2</v>
      </c>
      <c r="S327" s="345">
        <f t="shared" si="7"/>
        <v>5.5489185858876786E-4</v>
      </c>
    </row>
    <row r="328" spans="5:19" ht="11.25" customHeight="1" x14ac:dyDescent="0.2">
      <c r="E328" s="254"/>
      <c r="F328" s="254"/>
      <c r="G328" s="39"/>
      <c r="J328" s="39"/>
      <c r="K328" s="39"/>
      <c r="M328" s="346">
        <f>_xll.qlCalendarAdvance(Calendar,M327,"1M","f",,Trigger)</f>
        <v>52110</v>
      </c>
      <c r="N328" s="344">
        <f>_xll.qlCalendarAdvance(Calendar,M328,"3M","mf",,Trigger)</f>
        <v>52201</v>
      </c>
      <c r="O328" s="40" t="str">
        <f>_xll.qlMakeDatedOIS(,M328,N328,OvernightIndex,0,,,,EvaluationDate)</f>
        <v>obj_0073a#0000</v>
      </c>
      <c r="P328" s="40" t="b">
        <f>_xll.qlInstrumentSetPricingEngine(O328,OisEngine)</f>
        <v>1</v>
      </c>
      <c r="Q328" s="38">
        <f>_xll.qlIndexFixing(Currency&amp;IborType&amp;"3M",_xll.qlInterestRateIndexFixingDate(Currency&amp;IborType&amp;"3M",M328),TRUE,AllTriggers)</f>
        <v>1.9995175498340428E-2</v>
      </c>
      <c r="R328" s="38">
        <f>_xll.qlOvernightIndexedSwapFairRate(O328,AllTriggers)</f>
        <v>1.9442877042501718E-2</v>
      </c>
      <c r="S328" s="345">
        <f t="shared" si="7"/>
        <v>5.5229845583871021E-4</v>
      </c>
    </row>
    <row r="329" spans="5:19" ht="11.25" customHeight="1" x14ac:dyDescent="0.2">
      <c r="E329" s="254"/>
      <c r="F329" s="254"/>
      <c r="G329" s="39"/>
      <c r="J329" s="39"/>
      <c r="K329" s="39"/>
      <c r="M329" s="346">
        <f>_xll.qlCalendarAdvance(Calendar,M328,"1M","f",,Trigger)</f>
        <v>52140</v>
      </c>
      <c r="N329" s="344">
        <f>_xll.qlCalendarAdvance(Calendar,M329,"3M","mf",,Trigger)</f>
        <v>52233</v>
      </c>
      <c r="O329" s="40" t="str">
        <f>_xll.qlMakeDatedOIS(,M329,N329,OvernightIndex,0,,,,EvaluationDate)</f>
        <v>obj_0073b#0000</v>
      </c>
      <c r="P329" s="40" t="b">
        <f>_xll.qlInstrumentSetPricingEngine(O329,OisEngine)</f>
        <v>1</v>
      </c>
      <c r="Q329" s="38">
        <f>_xll.qlIndexFixing(Currency&amp;IborType&amp;"3M",_xll.qlInterestRateIndexFixingDate(Currency&amp;IborType&amp;"3M",M329),TRUE,AllTriggers)</f>
        <v>1.9998028295145073E-2</v>
      </c>
      <c r="R329" s="38">
        <f>_xll.qlOvernightIndexedSwapFairRate(O329,AllTriggers)</f>
        <v>1.9448109661633295E-2</v>
      </c>
      <c r="S329" s="345">
        <f t="shared" si="7"/>
        <v>5.4991863351177769E-4</v>
      </c>
    </row>
    <row r="330" spans="5:19" ht="11.25" customHeight="1" x14ac:dyDescent="0.2">
      <c r="E330" s="254"/>
      <c r="F330" s="254"/>
      <c r="G330" s="39"/>
      <c r="J330" s="39"/>
      <c r="K330" s="39"/>
      <c r="M330" s="346">
        <f>_xll.qlCalendarAdvance(Calendar,M329,"1M","f",,Trigger)</f>
        <v>52173</v>
      </c>
      <c r="N330" s="344">
        <f>_xll.qlCalendarAdvance(Calendar,M330,"3M","mf",,Trigger)</f>
        <v>52265</v>
      </c>
      <c r="O330" s="40" t="str">
        <f>_xll.qlMakeDatedOIS(,M330,N330,OvernightIndex,0,,,,EvaluationDate)</f>
        <v>obj_0073c#0000</v>
      </c>
      <c r="P330" s="40" t="b">
        <f>_xll.qlInstrumentSetPricingEngine(O330,OisEngine)</f>
        <v>1</v>
      </c>
      <c r="Q330" s="38">
        <f>_xll.qlIndexFixing(Currency&amp;IborType&amp;"3M",_xll.qlInterestRateIndexFixingDate(Currency&amp;IborType&amp;"3M",M330),TRUE,AllTriggers)</f>
        <v>2.0000471206369403E-2</v>
      </c>
      <c r="R330" s="38">
        <f>_xll.qlOvernightIndexedSwapFairRate(O330,AllTriggers)</f>
        <v>1.9453135866511376E-2</v>
      </c>
      <c r="S330" s="345">
        <f t="shared" si="7"/>
        <v>5.4733533985802663E-4</v>
      </c>
    </row>
    <row r="331" spans="5:19" ht="11.25" customHeight="1" x14ac:dyDescent="0.2">
      <c r="E331" s="254"/>
      <c r="F331" s="254"/>
      <c r="G331" s="39"/>
      <c r="J331" s="39"/>
      <c r="K331" s="39"/>
      <c r="M331" s="346">
        <f>_xll.qlCalendarAdvance(Calendar,M330,"1M","f",,Trigger)</f>
        <v>52203</v>
      </c>
      <c r="N331" s="344">
        <f>_xll.qlCalendarAdvance(Calendar,M331,"3M","mf",,Trigger)</f>
        <v>52293</v>
      </c>
      <c r="O331" s="40" t="str">
        <f>_xll.qlMakeDatedOIS(,M331,N331,OvernightIndex,0,,,,EvaluationDate)</f>
        <v>obj_00900#0000</v>
      </c>
      <c r="P331" s="40" t="b">
        <f>_xll.qlInstrumentSetPricingEngine(O331,OisEngine)</f>
        <v>1</v>
      </c>
      <c r="Q331" s="38">
        <f>_xll.qlIndexFixing(Currency&amp;IborType&amp;"3M",_xll.qlInterestRateIndexFixingDate(Currency&amp;IborType&amp;"3M",M331),TRUE,AllTriggers)</f>
        <v>2.0003060688946306E-2</v>
      </c>
      <c r="R331" s="38">
        <f>_xll.qlOvernightIndexedSwapFairRate(O331,AllTriggers)</f>
        <v>1.9458058953356169E-2</v>
      </c>
      <c r="S331" s="345">
        <f t="shared" si="7"/>
        <v>5.4500173559013723E-4</v>
      </c>
    </row>
    <row r="332" spans="5:19" ht="11.25" customHeight="1" x14ac:dyDescent="0.2">
      <c r="E332" s="254"/>
      <c r="F332" s="254"/>
      <c r="G332" s="39"/>
      <c r="J332" s="39"/>
      <c r="K332" s="39"/>
      <c r="M332" s="346">
        <f>_xll.qlCalendarAdvance(Calendar,M331,"1M","f",,Trigger)</f>
        <v>52236</v>
      </c>
      <c r="N332" s="344">
        <f>_xll.qlCalendarAdvance(Calendar,M332,"3M","mf",,Trigger)</f>
        <v>52327</v>
      </c>
      <c r="O332" s="40" t="str">
        <f>_xll.qlMakeDatedOIS(,M332,N332,OvernightIndex,0,,,,EvaluationDate)</f>
        <v>obj_0073d#0000</v>
      </c>
      <c r="P332" s="40" t="b">
        <f>_xll.qlInstrumentSetPricingEngine(O332,OisEngine)</f>
        <v>1</v>
      </c>
      <c r="Q332" s="38">
        <f>_xll.qlIndexFixing(Currency&amp;IborType&amp;"3M",_xll.qlInterestRateIndexFixingDate(Currency&amp;IborType&amp;"3M",M332),TRUE,AllTriggers)</f>
        <v>2.0009131428156177E-2</v>
      </c>
      <c r="R332" s="38">
        <f>_xll.qlOvernightIndexedSwapFairRate(O332,AllTriggers)</f>
        <v>1.9466721454013357E-2</v>
      </c>
      <c r="S332" s="345">
        <f t="shared" si="7"/>
        <v>5.4240997414281913E-4</v>
      </c>
    </row>
    <row r="333" spans="5:19" ht="11.25" customHeight="1" x14ac:dyDescent="0.2">
      <c r="E333" s="254"/>
      <c r="F333" s="254"/>
      <c r="G333" s="39"/>
      <c r="J333" s="39"/>
      <c r="K333" s="39"/>
      <c r="M333" s="346">
        <f>_xll.qlCalendarAdvance(Calendar,M332,"1M","f",,Trigger)</f>
        <v>52267</v>
      </c>
      <c r="N333" s="344">
        <f>_xll.qlCalendarAdvance(Calendar,M333,"3M","mf",,Trigger)</f>
        <v>52356</v>
      </c>
      <c r="O333" s="40" t="str">
        <f>_xll.qlMakeDatedOIS(,M333,N333,OvernightIndex,0,,,,EvaluationDate)</f>
        <v>obj_0073e#0000</v>
      </c>
      <c r="P333" s="40" t="b">
        <f>_xll.qlInstrumentSetPricingEngine(O333,OisEngine)</f>
        <v>1</v>
      </c>
      <c r="Q333" s="38">
        <f>_xll.qlIndexFixing(Currency&amp;IborType&amp;"3M",_xll.qlInterestRateIndexFixingDate(Currency&amp;IborType&amp;"3M",M333),TRUE,AllTriggers)</f>
        <v>2.0014039495249849E-2</v>
      </c>
      <c r="R333" s="38">
        <f>_xll.qlOvernightIndexedSwapFairRate(O333,AllTriggers)</f>
        <v>1.9474031784728157E-2</v>
      </c>
      <c r="S333" s="345">
        <f t="shared" si="7"/>
        <v>5.4000771052169216E-4</v>
      </c>
    </row>
    <row r="334" spans="5:19" ht="11.25" customHeight="1" x14ac:dyDescent="0.2">
      <c r="E334" s="254"/>
      <c r="F334" s="254"/>
      <c r="G334" s="39"/>
      <c r="J334" s="39"/>
      <c r="K334" s="39"/>
      <c r="M334" s="346">
        <f>_xll.qlCalendarAdvance(Calendar,M333,"1M","f",,Trigger)</f>
        <v>52295</v>
      </c>
      <c r="N334" s="344">
        <f>_xll.qlCalendarAdvance(Calendar,M334,"3M","mf",,Trigger)</f>
        <v>52387</v>
      </c>
      <c r="O334" s="40" t="str">
        <f>_xll.qlMakeDatedOIS(,M334,N334,OvernightIndex,0,,,,EvaluationDate)</f>
        <v>obj_0073f#0000</v>
      </c>
      <c r="P334" s="40" t="b">
        <f>_xll.qlInstrumentSetPricingEngine(O334,OisEngine)</f>
        <v>1</v>
      </c>
      <c r="Q334" s="38">
        <f>_xll.qlIndexFixing(Currency&amp;IborType&amp;"3M",_xll.qlInterestRateIndexFixingDate(Currency&amp;IborType&amp;"3M",M334),TRUE,AllTriggers)</f>
        <v>2.0022685927071494E-2</v>
      </c>
      <c r="R334" s="38">
        <f>_xll.qlOvernightIndexedSwapFairRate(O334,AllTriggers)</f>
        <v>1.9484889392731103E-2</v>
      </c>
      <c r="S334" s="345">
        <f t="shared" si="7"/>
        <v>5.3779653434039149E-4</v>
      </c>
    </row>
    <row r="335" spans="5:19" ht="11.25" customHeight="1" x14ac:dyDescent="0.2">
      <c r="E335" s="254"/>
      <c r="F335" s="254"/>
      <c r="G335" s="39"/>
      <c r="J335" s="39"/>
      <c r="K335" s="39"/>
      <c r="M335" s="346">
        <f>_xll.qlCalendarAdvance(Calendar,M334,"1M","f",,Trigger)</f>
        <v>52327</v>
      </c>
      <c r="N335" s="344">
        <f>_xll.qlCalendarAdvance(Calendar,M335,"3M","mf",,Trigger)</f>
        <v>52418</v>
      </c>
      <c r="O335" s="40" t="str">
        <f>_xll.qlMakeDatedOIS(,M335,N335,OvernightIndex,0,,,,EvaluationDate)</f>
        <v>obj_00740#0000</v>
      </c>
      <c r="P335" s="40" t="b">
        <f>_xll.qlInstrumentSetPricingEngine(O335,OisEngine)</f>
        <v>1</v>
      </c>
      <c r="Q335" s="38">
        <f>_xll.qlIndexFixing(Currency&amp;IborType&amp;"3M",_xll.qlInterestRateIndexFixingDate(Currency&amp;IborType&amp;"3M",M335),TRUE,AllTriggers)</f>
        <v>2.0030660217794222E-2</v>
      </c>
      <c r="R335" s="38">
        <f>_xll.qlOvernightIndexedSwapFairRate(O335,AllTriggers)</f>
        <v>1.9495344252798547E-2</v>
      </c>
      <c r="S335" s="345">
        <f t="shared" si="7"/>
        <v>5.3531596499567513E-4</v>
      </c>
    </row>
    <row r="336" spans="5:19" ht="11.25" customHeight="1" x14ac:dyDescent="0.2">
      <c r="E336" s="254"/>
      <c r="F336" s="254"/>
      <c r="G336" s="39"/>
      <c r="J336" s="39"/>
      <c r="K336" s="39"/>
      <c r="M336" s="346">
        <f>_xll.qlCalendarAdvance(Calendar,M335,"1M","f",,Trigger)</f>
        <v>52357</v>
      </c>
      <c r="N336" s="344">
        <f>_xll.qlCalendarAdvance(Calendar,M336,"3M","mf",,Trigger)</f>
        <v>52449</v>
      </c>
      <c r="O336" s="40" t="str">
        <f>_xll.qlMakeDatedOIS(,M336,N336,OvernightIndex,0,,,,EvaluationDate)</f>
        <v>obj_0087d#0000</v>
      </c>
      <c r="P336" s="40" t="b">
        <f>_xll.qlInstrumentSetPricingEngine(O336,OisEngine)</f>
        <v>1</v>
      </c>
      <c r="Q336" s="38">
        <f>_xll.qlIndexFixing(Currency&amp;IborType&amp;"3M",_xll.qlInterestRateIndexFixingDate(Currency&amp;IborType&amp;"3M",M336),TRUE,AllTriggers)</f>
        <v>2.0040590264481555E-2</v>
      </c>
      <c r="R336" s="38">
        <f>_xll.qlOvernightIndexedSwapFairRate(O336,AllTriggers)</f>
        <v>1.950761378827727E-2</v>
      </c>
      <c r="S336" s="345">
        <f t="shared" si="7"/>
        <v>5.3297647620428532E-4</v>
      </c>
    </row>
    <row r="337" spans="5:19" ht="11.25" customHeight="1" x14ac:dyDescent="0.2">
      <c r="E337" s="254"/>
      <c r="F337" s="254"/>
      <c r="G337" s="39"/>
      <c r="J337" s="39"/>
      <c r="K337" s="39"/>
      <c r="M337" s="346">
        <f>_xll.qlCalendarAdvance(Calendar,M336,"1M","f",,Trigger)</f>
        <v>52390</v>
      </c>
      <c r="N337" s="344">
        <f>_xll.qlCalendarAdvance(Calendar,M337,"3M","mf",,Trigger)</f>
        <v>52482</v>
      </c>
      <c r="O337" s="40" t="str">
        <f>_xll.qlMakeDatedOIS(,M337,N337,OvernightIndex,0,,,,EvaluationDate)</f>
        <v>obj_00741#0000</v>
      </c>
      <c r="P337" s="40" t="b">
        <f>_xll.qlInstrumentSetPricingEngine(O337,OisEngine)</f>
        <v>1</v>
      </c>
      <c r="Q337" s="38">
        <f>_xll.qlIndexFixing(Currency&amp;IborType&amp;"3M",_xll.qlInterestRateIndexFixingDate(Currency&amp;IborType&amp;"3M",M337),TRUE,AllTriggers)</f>
        <v>2.0051937837695679E-2</v>
      </c>
      <c r="R337" s="38">
        <f>_xll.qlOvernightIndexedSwapFairRate(O337,AllTriggers)</f>
        <v>1.9521519318107482E-2</v>
      </c>
      <c r="S337" s="345">
        <f t="shared" si="7"/>
        <v>5.3041851958819664E-4</v>
      </c>
    </row>
    <row r="338" spans="5:19" ht="11.25" customHeight="1" x14ac:dyDescent="0.2">
      <c r="E338" s="254"/>
      <c r="F338" s="254"/>
      <c r="G338" s="39"/>
      <c r="J338" s="39"/>
      <c r="K338" s="39"/>
      <c r="M338" s="346">
        <f>_xll.qlCalendarAdvance(Calendar,M337,"1M","f",,Trigger)</f>
        <v>52420</v>
      </c>
      <c r="N338" s="344">
        <f>_xll.qlCalendarAdvance(Calendar,M338,"3M","mf",,Trigger)</f>
        <v>52512</v>
      </c>
      <c r="O338" s="40" t="str">
        <f>_xll.qlMakeDatedOIS(,M338,N338,OvernightIndex,0,,,,EvaluationDate)</f>
        <v>obj_00742#0000</v>
      </c>
      <c r="P338" s="40" t="b">
        <f>_xll.qlInstrumentSetPricingEngine(O338,OisEngine)</f>
        <v>1</v>
      </c>
      <c r="Q338" s="38">
        <f>_xll.qlIndexFixing(Currency&amp;IborType&amp;"3M",_xll.qlInterestRateIndexFixingDate(Currency&amp;IborType&amp;"3M",M338),TRUE,AllTriggers)</f>
        <v>2.0063349750835367E-2</v>
      </c>
      <c r="R338" s="38">
        <f>_xll.qlOvernightIndexedSwapFairRate(O338,AllTriggers)</f>
        <v>1.9535252092380009E-2</v>
      </c>
      <c r="S338" s="345">
        <f t="shared" si="7"/>
        <v>5.2809765845535789E-4</v>
      </c>
    </row>
    <row r="339" spans="5:19" ht="11.25" customHeight="1" x14ac:dyDescent="0.2">
      <c r="E339" s="254"/>
      <c r="F339" s="254"/>
      <c r="G339" s="39"/>
      <c r="J339" s="39"/>
      <c r="K339" s="39"/>
      <c r="M339" s="346">
        <f>_xll.qlCalendarAdvance(Calendar,M338,"1M","f",,Trigger)</f>
        <v>52453</v>
      </c>
      <c r="N339" s="344">
        <f>_xll.qlCalendarAdvance(Calendar,M339,"3M","mf",,Trigger)</f>
        <v>52545</v>
      </c>
      <c r="O339" s="40" t="str">
        <f>_xll.qlMakeDatedOIS(,M339,N339,OvernightIndex,0,,,,EvaluationDate)</f>
        <v>obj_00743#0000</v>
      </c>
      <c r="P339" s="40" t="b">
        <f>_xll.qlInstrumentSetPricingEngine(O339,OisEngine)</f>
        <v>1</v>
      </c>
      <c r="Q339" s="38">
        <f>_xll.qlIndexFixing(Currency&amp;IborType&amp;"3M",_xll.qlInterestRateIndexFixingDate(Currency&amp;IborType&amp;"3M",M339),TRUE,AllTriggers)</f>
        <v>2.007710839772325E-2</v>
      </c>
      <c r="R339" s="38">
        <f>_xll.qlOvernightIndexedSwapFairRate(O339,AllTriggers)</f>
        <v>1.9551558679365928E-2</v>
      </c>
      <c r="S339" s="345">
        <f t="shared" si="7"/>
        <v>5.255497183573217E-4</v>
      </c>
    </row>
    <row r="340" spans="5:19" ht="11.25" customHeight="1" x14ac:dyDescent="0.2">
      <c r="E340" s="254"/>
      <c r="F340" s="254"/>
      <c r="G340" s="39"/>
      <c r="J340" s="39"/>
      <c r="K340" s="39"/>
      <c r="M340" s="346">
        <f>_xll.qlCalendarAdvance(Calendar,M339,"1M","f",,Trigger)</f>
        <v>52484</v>
      </c>
      <c r="N340" s="344">
        <f>_xll.qlCalendarAdvance(Calendar,M340,"3M","mf",,Trigger)</f>
        <v>52575</v>
      </c>
      <c r="O340" s="40" t="str">
        <f>_xll.qlMakeDatedOIS(,M340,N340,OvernightIndex,0,,,,EvaluationDate)</f>
        <v>obj_00744#0000</v>
      </c>
      <c r="P340" s="40" t="b">
        <f>_xll.qlInstrumentSetPricingEngine(O340,OisEngine)</f>
        <v>1</v>
      </c>
      <c r="Q340" s="38">
        <f>_xll.qlIndexFixing(Currency&amp;IborType&amp;"3M",_xll.qlInterestRateIndexFixingDate(Currency&amp;IborType&amp;"3M",M340),TRUE,AllTriggers)</f>
        <v>2.0090379295920807E-2</v>
      </c>
      <c r="R340" s="38">
        <f>_xll.qlOvernightIndexedSwapFairRate(O340,AllTriggers)</f>
        <v>1.956720861124505E-2</v>
      </c>
      <c r="S340" s="345">
        <f t="shared" si="7"/>
        <v>5.2317068467575695E-4</v>
      </c>
    </row>
    <row r="341" spans="5:19" ht="11.25" customHeight="1" x14ac:dyDescent="0.2">
      <c r="E341" s="254"/>
      <c r="F341" s="254"/>
      <c r="G341" s="39"/>
      <c r="J341" s="39"/>
      <c r="K341" s="39"/>
      <c r="M341" s="346">
        <f>_xll.qlCalendarAdvance(Calendar,M340,"1M","f",,Trigger)</f>
        <v>52516</v>
      </c>
      <c r="N341" s="344">
        <f>_xll.qlCalendarAdvance(Calendar,M341,"3M","mf",,Trigger)</f>
        <v>52608</v>
      </c>
      <c r="O341" s="40" t="str">
        <f>_xll.qlMakeDatedOIS(,M341,N341,OvernightIndex,0,,,,EvaluationDate)</f>
        <v>obj_00745#0000</v>
      </c>
      <c r="P341" s="40" t="b">
        <f>_xll.qlInstrumentSetPricingEngine(O341,OisEngine)</f>
        <v>1</v>
      </c>
      <c r="Q341" s="38">
        <f>_xll.qlIndexFixing(Currency&amp;IborType&amp;"3M",_xll.qlInterestRateIndexFixingDate(Currency&amp;IborType&amp;"3M",M341),TRUE,AllTriggers)</f>
        <v>2.0106881985867749E-2</v>
      </c>
      <c r="R341" s="38">
        <f>_xll.qlOvernightIndexedSwapFairRate(O341,AllTriggers)</f>
        <v>1.9586181958974495E-2</v>
      </c>
      <c r="S341" s="345">
        <f t="shared" si="7"/>
        <v>5.2070002689325393E-4</v>
      </c>
    </row>
    <row r="342" spans="5:19" ht="11.25" customHeight="1" x14ac:dyDescent="0.2">
      <c r="E342" s="254"/>
      <c r="F342" s="254"/>
      <c r="G342" s="39"/>
      <c r="J342" s="39"/>
      <c r="K342" s="39"/>
      <c r="M342" s="346">
        <f>_xll.qlCalendarAdvance(Calendar,M341,"1M","f",,Trigger)</f>
        <v>52547</v>
      </c>
      <c r="N342" s="344">
        <f>_xll.qlCalendarAdvance(Calendar,M342,"3M","mf",,Trigger)</f>
        <v>52639</v>
      </c>
      <c r="O342" s="40" t="str">
        <f>_xll.qlMakeDatedOIS(,M342,N342,OvernightIndex,0,,,,EvaluationDate)</f>
        <v>obj_00747#0000</v>
      </c>
      <c r="P342" s="40" t="b">
        <f>_xll.qlInstrumentSetPricingEngine(O342,OisEngine)</f>
        <v>1</v>
      </c>
      <c r="Q342" s="38">
        <f>_xll.qlIndexFixing(Currency&amp;IborType&amp;"3M",_xll.qlInterestRateIndexFixingDate(Currency&amp;IborType&amp;"3M",M342),TRUE,AllTriggers)</f>
        <v>2.0123222261413436E-2</v>
      </c>
      <c r="R342" s="38">
        <f>_xll.qlOvernightIndexedSwapFairRate(O342,AllTriggers)</f>
        <v>1.9604901580588179E-2</v>
      </c>
      <c r="S342" s="345">
        <f t="shared" si="7"/>
        <v>5.1832068082525648E-4</v>
      </c>
    </row>
    <row r="343" spans="5:19" ht="11.25" customHeight="1" x14ac:dyDescent="0.2">
      <c r="E343" s="254"/>
      <c r="F343" s="254"/>
      <c r="G343" s="39"/>
      <c r="J343" s="39"/>
      <c r="K343" s="39"/>
      <c r="M343" s="346">
        <f>_xll.qlCalendarAdvance(Calendar,M342,"1M","f",,Trigger)</f>
        <v>52579</v>
      </c>
      <c r="N343" s="344">
        <f>_xll.qlCalendarAdvance(Calendar,M343,"3M","mf",,Trigger)</f>
        <v>52670</v>
      </c>
      <c r="O343" s="40" t="str">
        <f>_xll.qlMakeDatedOIS(,M343,N343,OvernightIndex,0,,,,EvaluationDate)</f>
        <v>obj_00748#0000</v>
      </c>
      <c r="P343" s="40" t="b">
        <f>_xll.qlInstrumentSetPricingEngine(O343,OisEngine)</f>
        <v>1</v>
      </c>
      <c r="Q343" s="38">
        <f>_xll.qlIndexFixing(Currency&amp;IborType&amp;"3M",_xll.qlInterestRateIndexFixingDate(Currency&amp;IborType&amp;"3M",M343),TRUE,AllTriggers)</f>
        <v>2.0140396471420182E-2</v>
      </c>
      <c r="R343" s="38">
        <f>_xll.qlOvernightIndexedSwapFairRate(O343,AllTriggers)</f>
        <v>1.9624517237582694E-2</v>
      </c>
      <c r="S343" s="345">
        <f t="shared" si="7"/>
        <v>5.158792338374879E-4</v>
      </c>
    </row>
    <row r="344" spans="5:19" ht="11.25" customHeight="1" x14ac:dyDescent="0.2">
      <c r="E344" s="254"/>
      <c r="F344" s="254"/>
      <c r="G344" s="39"/>
      <c r="J344" s="39"/>
      <c r="K344" s="39"/>
      <c r="M344" s="346">
        <f>_xll.qlCalendarAdvance(Calendar,M343,"1M","f",,Trigger)</f>
        <v>52610</v>
      </c>
      <c r="N344" s="344">
        <f>_xll.qlCalendarAdvance(Calendar,M344,"3M","mf",,Trigger)</f>
        <v>52701</v>
      </c>
      <c r="O344" s="40" t="str">
        <f>_xll.qlMakeDatedOIS(,M344,N344,OvernightIndex,0,,,,EvaluationDate)</f>
        <v>obj_00749#0000</v>
      </c>
      <c r="P344" s="40" t="b">
        <f>_xll.qlInstrumentSetPricingEngine(O344,OisEngine)</f>
        <v>1</v>
      </c>
      <c r="Q344" s="38">
        <f>_xll.qlIndexFixing(Currency&amp;IborType&amp;"3M",_xll.qlInterestRateIndexFixingDate(Currency&amp;IborType&amp;"3M",M344),TRUE,AllTriggers)</f>
        <v>2.0158982809011815E-2</v>
      </c>
      <c r="R344" s="38">
        <f>_xll.qlOvernightIndexedSwapFairRate(O344,AllTriggers)</f>
        <v>1.9645473504170237E-2</v>
      </c>
      <c r="S344" s="345">
        <f t="shared" si="7"/>
        <v>5.1350930484157786E-4</v>
      </c>
    </row>
    <row r="345" spans="5:19" ht="11.25" customHeight="1" x14ac:dyDescent="0.2">
      <c r="E345" s="254"/>
      <c r="F345" s="254"/>
      <c r="G345" s="39"/>
      <c r="J345" s="39"/>
      <c r="K345" s="39"/>
      <c r="M345" s="346">
        <f>_xll.qlCalendarAdvance(Calendar,M344,"1M","f",,Trigger)</f>
        <v>52642</v>
      </c>
      <c r="N345" s="344">
        <f>_xll.qlCalendarAdvance(Calendar,M345,"3M","mf",,Trigger)</f>
        <v>52733</v>
      </c>
      <c r="O345" s="40" t="str">
        <f>_xll.qlMakeDatedOIS(,M345,N345,OvernightIndex,0,,,,EvaluationDate)</f>
        <v>obj_0074a#0000</v>
      </c>
      <c r="P345" s="40" t="b">
        <f>_xll.qlInstrumentSetPricingEngine(O345,OisEngine)</f>
        <v>1</v>
      </c>
      <c r="Q345" s="38">
        <f>_xll.qlIndexFixing(Currency&amp;IborType&amp;"3M",_xll.qlInterestRateIndexFixingDate(Currency&amp;IborType&amp;"3M",M345),TRUE,AllTriggers)</f>
        <v>2.0179337735969836E-2</v>
      </c>
      <c r="R345" s="38">
        <f>_xll.qlOvernightIndexedSwapFairRate(O345,AllTriggers)</f>
        <v>1.9668269968212415E-2</v>
      </c>
      <c r="S345" s="345">
        <f t="shared" si="7"/>
        <v>5.110677677574206E-4</v>
      </c>
    </row>
    <row r="346" spans="5:19" ht="11.25" customHeight="1" x14ac:dyDescent="0.2">
      <c r="E346" s="254"/>
      <c r="F346" s="254"/>
      <c r="G346" s="39"/>
      <c r="J346" s="39"/>
      <c r="K346" s="39"/>
      <c r="M346" s="346">
        <f>_xll.qlCalendarAdvance(Calendar,M345,"1M","f",,Trigger)</f>
        <v>52671</v>
      </c>
      <c r="N346" s="344">
        <f>_xll.qlCalendarAdvance(Calendar,M346,"3M","mf",,Trigger)</f>
        <v>52763</v>
      </c>
      <c r="O346" s="40" t="str">
        <f>_xll.qlMakeDatedOIS(,M346,N346,OvernightIndex,0,,,,EvaluationDate)</f>
        <v>obj_008af#0000</v>
      </c>
      <c r="P346" s="40" t="b">
        <f>_xll.qlInstrumentSetPricingEngine(O346,OisEngine)</f>
        <v>1</v>
      </c>
      <c r="Q346" s="38">
        <f>_xll.qlIndexFixing(Currency&amp;IborType&amp;"3M",_xll.qlInterestRateIndexFixingDate(Currency&amp;IborType&amp;"3M",M346),TRUE,AllTriggers)</f>
        <v>2.0199729056206778E-2</v>
      </c>
      <c r="R346" s="38">
        <f>_xll.qlOvernightIndexedSwapFairRate(O346,AllTriggers)</f>
        <v>1.9690879568972666E-2</v>
      </c>
      <c r="S346" s="345">
        <f t="shared" si="7"/>
        <v>5.0884948723411288E-4</v>
      </c>
    </row>
    <row r="347" spans="5:19" ht="11.25" customHeight="1" x14ac:dyDescent="0.2">
      <c r="E347" s="254"/>
      <c r="F347" s="254"/>
      <c r="G347" s="39"/>
      <c r="J347" s="39"/>
      <c r="K347" s="39"/>
      <c r="M347" s="346">
        <f>_xll.qlCalendarAdvance(Calendar,M346,"1M","f",,Trigger)</f>
        <v>52706</v>
      </c>
      <c r="N347" s="344">
        <f>_xll.qlCalendarAdvance(Calendar,M347,"3M","mf",,Trigger)</f>
        <v>52797</v>
      </c>
      <c r="O347" s="40" t="str">
        <f>_xll.qlMakeDatedOIS(,M347,N347,OvernightIndex,0,,,,EvaluationDate)</f>
        <v>obj_0074b#0000</v>
      </c>
      <c r="P347" s="40" t="b">
        <f>_xll.qlInstrumentSetPricingEngine(O347,OisEngine)</f>
        <v>1</v>
      </c>
      <c r="Q347" s="38">
        <f>_xll.qlIndexFixing(Currency&amp;IborType&amp;"3M",_xll.qlInterestRateIndexFixingDate(Currency&amp;IborType&amp;"3M",M347),TRUE,AllTriggers)</f>
        <v>2.0223610421720273E-2</v>
      </c>
      <c r="R347" s="38">
        <f>_xll.qlOvernightIndexedSwapFairRate(O347,AllTriggers)</f>
        <v>1.9717410982239624E-2</v>
      </c>
      <c r="S347" s="345">
        <f t="shared" si="7"/>
        <v>5.0619943948064863E-4</v>
      </c>
    </row>
    <row r="348" spans="5:19" ht="11.25" customHeight="1" x14ac:dyDescent="0.2">
      <c r="E348" s="254"/>
      <c r="F348" s="254"/>
      <c r="G348" s="39"/>
      <c r="J348" s="39"/>
      <c r="K348" s="39"/>
      <c r="M348" s="346">
        <f>_xll.qlCalendarAdvance(Calendar,M347,"1M","f",,Trigger)</f>
        <v>52736</v>
      </c>
      <c r="N348" s="344">
        <f>_xll.qlCalendarAdvance(Calendar,M348,"3M","mf",,Trigger)</f>
        <v>52828</v>
      </c>
      <c r="O348" s="40" t="str">
        <f>_xll.qlMakeDatedOIS(,M348,N348,OvernightIndex,0,,,,EvaluationDate)</f>
        <v>obj_0074c#0000</v>
      </c>
      <c r="P348" s="40" t="b">
        <f>_xll.qlInstrumentSetPricingEngine(O348,OisEngine)</f>
        <v>1</v>
      </c>
      <c r="Q348" s="38">
        <f>_xll.qlIndexFixing(Currency&amp;IborType&amp;"3M",_xll.qlInterestRateIndexFixingDate(Currency&amp;IborType&amp;"3M",M348),TRUE,AllTriggers)</f>
        <v>2.0246957755059414E-2</v>
      </c>
      <c r="R348" s="38">
        <f>_xll.qlOvernightIndexedSwapFairRate(O348,AllTriggers)</f>
        <v>1.9743043511629362E-2</v>
      </c>
      <c r="S348" s="345">
        <f t="shared" si="7"/>
        <v>5.0391424343005156E-4</v>
      </c>
    </row>
    <row r="349" spans="5:19" ht="11.25" customHeight="1" x14ac:dyDescent="0.2">
      <c r="E349" s="254"/>
      <c r="F349" s="254"/>
      <c r="G349" s="39"/>
      <c r="J349" s="39"/>
      <c r="K349" s="39"/>
      <c r="M349" s="346">
        <f>_xll.qlCalendarAdvance(Calendar,M348,"1M","f",,Trigger)</f>
        <v>52768</v>
      </c>
      <c r="N349" s="344">
        <f>_xll.qlCalendarAdvance(Calendar,M349,"3M","mf",,Trigger)</f>
        <v>52860</v>
      </c>
      <c r="O349" s="40" t="str">
        <f>_xll.qlMakeDatedOIS(,M349,N349,OvernightIndex,0,,,,EvaluationDate)</f>
        <v>obj_0074e#0000</v>
      </c>
      <c r="P349" s="40" t="b">
        <f>_xll.qlInstrumentSetPricingEngine(O349,OisEngine)</f>
        <v>1</v>
      </c>
      <c r="Q349" s="38">
        <f>_xll.qlIndexFixing(Currency&amp;IborType&amp;"3M",_xll.qlInterestRateIndexFixingDate(Currency&amp;IborType&amp;"3M",M349),TRUE,AllTriggers)</f>
        <v>2.0272008952659213E-2</v>
      </c>
      <c r="R349" s="38">
        <f>_xll.qlOvernightIndexedSwapFairRate(O349,AllTriggers)</f>
        <v>1.9770516922768471E-2</v>
      </c>
      <c r="S349" s="345">
        <f t="shared" si="7"/>
        <v>5.0149202989074187E-4</v>
      </c>
    </row>
    <row r="350" spans="5:19" ht="11.25" customHeight="1" x14ac:dyDescent="0.2">
      <c r="E350" s="254"/>
      <c r="F350" s="254"/>
      <c r="G350" s="39"/>
      <c r="J350" s="39"/>
      <c r="K350" s="39"/>
      <c r="M350" s="346">
        <f>_xll.qlCalendarAdvance(Calendar,M349,"1M","f",,Trigger)</f>
        <v>52798</v>
      </c>
      <c r="N350" s="344">
        <f>_xll.qlCalendarAdvance(Calendar,M350,"3M","mf",,Trigger)</f>
        <v>52890</v>
      </c>
      <c r="O350" s="40" t="str">
        <f>_xll.qlMakeDatedOIS(,M350,N350,OvernightIndex,0,,,,EvaluationDate)</f>
        <v>obj_00969#0000</v>
      </c>
      <c r="P350" s="40" t="b">
        <f>_xll.qlInstrumentSetPricingEngine(O350,OisEngine)</f>
        <v>1</v>
      </c>
      <c r="Q350" s="38">
        <f>_xll.qlIndexFixing(Currency&amp;IborType&amp;"3M",_xll.qlInterestRateIndexFixingDate(Currency&amp;IborType&amp;"3M",M350),TRUE,AllTriggers)</f>
        <v>2.029657317296835E-2</v>
      </c>
      <c r="R350" s="38">
        <f>_xll.qlOvernightIndexedSwapFairRate(O350,AllTriggers)</f>
        <v>1.9797347509575559E-2</v>
      </c>
      <c r="S350" s="345">
        <f t="shared" si="7"/>
        <v>4.9922566339279106E-4</v>
      </c>
    </row>
    <row r="351" spans="5:19" ht="11.25" customHeight="1" x14ac:dyDescent="0.2">
      <c r="E351" s="254"/>
      <c r="F351" s="254"/>
      <c r="G351" s="39"/>
      <c r="J351" s="39"/>
      <c r="K351" s="39"/>
      <c r="M351" s="346">
        <f>_xll.qlCalendarAdvance(Calendar,M350,"1M","f",,Trigger)</f>
        <v>52831</v>
      </c>
      <c r="N351" s="344">
        <f>_xll.qlCalendarAdvance(Calendar,M351,"3M","mf",,Trigger)</f>
        <v>52923</v>
      </c>
      <c r="O351" s="40" t="str">
        <f>_xll.qlMakeDatedOIS(,M351,N351,OvernightIndex,0,,,,EvaluationDate)</f>
        <v>obj_008ce#0000</v>
      </c>
      <c r="P351" s="40" t="b">
        <f>_xll.qlInstrumentSetPricingEngine(O351,OisEngine)</f>
        <v>1</v>
      </c>
      <c r="Q351" s="38">
        <f>_xll.qlIndexFixing(Currency&amp;IborType&amp;"3M",_xll.qlInterestRateIndexFixingDate(Currency&amp;IborType&amp;"3M",M351),TRUE,AllTriggers)</f>
        <v>2.0324766811102027E-2</v>
      </c>
      <c r="R351" s="38">
        <f>_xll.qlOvernightIndexedSwapFairRate(O351,AllTriggers)</f>
        <v>1.9828029173041078E-2</v>
      </c>
      <c r="S351" s="345">
        <f t="shared" si="7"/>
        <v>4.9673763806094839E-4</v>
      </c>
    </row>
    <row r="352" spans="5:19" ht="11.25" customHeight="1" x14ac:dyDescent="0.2">
      <c r="E352" s="254"/>
      <c r="F352" s="254"/>
      <c r="G352" s="39"/>
      <c r="J352" s="39"/>
      <c r="K352" s="39"/>
      <c r="M352" s="346">
        <f>_xll.qlCalendarAdvance(Calendar,M351,"1M","f",,Trigger)</f>
        <v>52862</v>
      </c>
      <c r="N352" s="344">
        <f>_xll.qlCalendarAdvance(Calendar,M352,"3M","mf",,Trigger)</f>
        <v>52953</v>
      </c>
      <c r="O352" s="40" t="str">
        <f>_xll.qlMakeDatedOIS(,M352,N352,OvernightIndex,0,,,,EvaluationDate)</f>
        <v>obj_00750#0000</v>
      </c>
      <c r="P352" s="40" t="b">
        <f>_xll.qlInstrumentSetPricingEngine(O352,OisEngine)</f>
        <v>1</v>
      </c>
      <c r="Q352" s="38">
        <f>_xll.qlIndexFixing(Currency&amp;IborType&amp;"3M",_xll.qlInterestRateIndexFixingDate(Currency&amp;IborType&amp;"3M",M352),TRUE,AllTriggers)</f>
        <v>2.0350990415438031E-2</v>
      </c>
      <c r="R352" s="38">
        <f>_xll.qlOvernightIndexedSwapFairRate(O352,AllTriggers)</f>
        <v>1.9856575297468954E-2</v>
      </c>
      <c r="S352" s="345">
        <f t="shared" si="7"/>
        <v>4.94415117969077E-4</v>
      </c>
    </row>
    <row r="353" spans="5:19" ht="11.25" customHeight="1" x14ac:dyDescent="0.2">
      <c r="E353" s="254"/>
      <c r="F353" s="254"/>
      <c r="G353" s="39"/>
      <c r="J353" s="39"/>
      <c r="K353" s="39"/>
      <c r="M353" s="346">
        <f>_xll.qlCalendarAdvance(Calendar,M352,"1M","f",,Trigger)</f>
        <v>52894</v>
      </c>
      <c r="N353" s="344">
        <f>_xll.qlCalendarAdvance(Calendar,M353,"3M","mf",,Trigger)</f>
        <v>52986</v>
      </c>
      <c r="O353" s="40" t="str">
        <f>_xll.qlMakeDatedOIS(,M353,N353,OvernightIndex,0,,,,EvaluationDate)</f>
        <v>obj_00752#0000</v>
      </c>
      <c r="P353" s="40" t="b">
        <f>_xll.qlInstrumentSetPricingEngine(O353,OisEngine)</f>
        <v>1</v>
      </c>
      <c r="Q353" s="38">
        <f>_xll.qlIndexFixing(Currency&amp;IborType&amp;"3M",_xll.qlInterestRateIndexFixingDate(Currency&amp;IborType&amp;"3M",M353),TRUE,AllTriggers)</f>
        <v>2.0380304538762266E-2</v>
      </c>
      <c r="R353" s="38">
        <f>_xll.qlOvernightIndexedSwapFairRate(O353,AllTriggers)</f>
        <v>1.9888302486879301E-2</v>
      </c>
      <c r="S353" s="345">
        <f t="shared" si="7"/>
        <v>4.92002051882965E-4</v>
      </c>
    </row>
    <row r="354" spans="5:19" ht="11.25" customHeight="1" x14ac:dyDescent="0.2">
      <c r="E354" s="254"/>
      <c r="F354" s="254"/>
      <c r="G354" s="39"/>
      <c r="J354" s="39"/>
      <c r="K354" s="39"/>
      <c r="M354" s="346">
        <f>_xll.qlCalendarAdvance(Calendar,M353,"1M","f",,Trigger)</f>
        <v>52925</v>
      </c>
      <c r="N354" s="344">
        <f>_xll.qlCalendarAdvance(Calendar,M354,"3M","mf",,Trigger)</f>
        <v>53017</v>
      </c>
      <c r="O354" s="40" t="str">
        <f>_xll.qlMakeDatedOIS(,M354,N354,OvernightIndex,0,,,,EvaluationDate)</f>
        <v>obj_00753#0000</v>
      </c>
      <c r="P354" s="40" t="b">
        <f>_xll.qlInstrumentSetPricingEngine(O354,OisEngine)</f>
        <v>1</v>
      </c>
      <c r="Q354" s="38">
        <f>_xll.qlIndexFixing(Currency&amp;IborType&amp;"3M",_xll.qlInterestRateIndexFixingDate(Currency&amp;IborType&amp;"3M",M354),TRUE,AllTriggers)</f>
        <v>2.0407365870531619E-2</v>
      </c>
      <c r="R354" s="38">
        <f>_xll.qlOvernightIndexedSwapFairRate(O354,AllTriggers)</f>
        <v>1.9917687272348522E-2</v>
      </c>
      <c r="S354" s="345">
        <f t="shared" si="7"/>
        <v>4.8967859818309714E-4</v>
      </c>
    </row>
    <row r="355" spans="5:19" ht="11.25" customHeight="1" x14ac:dyDescent="0.2">
      <c r="E355" s="254"/>
      <c r="F355" s="254"/>
      <c r="G355" s="39"/>
      <c r="J355" s="39"/>
      <c r="K355" s="39"/>
      <c r="M355" s="346">
        <f>_xll.qlCalendarAdvance(Calendar,M354,"1M","f",,Trigger)</f>
        <v>52958</v>
      </c>
      <c r="N355" s="344">
        <f>_xll.qlCalendarAdvance(Calendar,M355,"3M","mf",,Trigger)</f>
        <v>53048</v>
      </c>
      <c r="O355" s="40" t="str">
        <f>_xll.qlMakeDatedOIS(,M355,N355,OvernightIndex,0,,,,EvaluationDate)</f>
        <v>obj_009c2#0000</v>
      </c>
      <c r="P355" s="40" t="b">
        <f>_xll.qlInstrumentSetPricingEngine(O355,OisEngine)</f>
        <v>1</v>
      </c>
      <c r="Q355" s="38">
        <f>_xll.qlIndexFixing(Currency&amp;IborType&amp;"3M",_xll.qlInterestRateIndexFixingDate(Currency&amp;IborType&amp;"3M",M355),TRUE,AllTriggers)</f>
        <v>2.0433608781909918E-2</v>
      </c>
      <c r="R355" s="38">
        <f>_xll.qlOvernightIndexedSwapFairRate(O355,AllTriggers)</f>
        <v>1.9946378540263154E-2</v>
      </c>
      <c r="S355" s="345">
        <f t="shared" si="7"/>
        <v>4.8723024164676332E-4</v>
      </c>
    </row>
    <row r="356" spans="5:19" ht="11.25" customHeight="1" x14ac:dyDescent="0.2">
      <c r="E356" s="254"/>
      <c r="F356" s="254"/>
      <c r="G356" s="39"/>
      <c r="J356" s="39"/>
      <c r="K356" s="39"/>
      <c r="M356" s="346">
        <f>_xll.qlCalendarAdvance(Calendar,M355,"1M","f",,Trigger)</f>
        <v>52989</v>
      </c>
      <c r="N356" s="344">
        <f>_xll.qlCalendarAdvance(Calendar,M356,"3M","mf",,Trigger)</f>
        <v>53079</v>
      </c>
      <c r="O356" s="40" t="str">
        <f>_xll.qlMakeDatedOIS(,M356,N356,OvernightIndex,0,,,,EvaluationDate)</f>
        <v>obj_00754#0000</v>
      </c>
      <c r="P356" s="40" t="b">
        <f>_xll.qlInstrumentSetPricingEngine(O356,OisEngine)</f>
        <v>1</v>
      </c>
      <c r="Q356" s="38">
        <f>_xll.qlIndexFixing(Currency&amp;IborType&amp;"3M",_xll.qlInterestRateIndexFixingDate(Currency&amp;IborType&amp;"3M",M356),TRUE,AllTriggers)</f>
        <v>2.0459616654251889E-2</v>
      </c>
      <c r="R356" s="38">
        <f>_xll.qlOvernightIndexedSwapFairRate(O356,AllTriggers)</f>
        <v>1.9974700700713832E-2</v>
      </c>
      <c r="S356" s="345">
        <f t="shared" si="7"/>
        <v>4.849159535380565E-4</v>
      </c>
    </row>
    <row r="357" spans="5:19" ht="11.25" customHeight="1" x14ac:dyDescent="0.2">
      <c r="E357" s="254"/>
      <c r="F357" s="254"/>
      <c r="G357" s="39"/>
      <c r="J357" s="39"/>
      <c r="K357" s="39"/>
      <c r="M357" s="346">
        <f>_xll.qlCalendarAdvance(Calendar,M356,"1M","f",,Trigger)</f>
        <v>53020</v>
      </c>
      <c r="N357" s="344">
        <f>_xll.qlCalendarAdvance(Calendar,M357,"3M","mf",,Trigger)</f>
        <v>53111</v>
      </c>
      <c r="O357" s="40" t="str">
        <f>_xll.qlMakeDatedOIS(,M357,N357,OvernightIndex,0,,,,EvaluationDate)</f>
        <v>obj_00755#0000</v>
      </c>
      <c r="P357" s="40" t="b">
        <f>_xll.qlInstrumentSetPricingEngine(O357,OisEngine)</f>
        <v>1</v>
      </c>
      <c r="Q357" s="38">
        <f>_xll.qlIndexFixing(Currency&amp;IborType&amp;"3M",_xll.qlInterestRateIndexFixingDate(Currency&amp;IborType&amp;"3M",M357),TRUE,AllTriggers)</f>
        <v>2.048609183703002E-2</v>
      </c>
      <c r="R357" s="38">
        <f>_xll.qlOvernightIndexedSwapFairRate(O357,AllTriggers)</f>
        <v>2.0003495865723635E-2</v>
      </c>
      <c r="S357" s="345">
        <f t="shared" si="7"/>
        <v>4.8259597130638487E-4</v>
      </c>
    </row>
    <row r="358" spans="5:19" ht="11.25" customHeight="1" x14ac:dyDescent="0.2">
      <c r="E358" s="254"/>
      <c r="F358" s="254"/>
      <c r="G358" s="39"/>
      <c r="J358" s="39"/>
      <c r="K358" s="39"/>
      <c r="M358" s="346">
        <f>_xll.qlCalendarAdvance(Calendar,M357,"1M","f",,Trigger)</f>
        <v>53048</v>
      </c>
      <c r="N358" s="344">
        <f>_xll.qlCalendarAdvance(Calendar,M358,"3M","mf",,Trigger)</f>
        <v>53140</v>
      </c>
      <c r="O358" s="40" t="str">
        <f>_xll.qlMakeDatedOIS(,M358,N358,OvernightIndex,0,,,,EvaluationDate)</f>
        <v>obj_00757#0000</v>
      </c>
      <c r="P358" s="40" t="b">
        <f>_xll.qlInstrumentSetPricingEngine(O358,OisEngine)</f>
        <v>1</v>
      </c>
      <c r="Q358" s="38">
        <f>_xll.qlIndexFixing(Currency&amp;IborType&amp;"3M",_xll.qlInterestRateIndexFixingDate(Currency&amp;IborType&amp;"3M",M358),TRUE,AllTriggers)</f>
        <v>2.0509642851953946E-2</v>
      </c>
      <c r="R358" s="38">
        <f>_xll.qlOvernightIndexedSwapFairRate(O358,AllTriggers)</f>
        <v>2.0029139568237313E-2</v>
      </c>
      <c r="S358" s="345">
        <f t="shared" si="7"/>
        <v>4.805032837166337E-4</v>
      </c>
    </row>
    <row r="359" spans="5:19" ht="11.25" customHeight="1" x14ac:dyDescent="0.2">
      <c r="E359" s="254"/>
      <c r="F359" s="254"/>
      <c r="G359" s="39"/>
      <c r="J359" s="39"/>
      <c r="K359" s="39"/>
      <c r="M359" s="346">
        <f>_xll.qlCalendarAdvance(Calendar,M358,"1M","f",,Trigger)</f>
        <v>53079</v>
      </c>
      <c r="N359" s="344">
        <f>_xll.qlCalendarAdvance(Calendar,M359,"3M","mf",,Trigger)</f>
        <v>53170</v>
      </c>
      <c r="O359" s="40" t="str">
        <f>_xll.qlMakeDatedOIS(,M359,N359,OvernightIndex,0,,,,EvaluationDate)</f>
        <v>obj_00758#0000</v>
      </c>
      <c r="P359" s="40" t="b">
        <f>_xll.qlInstrumentSetPricingEngine(O359,OisEngine)</f>
        <v>1</v>
      </c>
      <c r="Q359" s="38">
        <f>_xll.qlIndexFixing(Currency&amp;IborType&amp;"3M",_xll.qlInterestRateIndexFixingDate(Currency&amp;IborType&amp;"3M",M359),TRUE,AllTriggers)</f>
        <v>2.0533163277985191E-2</v>
      </c>
      <c r="R359" s="38">
        <f>_xll.qlOvernightIndexedSwapFairRate(O359,AllTriggers)</f>
        <v>2.0054951330255498E-2</v>
      </c>
      <c r="S359" s="345">
        <f t="shared" si="7"/>
        <v>4.7821194772969255E-4</v>
      </c>
    </row>
    <row r="360" spans="5:19" ht="11.25" customHeight="1" x14ac:dyDescent="0.2">
      <c r="E360" s="254"/>
      <c r="F360" s="254"/>
      <c r="G360" s="39"/>
      <c r="J360" s="39"/>
      <c r="K360" s="39"/>
      <c r="M360" s="346">
        <f>_xll.qlCalendarAdvance(Calendar,M359,"1M","f",,Trigger)</f>
        <v>53111</v>
      </c>
      <c r="N360" s="344">
        <f>_xll.qlCalendarAdvance(Calendar,M360,"3M","mf",,Trigger)</f>
        <v>53203</v>
      </c>
      <c r="O360" s="40" t="str">
        <f>_xll.qlMakeDatedOIS(,M360,N360,OvernightIndex,0,,,,EvaluationDate)</f>
        <v>obj_00759#0000</v>
      </c>
      <c r="P360" s="40" t="b">
        <f>_xll.qlInstrumentSetPricingEngine(O360,OisEngine)</f>
        <v>1</v>
      </c>
      <c r="Q360" s="38">
        <f>_xll.qlIndexFixing(Currency&amp;IborType&amp;"3M",_xll.qlInterestRateIndexFixingDate(Currency&amp;IborType&amp;"3M",M360),TRUE,AllTriggers)</f>
        <v>2.0558873745613049E-2</v>
      </c>
      <c r="R360" s="38">
        <f>_xll.qlOvernightIndexedSwapFairRate(O360,AllTriggers)</f>
        <v>2.0083043057895236E-2</v>
      </c>
      <c r="S360" s="345">
        <f t="shared" si="7"/>
        <v>4.7583068771781326E-4</v>
      </c>
    </row>
    <row r="361" spans="5:19" ht="11.25" customHeight="1" x14ac:dyDescent="0.2">
      <c r="E361" s="254"/>
      <c r="F361" s="254"/>
      <c r="G361" s="39"/>
      <c r="J361" s="39"/>
      <c r="K361" s="39"/>
      <c r="M361" s="346">
        <f>_xll.qlCalendarAdvance(Calendar,M360,"1M","f",,Trigger)</f>
        <v>53142</v>
      </c>
      <c r="N361" s="344">
        <f>_xll.qlCalendarAdvance(Calendar,M361,"3M","mf",,Trigger)</f>
        <v>53234</v>
      </c>
      <c r="O361" s="40" t="str">
        <f>_xll.qlMakeDatedOIS(,M361,N361,OvernightIndex,0,,,,EvaluationDate)</f>
        <v>obj_0075b#0000</v>
      </c>
      <c r="P361" s="40" t="b">
        <f>_xll.qlInstrumentSetPricingEngine(O361,OisEngine)</f>
        <v>1</v>
      </c>
      <c r="Q361" s="38">
        <f>_xll.qlIndexFixing(Currency&amp;IborType&amp;"3M",_xll.qlInterestRateIndexFixingDate(Currency&amp;IborType&amp;"3M",M361),TRUE,AllTriggers)</f>
        <v>2.0582313890490322E-2</v>
      </c>
      <c r="R361" s="38">
        <f>_xll.qlOvernightIndexedSwapFairRate(O361,AllTriggers)</f>
        <v>2.010877570996094E-2</v>
      </c>
      <c r="S361" s="345">
        <f t="shared" si="7"/>
        <v>4.7353818052938215E-4</v>
      </c>
    </row>
    <row r="362" spans="5:19" ht="11.25" customHeight="1" x14ac:dyDescent="0.2">
      <c r="E362" s="254"/>
      <c r="F362" s="254"/>
      <c r="G362" s="39"/>
      <c r="J362" s="39"/>
      <c r="K362" s="39"/>
      <c r="M362" s="346">
        <f>_xll.qlCalendarAdvance(Calendar,M361,"1M","f",,Trigger)</f>
        <v>53174</v>
      </c>
      <c r="N362" s="344">
        <f>_xll.qlCalendarAdvance(Calendar,M362,"3M","mf",,Trigger)</f>
        <v>53266</v>
      </c>
      <c r="O362" s="40" t="str">
        <f>_xll.qlMakeDatedOIS(,M362,N362,OvernightIndex,0,,,,EvaluationDate)</f>
        <v>obj_0075c#0000</v>
      </c>
      <c r="P362" s="40" t="b">
        <f>_xll.qlInstrumentSetPricingEngine(O362,OisEngine)</f>
        <v>1</v>
      </c>
      <c r="Q362" s="38">
        <f>_xll.qlIndexFixing(Currency&amp;IborType&amp;"3M",_xll.qlInterestRateIndexFixingDate(Currency&amp;IborType&amp;"3M",M362),TRUE,AllTriggers)</f>
        <v>2.0605967357484951E-2</v>
      </c>
      <c r="R362" s="38">
        <f>_xll.qlOvernightIndexedSwapFairRate(O362,AllTriggers)</f>
        <v>2.013479099465177E-2</v>
      </c>
      <c r="S362" s="345">
        <f t="shared" si="7"/>
        <v>4.711763628331804E-4</v>
      </c>
    </row>
    <row r="363" spans="5:19" ht="11.25" customHeight="1" x14ac:dyDescent="0.2">
      <c r="E363" s="254"/>
      <c r="F363" s="254"/>
      <c r="G363" s="39"/>
      <c r="J363" s="39"/>
      <c r="K363" s="39"/>
      <c r="M363" s="346">
        <f>_xll.qlCalendarAdvance(Calendar,M362,"1M","f",,Trigger)</f>
        <v>53205</v>
      </c>
      <c r="N363" s="344">
        <f>_xll.qlCalendarAdvance(Calendar,M363,"3M","mf",,Trigger)</f>
        <v>53296</v>
      </c>
      <c r="O363" s="40" t="str">
        <f>_xll.qlMakeDatedOIS(,M363,N363,OvernightIndex,0,,,,EvaluationDate)</f>
        <v>obj_0075d#0000</v>
      </c>
      <c r="P363" s="40" t="b">
        <f>_xll.qlInstrumentSetPricingEngine(O363,OisEngine)</f>
        <v>1</v>
      </c>
      <c r="Q363" s="38">
        <f>_xll.qlIndexFixing(Currency&amp;IborType&amp;"3M",_xll.qlInterestRateIndexFixingDate(Currency&amp;IborType&amp;"3M",M363),TRUE,AllTriggers)</f>
        <v>2.0627412959849902E-2</v>
      </c>
      <c r="R363" s="38">
        <f>_xll.qlOvernightIndexedSwapFairRate(O363,AllTriggers)</f>
        <v>2.0158509844721666E-2</v>
      </c>
      <c r="S363" s="345">
        <f t="shared" si="7"/>
        <v>4.6890311512823649E-4</v>
      </c>
    </row>
    <row r="364" spans="5:19" ht="11.25" customHeight="1" x14ac:dyDescent="0.2">
      <c r="E364" s="254"/>
      <c r="F364" s="254"/>
      <c r="G364" s="39"/>
      <c r="J364" s="39"/>
      <c r="K364" s="39"/>
      <c r="M364" s="346">
        <f>_xll.qlCalendarAdvance(Calendar,M363,"1M","f",,Trigger)</f>
        <v>53237</v>
      </c>
      <c r="N364" s="344">
        <f>_xll.qlCalendarAdvance(Calendar,M364,"3M","mf",,Trigger)</f>
        <v>53329</v>
      </c>
      <c r="O364" s="40" t="str">
        <f>_xll.qlMakeDatedOIS(,M364,N364,OvernightIndex,0,,,,EvaluationDate)</f>
        <v>obj_0075e#0000</v>
      </c>
      <c r="P364" s="40" t="b">
        <f>_xll.qlInstrumentSetPricingEngine(O364,OisEngine)</f>
        <v>1</v>
      </c>
      <c r="Q364" s="38">
        <f>_xll.qlIndexFixing(Currency&amp;IborType&amp;"3M",_xll.qlInterestRateIndexFixingDate(Currency&amp;IborType&amp;"3M",M364),TRUE,AllTriggers)</f>
        <v>2.0650923610791936E-2</v>
      </c>
      <c r="R364" s="38">
        <f>_xll.qlOvernightIndexedSwapFairRate(O364,AllTriggers)</f>
        <v>2.0184383293404551E-2</v>
      </c>
      <c r="S364" s="345">
        <f t="shared" si="7"/>
        <v>4.6654031738738513E-4</v>
      </c>
    </row>
    <row r="365" spans="5:19" ht="11.25" customHeight="1" x14ac:dyDescent="0.2">
      <c r="E365" s="254"/>
      <c r="F365" s="254"/>
      <c r="G365" s="39"/>
      <c r="J365" s="39"/>
      <c r="K365" s="39"/>
      <c r="M365" s="346">
        <f>_xll.qlCalendarAdvance(Calendar,M364,"1M","f",,Trigger)</f>
        <v>53268</v>
      </c>
      <c r="N365" s="344">
        <f>_xll.qlCalendarAdvance(Calendar,M365,"3M","mf",,Trigger)</f>
        <v>53360</v>
      </c>
      <c r="O365" s="40" t="str">
        <f>_xll.qlMakeDatedOIS(,M365,N365,OvernightIndex,0,,,,EvaluationDate)</f>
        <v>obj_0075f#0000</v>
      </c>
      <c r="P365" s="40" t="b">
        <f>_xll.qlInstrumentSetPricingEngine(O365,OisEngine)</f>
        <v>1</v>
      </c>
      <c r="Q365" s="38">
        <f>_xll.qlIndexFixing(Currency&amp;IborType&amp;"3M",_xll.qlInterestRateIndexFixingDate(Currency&amp;IborType&amp;"3M",M365),TRUE,AllTriggers)</f>
        <v>2.0672260305686318E-2</v>
      </c>
      <c r="R365" s="38">
        <f>_xll.qlOvernightIndexedSwapFairRate(O365,AllTriggers)</f>
        <v>2.0207994504198908E-2</v>
      </c>
      <c r="S365" s="345">
        <f t="shared" si="7"/>
        <v>4.6426580148740959E-4</v>
      </c>
    </row>
    <row r="366" spans="5:19" ht="11.25" customHeight="1" x14ac:dyDescent="0.2">
      <c r="E366" s="254"/>
      <c r="F366" s="254"/>
      <c r="G366" s="39"/>
      <c r="J366" s="39"/>
      <c r="K366" s="39"/>
      <c r="M366" s="346">
        <f>_xll.qlCalendarAdvance(Calendar,M365,"1M","f",,Trigger)</f>
        <v>53300</v>
      </c>
      <c r="N366" s="344">
        <f>_xll.qlCalendarAdvance(Calendar,M366,"3M","mf",,Trigger)</f>
        <v>53391</v>
      </c>
      <c r="O366" s="40" t="str">
        <f>_xll.qlMakeDatedOIS(,M366,N366,OvernightIndex,0,,,,EvaluationDate)</f>
        <v>obj_00760#0000</v>
      </c>
      <c r="P366" s="40" t="b">
        <f>_xll.qlInstrumentSetPricingEngine(O366,OisEngine)</f>
        <v>1</v>
      </c>
      <c r="Q366" s="38">
        <f>_xll.qlIndexFixing(Currency&amp;IborType&amp;"3M",_xll.qlInterestRateIndexFixingDate(Currency&amp;IborType&amp;"3M",M366),TRUE,AllTriggers)</f>
        <v>2.0692821432912321E-2</v>
      </c>
      <c r="R366" s="38">
        <f>_xll.qlOvernightIndexedSwapFairRate(O366,AllTriggers)</f>
        <v>2.0230888520404878E-2</v>
      </c>
      <c r="S366" s="345">
        <f t="shared" si="7"/>
        <v>4.6193291250744284E-4</v>
      </c>
    </row>
    <row r="367" spans="5:19" ht="11.25" customHeight="1" x14ac:dyDescent="0.2">
      <c r="E367" s="254"/>
      <c r="F367" s="254"/>
      <c r="G367" s="39"/>
      <c r="J367" s="39"/>
      <c r="K367" s="39"/>
      <c r="M367" s="346">
        <f>_xll.qlCalendarAdvance(Calendar,M366,"1M","f",,Trigger)</f>
        <v>53331</v>
      </c>
      <c r="N367" s="344">
        <f>_xll.qlCalendarAdvance(Calendar,M367,"3M","mf",,Trigger)</f>
        <v>53421</v>
      </c>
      <c r="O367" s="40" t="str">
        <f>_xll.qlMakeDatedOIS(,M367,N367,OvernightIndex,0,,,,EvaluationDate)</f>
        <v>obj_00761#0000</v>
      </c>
      <c r="P367" s="40" t="b">
        <f>_xll.qlInstrumentSetPricingEngine(O367,OisEngine)</f>
        <v>1</v>
      </c>
      <c r="Q367" s="38">
        <f>_xll.qlIndexFixing(Currency&amp;IborType&amp;"3M",_xll.qlInterestRateIndexFixingDate(Currency&amp;IborType&amp;"3M",M367),TRUE,AllTriggers)</f>
        <v>2.071219959760473E-2</v>
      </c>
      <c r="R367" s="38">
        <f>_xll.qlOvernightIndexedSwapFairRate(O367,AllTriggers)</f>
        <v>2.025252178714787E-2</v>
      </c>
      <c r="S367" s="345">
        <f t="shared" si="7"/>
        <v>4.5967781045685996E-4</v>
      </c>
    </row>
    <row r="368" spans="5:19" ht="11.25" customHeight="1" x14ac:dyDescent="0.2">
      <c r="E368" s="254"/>
      <c r="F368" s="254"/>
      <c r="G368" s="39"/>
      <c r="J368" s="39"/>
      <c r="K368" s="39"/>
      <c r="M368" s="346">
        <f>_xll.qlCalendarAdvance(Calendar,M367,"1M","f",,Trigger)</f>
        <v>53363</v>
      </c>
      <c r="N368" s="344">
        <f>_xll.qlCalendarAdvance(Calendar,M368,"3M","mf",,Trigger)</f>
        <v>53454</v>
      </c>
      <c r="O368" s="40" t="str">
        <f>_xll.qlMakeDatedOIS(,M368,N368,OvernightIndex,0,,,,EvaluationDate)</f>
        <v>obj_008cc#0000</v>
      </c>
      <c r="P368" s="40" t="b">
        <f>_xll.qlInstrumentSetPricingEngine(O368,OisEngine)</f>
        <v>1</v>
      </c>
      <c r="Q368" s="38">
        <f>_xll.qlIndexFixing(Currency&amp;IborType&amp;"3M",_xll.qlInterestRateIndexFixingDate(Currency&amp;IborType&amp;"3M",M368),TRUE,AllTriggers)</f>
        <v>2.0733517381831646E-2</v>
      </c>
      <c r="R368" s="38">
        <f>_xll.qlOvernightIndexedSwapFairRate(O368,AllTriggers)</f>
        <v>2.0276183870000786E-2</v>
      </c>
      <c r="S368" s="345">
        <f t="shared" si="7"/>
        <v>4.5733351183085968E-4</v>
      </c>
    </row>
    <row r="369" spans="5:19" ht="11.25" customHeight="1" x14ac:dyDescent="0.2">
      <c r="E369" s="254"/>
      <c r="F369" s="254"/>
      <c r="G369" s="39"/>
      <c r="J369" s="39"/>
      <c r="K369" s="39"/>
      <c r="M369" s="346">
        <f>_xll.qlCalendarAdvance(Calendar,M368,"1M","f",,Trigger)</f>
        <v>53391</v>
      </c>
      <c r="N369" s="344">
        <f>_xll.qlCalendarAdvance(Calendar,M369,"3M","mf",,Trigger)</f>
        <v>53483</v>
      </c>
      <c r="O369" s="40" t="str">
        <f>_xll.qlMakeDatedOIS(,M369,N369,OvernightIndex,0,,,,EvaluationDate)</f>
        <v>obj_00762#0000</v>
      </c>
      <c r="P369" s="40" t="b">
        <f>_xll.qlInstrumentSetPricingEngine(O369,OisEngine)</f>
        <v>1</v>
      </c>
      <c r="Q369" s="38">
        <f>_xll.qlIndexFixing(Currency&amp;IborType&amp;"3M",_xll.qlInterestRateIndexFixingDate(Currency&amp;IborType&amp;"3M",M369),TRUE,AllTriggers)</f>
        <v>2.0751818209462515E-2</v>
      </c>
      <c r="R369" s="38">
        <f>_xll.qlOvernightIndexedSwapFairRate(O369,AllTriggers)</f>
        <v>2.0296533442048056E-2</v>
      </c>
      <c r="S369" s="345">
        <f t="shared" si="7"/>
        <v>4.5528476741445861E-4</v>
      </c>
    </row>
    <row r="370" spans="5:19" ht="11.25" customHeight="1" x14ac:dyDescent="0.2">
      <c r="E370" s="254"/>
      <c r="F370" s="254"/>
      <c r="G370" s="39"/>
      <c r="J370" s="39"/>
      <c r="K370" s="39"/>
      <c r="M370" s="346">
        <f>_xll.qlCalendarAdvance(Calendar,M369,"1M","f",,Trigger)</f>
        <v>53422</v>
      </c>
      <c r="N370" s="344">
        <f>_xll.qlCalendarAdvance(Calendar,M370,"3M","mf",,Trigger)</f>
        <v>53513</v>
      </c>
      <c r="O370" s="40" t="str">
        <f>_xll.qlMakeDatedOIS(,M370,N370,OvernightIndex,0,,,,EvaluationDate)</f>
        <v>obj_00763#0000</v>
      </c>
      <c r="P370" s="40" t="b">
        <f>_xll.qlInstrumentSetPricingEngine(O370,OisEngine)</f>
        <v>1</v>
      </c>
      <c r="Q370" s="38">
        <f>_xll.qlIndexFixing(Currency&amp;IborType&amp;"3M",_xll.qlInterestRateIndexFixingDate(Currency&amp;IborType&amp;"3M",M370),TRUE,AllTriggers)</f>
        <v>2.0769691271437594E-2</v>
      </c>
      <c r="R370" s="38">
        <f>_xll.qlOvernightIndexedSwapFairRate(O370,AllTriggers)</f>
        <v>2.031664853487589E-2</v>
      </c>
      <c r="S370" s="345">
        <f t="shared" si="7"/>
        <v>4.5304273656170471E-4</v>
      </c>
    </row>
    <row r="371" spans="5:19" ht="11.25" customHeight="1" x14ac:dyDescent="0.2">
      <c r="E371" s="254"/>
      <c r="F371" s="254"/>
      <c r="G371" s="39"/>
      <c r="J371" s="39"/>
      <c r="K371" s="39"/>
      <c r="M371" s="346">
        <f>_xll.qlCalendarAdvance(Calendar,M370,"1M","f",,Trigger)</f>
        <v>53454</v>
      </c>
      <c r="N371" s="344">
        <f>_xll.qlCalendarAdvance(Calendar,M371,"3M","mf",,Trigger)</f>
        <v>53546</v>
      </c>
      <c r="O371" s="40" t="str">
        <f>_xll.qlMakeDatedOIS(,M371,N371,OvernightIndex,0,,,,EvaluationDate)</f>
        <v>obj_00764#0000</v>
      </c>
      <c r="P371" s="40" t="b">
        <f>_xll.qlInstrumentSetPricingEngine(O371,OisEngine)</f>
        <v>1</v>
      </c>
      <c r="Q371" s="38">
        <f>_xll.qlIndexFixing(Currency&amp;IborType&amp;"3M",_xll.qlInterestRateIndexFixingDate(Currency&amp;IborType&amp;"3M",M371),TRUE,AllTriggers)</f>
        <v>2.0789411910649355E-2</v>
      </c>
      <c r="R371" s="38">
        <f>_xll.qlOvernightIndexedSwapFairRate(O371,AllTriggers)</f>
        <v>2.0338700163307948E-2</v>
      </c>
      <c r="S371" s="345">
        <f t="shared" si="7"/>
        <v>4.5071174734140698E-4</v>
      </c>
    </row>
    <row r="372" spans="5:19" ht="11.25" customHeight="1" x14ac:dyDescent="0.2">
      <c r="E372" s="254"/>
      <c r="F372" s="254"/>
      <c r="G372" s="39"/>
      <c r="J372" s="39"/>
      <c r="K372" s="39"/>
      <c r="M372" s="346">
        <f>_xll.qlCalendarAdvance(Calendar,M371,"1M","f",,Trigger)</f>
        <v>53485</v>
      </c>
      <c r="N372" s="344">
        <f>_xll.qlCalendarAdvance(Calendar,M372,"3M","mf",,Trigger)</f>
        <v>53577</v>
      </c>
      <c r="O372" s="40" t="str">
        <f>_xll.qlMakeDatedOIS(,M372,N372,OvernightIndex,0,,,,EvaluationDate)</f>
        <v>obj_00765#0000</v>
      </c>
      <c r="P372" s="40" t="b">
        <f>_xll.qlInstrumentSetPricingEngine(O372,OisEngine)</f>
        <v>1</v>
      </c>
      <c r="Q372" s="38">
        <f>_xll.qlIndexFixing(Currency&amp;IborType&amp;"3M",_xll.qlInterestRateIndexFixingDate(Currency&amp;IborType&amp;"3M",M372),TRUE,AllTriggers)</f>
        <v>2.0807125678804255E-2</v>
      </c>
      <c r="R372" s="38">
        <f>_xll.qlOvernightIndexedSwapFairRate(O372,AllTriggers)</f>
        <v>2.0358657424589775E-2</v>
      </c>
      <c r="S372" s="345">
        <f t="shared" si="7"/>
        <v>4.4846825421447981E-4</v>
      </c>
    </row>
    <row r="373" spans="5:19" ht="11.25" customHeight="1" x14ac:dyDescent="0.2">
      <c r="E373" s="254"/>
      <c r="F373" s="254"/>
      <c r="G373" s="39"/>
      <c r="J373" s="39"/>
      <c r="K373" s="39"/>
      <c r="M373" s="346">
        <f>_xll.qlCalendarAdvance(Calendar,M372,"1M","f",,Trigger)</f>
        <v>53517</v>
      </c>
      <c r="N373" s="344">
        <f>_xll.qlCalendarAdvance(Calendar,M373,"3M","mf",,Trigger)</f>
        <v>53609</v>
      </c>
      <c r="O373" s="40" t="str">
        <f>_xll.qlMakeDatedOIS(,M373,N373,OvernightIndex,0,,,,EvaluationDate)</f>
        <v>obj_00766#0000</v>
      </c>
      <c r="P373" s="40" t="b">
        <f>_xll.qlInstrumentSetPricingEngine(O373,OisEngine)</f>
        <v>1</v>
      </c>
      <c r="Q373" s="38">
        <f>_xll.qlIndexFixing(Currency&amp;IborType&amp;"3M",_xll.qlInterestRateIndexFixingDate(Currency&amp;IborType&amp;"3M",M373),TRUE,AllTriggers)</f>
        <v>2.0824867954188777E-2</v>
      </c>
      <c r="R373" s="38">
        <f>_xll.qlOvernightIndexedSwapFairRate(O373,AllTriggers)</f>
        <v>2.0378710911227116E-2</v>
      </c>
      <c r="S373" s="345">
        <f t="shared" si="7"/>
        <v>4.4615704296166112E-4</v>
      </c>
    </row>
    <row r="374" spans="5:19" ht="11.25" customHeight="1" x14ac:dyDescent="0.2">
      <c r="E374" s="254"/>
      <c r="F374" s="254"/>
      <c r="G374" s="39"/>
      <c r="J374" s="39"/>
      <c r="K374" s="39"/>
      <c r="M374" s="346">
        <f>_xll.qlCalendarAdvance(Calendar,M373,"1M","f",,Trigger)</f>
        <v>53548</v>
      </c>
      <c r="N374" s="344">
        <f>_xll.qlCalendarAdvance(Calendar,M374,"3M","mf",,Trigger)</f>
        <v>53640</v>
      </c>
      <c r="O374" s="40" t="str">
        <f>_xll.qlMakeDatedOIS(,M374,N374,OvernightIndex,0,,,,EvaluationDate)</f>
        <v>obj_00767#0000</v>
      </c>
      <c r="P374" s="40" t="b">
        <f>_xll.qlInstrumentSetPricingEngine(O374,OisEngine)</f>
        <v>1</v>
      </c>
      <c r="Q374" s="38">
        <f>_xll.qlIndexFixing(Currency&amp;IborType&amp;"3M",_xll.qlInterestRateIndexFixingDate(Currency&amp;IborType&amp;"3M",M374),TRUE,AllTriggers)</f>
        <v>2.0841529837620873E-2</v>
      </c>
      <c r="R374" s="38">
        <f>_xll.qlOvernightIndexedSwapFairRate(O374,AllTriggers)</f>
        <v>2.039760727235947E-2</v>
      </c>
      <c r="S374" s="345">
        <f t="shared" si="7"/>
        <v>4.4392256526140303E-4</v>
      </c>
    </row>
    <row r="375" spans="5:19" ht="11.25" customHeight="1" x14ac:dyDescent="0.2">
      <c r="E375" s="254"/>
      <c r="F375" s="254"/>
      <c r="G375" s="39"/>
      <c r="J375" s="39"/>
      <c r="K375" s="39"/>
      <c r="M375" s="346">
        <f>_xll.qlCalendarAdvance(Calendar,M374,"1M","f",,Trigger)</f>
        <v>53580</v>
      </c>
      <c r="N375" s="344">
        <f>_xll.qlCalendarAdvance(Calendar,M375,"3M","mf",,Trigger)</f>
        <v>53671</v>
      </c>
      <c r="O375" s="40" t="str">
        <f>_xll.qlMakeDatedOIS(,M375,N375,OvernightIndex,0,,,,EvaluationDate)</f>
        <v>obj_00769#0000</v>
      </c>
      <c r="P375" s="40" t="b">
        <f>_xll.qlInstrumentSetPricingEngine(O375,OisEngine)</f>
        <v>1</v>
      </c>
      <c r="Q375" s="38">
        <f>_xll.qlIndexFixing(Currency&amp;IborType&amp;"3M",_xll.qlInterestRateIndexFixingDate(Currency&amp;IborType&amp;"3M",M375),TRUE,AllTriggers)</f>
        <v>2.0857331215884695E-2</v>
      </c>
      <c r="R375" s="38">
        <f>_xll.qlOvernightIndexedSwapFairRate(O375,AllTriggers)</f>
        <v>2.0415699908955434E-2</v>
      </c>
      <c r="S375" s="345">
        <f t="shared" si="7"/>
        <v>4.4163130692926114E-4</v>
      </c>
    </row>
    <row r="376" spans="5:19" ht="11.25" customHeight="1" x14ac:dyDescent="0.2">
      <c r="E376" s="254"/>
      <c r="F376" s="254"/>
      <c r="G376" s="39"/>
      <c r="J376" s="39"/>
      <c r="K376" s="39"/>
      <c r="M376" s="346">
        <f>_xll.qlCalendarAdvance(Calendar,M375,"1M","f",,Trigger)</f>
        <v>53610</v>
      </c>
      <c r="N376" s="344">
        <f>_xll.qlCalendarAdvance(Calendar,M376,"3M","mf",,Trigger)</f>
        <v>53702</v>
      </c>
      <c r="O376" s="40" t="str">
        <f>_xll.qlMakeDatedOIS(,M376,N376,OvernightIndex,0,,,,EvaluationDate)</f>
        <v>obj_0076a#0000</v>
      </c>
      <c r="P376" s="40" t="b">
        <f>_xll.qlInstrumentSetPricingEngine(O376,OisEngine)</f>
        <v>1</v>
      </c>
      <c r="Q376" s="38">
        <f>_xll.qlIndexFixing(Currency&amp;IborType&amp;"3M",_xll.qlInterestRateIndexFixingDate(Currency&amp;IborType&amp;"3M",M376),TRUE,AllTriggers)</f>
        <v>2.0873300785664586E-2</v>
      </c>
      <c r="R376" s="38">
        <f>_xll.qlOvernightIndexedSwapFairRate(O376,AllTriggers)</f>
        <v>2.0433833862066635E-2</v>
      </c>
      <c r="S376" s="345">
        <f t="shared" si="7"/>
        <v>4.3946692359795106E-4</v>
      </c>
    </row>
    <row r="377" spans="5:19" ht="11.25" customHeight="1" x14ac:dyDescent="0.2">
      <c r="E377" s="254"/>
      <c r="F377" s="254"/>
      <c r="G377" s="39"/>
      <c r="J377" s="39"/>
      <c r="K377" s="39"/>
      <c r="M377" s="346">
        <f>_xll.qlCalendarAdvance(Calendar,M376,"1M","f",,Trigger)</f>
        <v>53643</v>
      </c>
      <c r="N377" s="344">
        <f>_xll.qlCalendarAdvance(Calendar,M377,"3M","mf",,Trigger)</f>
        <v>53735</v>
      </c>
      <c r="O377" s="40" t="str">
        <f>_xll.qlMakeDatedOIS(,M377,N377,OvernightIndex,0,,,,EvaluationDate)</f>
        <v>obj_0076c#0000</v>
      </c>
      <c r="P377" s="40" t="b">
        <f>_xll.qlInstrumentSetPricingEngine(O377,OisEngine)</f>
        <v>1</v>
      </c>
      <c r="Q377" s="38">
        <f>_xll.qlIndexFixing(Currency&amp;IborType&amp;"3M",_xll.qlInterestRateIndexFixingDate(Currency&amp;IborType&amp;"3M",M377),TRUE,AllTriggers)</f>
        <v>2.0889366840585805E-2</v>
      </c>
      <c r="R377" s="38">
        <f>_xll.qlOvernightIndexedSwapFairRate(O377,AllTriggers)</f>
        <v>2.0452264227375328E-2</v>
      </c>
      <c r="S377" s="345">
        <f t="shared" si="7"/>
        <v>4.3710261321047716E-4</v>
      </c>
    </row>
    <row r="378" spans="5:19" ht="11.25" customHeight="1" x14ac:dyDescent="0.2">
      <c r="E378" s="254"/>
      <c r="F378" s="254"/>
      <c r="G378" s="39"/>
      <c r="J378" s="39"/>
      <c r="K378" s="39"/>
      <c r="M378" s="346">
        <f>_xll.qlCalendarAdvance(Calendar,M377,"1M","f",,Trigger)</f>
        <v>53673</v>
      </c>
      <c r="N378" s="344">
        <f>_xll.qlCalendarAdvance(Calendar,M378,"3M","mf",,Trigger)</f>
        <v>53763</v>
      </c>
      <c r="O378" s="40" t="str">
        <f>_xll.qlMakeDatedOIS(,M378,N378,OvernightIndex,0,,,,EvaluationDate)</f>
        <v>obj_0076d#0000</v>
      </c>
      <c r="P378" s="40" t="b">
        <f>_xll.qlInstrumentSetPricingEngine(O378,OisEngine)</f>
        <v>1</v>
      </c>
      <c r="Q378" s="38">
        <f>_xll.qlIndexFixing(Currency&amp;IborType&amp;"3M",_xll.qlInterestRateIndexFixingDate(Currency&amp;IborType&amp;"3M",M378),TRUE,AllTriggers)</f>
        <v>2.0901797928912558E-2</v>
      </c>
      <c r="R378" s="38">
        <f>_xll.qlOvernightIndexedSwapFairRate(O378,AllTriggers)</f>
        <v>2.0466818818158927E-2</v>
      </c>
      <c r="S378" s="345">
        <f t="shared" si="7"/>
        <v>4.3497911075363049E-4</v>
      </c>
    </row>
    <row r="379" spans="5:19" ht="11.25" customHeight="1" x14ac:dyDescent="0.2">
      <c r="E379" s="254"/>
      <c r="F379" s="254"/>
      <c r="G379" s="39"/>
      <c r="J379" s="39"/>
      <c r="K379" s="39"/>
      <c r="M379" s="346">
        <f>_xll.qlCalendarAdvance(Calendar,M378,"1M","f",,Trigger)</f>
        <v>53706</v>
      </c>
      <c r="N379" s="344">
        <f>_xll.qlCalendarAdvance(Calendar,M379,"3M","mf",,Trigger)</f>
        <v>53798</v>
      </c>
      <c r="O379" s="40" t="str">
        <f>_xll.qlMakeDatedOIS(,M379,N379,OvernightIndex,0,,,,EvaluationDate)</f>
        <v>obj_0076e#0000</v>
      </c>
      <c r="P379" s="40" t="b">
        <f>_xll.qlInstrumentSetPricingEngine(O379,OisEngine)</f>
        <v>1</v>
      </c>
      <c r="Q379" s="38">
        <f>_xll.qlIndexFixing(Currency&amp;IborType&amp;"3M",_xll.qlInterestRateIndexFixingDate(Currency&amp;IborType&amp;"3M",M379),TRUE,AllTriggers)</f>
        <v>2.0918409578285793E-2</v>
      </c>
      <c r="R379" s="38">
        <f>_xll.qlOvernightIndexedSwapFairRate(O379,AllTriggers)</f>
        <v>2.0485806674641133E-2</v>
      </c>
      <c r="S379" s="345">
        <f t="shared" si="7"/>
        <v>4.3260290364465978E-4</v>
      </c>
    </row>
    <row r="380" spans="5:19" ht="11.25" customHeight="1" x14ac:dyDescent="0.2">
      <c r="E380" s="254"/>
      <c r="F380" s="254"/>
      <c r="G380" s="39"/>
      <c r="J380" s="39"/>
      <c r="K380" s="39"/>
      <c r="M380" s="346">
        <f>_xll.qlCalendarAdvance(Calendar,M379,"1M","f",,Trigger)</f>
        <v>53737</v>
      </c>
      <c r="N380" s="344">
        <f>_xll.qlCalendarAdvance(Calendar,M380,"3M","mf",,Trigger)</f>
        <v>53826</v>
      </c>
      <c r="O380" s="40" t="str">
        <f>_xll.qlMakeDatedOIS(,M380,N380,OvernightIndex,0,,,,EvaluationDate)</f>
        <v>obj_00770#0000</v>
      </c>
      <c r="P380" s="40" t="b">
        <f>_xll.qlInstrumentSetPricingEngine(O380,OisEngine)</f>
        <v>1</v>
      </c>
      <c r="Q380" s="38">
        <f>_xll.qlIndexFixing(Currency&amp;IborType&amp;"3M",_xll.qlInterestRateIndexFixingDate(Currency&amp;IborType&amp;"3M",M380),TRUE,AllTriggers)</f>
        <v>2.0929464094401103E-2</v>
      </c>
      <c r="R380" s="38">
        <f>_xll.qlOvernightIndexedSwapFairRate(O380,AllTriggers)</f>
        <v>2.0499036112761233E-2</v>
      </c>
      <c r="S380" s="345">
        <f t="shared" si="7"/>
        <v>4.3042798163987067E-4</v>
      </c>
    </row>
    <row r="381" spans="5:19" ht="11.25" customHeight="1" x14ac:dyDescent="0.2">
      <c r="E381" s="254"/>
      <c r="F381" s="254"/>
      <c r="G381" s="39"/>
      <c r="J381" s="39"/>
      <c r="K381" s="39"/>
      <c r="M381" s="346">
        <f>_xll.qlCalendarAdvance(Calendar,M380,"1M","f",,Trigger)</f>
        <v>53765</v>
      </c>
      <c r="N381" s="344">
        <f>_xll.qlCalendarAdvance(Calendar,M381,"3M","mf",,Trigger)</f>
        <v>53857</v>
      </c>
      <c r="O381" s="40" t="str">
        <f>_xll.qlMakeDatedOIS(,M381,N381,OvernightIndex,0,,,,EvaluationDate)</f>
        <v>obj_00771#0000</v>
      </c>
      <c r="P381" s="40" t="b">
        <f>_xll.qlInstrumentSetPricingEngine(O381,OisEngine)</f>
        <v>1</v>
      </c>
      <c r="Q381" s="38">
        <f>_xll.qlIndexFixing(Currency&amp;IborType&amp;"3M",_xll.qlInterestRateIndexFixingDate(Currency&amp;IborType&amp;"3M",M381),TRUE,AllTriggers)</f>
        <v>2.0943669762876784E-2</v>
      </c>
      <c r="R381" s="38">
        <f>_xll.qlOvernightIndexedSwapFairRate(O381,AllTriggers)</f>
        <v>2.0515264236172059E-2</v>
      </c>
      <c r="S381" s="345">
        <f t="shared" si="7"/>
        <v>4.2840552670472473E-4</v>
      </c>
    </row>
    <row r="382" spans="5:19" ht="11.25" customHeight="1" x14ac:dyDescent="0.2">
      <c r="E382" s="254"/>
      <c r="F382" s="254"/>
      <c r="G382" s="39"/>
      <c r="J382" s="39"/>
      <c r="K382" s="39"/>
      <c r="M382" s="346">
        <f>_xll.qlCalendarAdvance(Calendar,M381,"1M","f",,Trigger)</f>
        <v>53798</v>
      </c>
      <c r="N382" s="344">
        <f>_xll.qlCalendarAdvance(Calendar,M382,"3M","mf",,Trigger)</f>
        <v>53889</v>
      </c>
      <c r="O382" s="40" t="str">
        <f>_xll.qlMakeDatedOIS(,M382,N382,OvernightIndex,0,,,,EvaluationDate)</f>
        <v>obj_00773#0000</v>
      </c>
      <c r="P382" s="40" t="b">
        <f>_xll.qlInstrumentSetPricingEngine(O382,OisEngine)</f>
        <v>1</v>
      </c>
      <c r="Q382" s="38">
        <f>_xll.qlIndexFixing(Currency&amp;IborType&amp;"3M",_xll.qlInterestRateIndexFixingDate(Currency&amp;IborType&amp;"3M",M382),TRUE,AllTriggers)</f>
        <v>2.0956178589100562E-2</v>
      </c>
      <c r="R382" s="38">
        <f>_xll.qlOvernightIndexedSwapFairRate(O382,AllTriggers)</f>
        <v>2.0530102823553772E-2</v>
      </c>
      <c r="S382" s="345">
        <f t="shared" si="7"/>
        <v>4.2607576554679061E-4</v>
      </c>
    </row>
    <row r="383" spans="5:19" ht="11.25" customHeight="1" x14ac:dyDescent="0.2">
      <c r="E383" s="254"/>
      <c r="F383" s="254"/>
      <c r="G383" s="39"/>
      <c r="J383" s="39"/>
      <c r="K383" s="39"/>
      <c r="M383" s="346">
        <f>_xll.qlCalendarAdvance(Calendar,M382,"1M","f",,Trigger)</f>
        <v>53828</v>
      </c>
      <c r="N383" s="344">
        <f>_xll.qlCalendarAdvance(Calendar,M383,"3M","mf",,Trigger)</f>
        <v>53920</v>
      </c>
      <c r="O383" s="40" t="str">
        <f>_xll.qlMakeDatedOIS(,M383,N383,OvernightIndex,0,,,,EvaluationDate)</f>
        <v>obj_00775#0000</v>
      </c>
      <c r="P383" s="40" t="b">
        <f>_xll.qlInstrumentSetPricingEngine(O383,OisEngine)</f>
        <v>1</v>
      </c>
      <c r="Q383" s="38">
        <f>_xll.qlIndexFixing(Currency&amp;IborType&amp;"3M",_xll.qlInterestRateIndexFixingDate(Currency&amp;IborType&amp;"3M",M383),TRUE,AllTriggers)</f>
        <v>2.0968572462454881E-2</v>
      </c>
      <c r="R383" s="38">
        <f>_xll.qlOvernightIndexedSwapFairRate(O383,AllTriggers)</f>
        <v>2.0544631108569394E-2</v>
      </c>
      <c r="S383" s="345">
        <f t="shared" si="7"/>
        <v>4.2394135388548748E-4</v>
      </c>
    </row>
    <row r="384" spans="5:19" ht="11.25" customHeight="1" x14ac:dyDescent="0.2">
      <c r="E384" s="254"/>
      <c r="F384" s="254"/>
      <c r="G384" s="39"/>
      <c r="J384" s="39"/>
      <c r="K384" s="39"/>
      <c r="M384" s="346">
        <f>_xll.qlCalendarAdvance(Calendar,M383,"1M","f",,Trigger)</f>
        <v>53860</v>
      </c>
      <c r="N384" s="344">
        <f>_xll.qlCalendarAdvance(Calendar,M384,"3M","mf",,Trigger)</f>
        <v>53952</v>
      </c>
      <c r="O384" s="40" t="str">
        <f>_xll.qlMakeDatedOIS(,M384,N384,OvernightIndex,0,,,,EvaluationDate)</f>
        <v>obj_00776#0000</v>
      </c>
      <c r="P384" s="40" t="b">
        <f>_xll.qlInstrumentSetPricingEngine(O384,OisEngine)</f>
        <v>1</v>
      </c>
      <c r="Q384" s="38">
        <f>_xll.qlIndexFixing(Currency&amp;IborType&amp;"3M",_xll.qlInterestRateIndexFixingDate(Currency&amp;IborType&amp;"3M",M384),TRUE,AllTriggers)</f>
        <v>2.0980402688784743E-2</v>
      </c>
      <c r="R384" s="38">
        <f>_xll.qlOvernightIndexedSwapFairRate(O384,AllTriggers)</f>
        <v>2.0558721819573477E-2</v>
      </c>
      <c r="S384" s="345">
        <f t="shared" si="7"/>
        <v>4.2168086921126613E-4</v>
      </c>
    </row>
    <row r="385" spans="5:19" ht="11.25" customHeight="1" x14ac:dyDescent="0.2">
      <c r="E385" s="254"/>
      <c r="F385" s="254"/>
      <c r="G385" s="39"/>
      <c r="J385" s="39"/>
      <c r="K385" s="39"/>
      <c r="M385" s="346">
        <f>_xll.qlCalendarAdvance(Calendar,M384,"1M","f",,Trigger)</f>
        <v>53890</v>
      </c>
      <c r="N385" s="344">
        <f>_xll.qlCalendarAdvance(Calendar,M385,"3M","mf",,Trigger)</f>
        <v>53982</v>
      </c>
      <c r="O385" s="40" t="str">
        <f>_xll.qlMakeDatedOIS(,M385,N385,OvernightIndex,0,,,,EvaluationDate)</f>
        <v>obj_00777#0000</v>
      </c>
      <c r="P385" s="40" t="b">
        <f>_xll.qlInstrumentSetPricingEngine(O385,OisEngine)</f>
        <v>1</v>
      </c>
      <c r="Q385" s="38">
        <f>_xll.qlIndexFixing(Currency&amp;IborType&amp;"3M",_xll.qlInterestRateIndexFixingDate(Currency&amp;IborType&amp;"3M",M385),TRUE,AllTriggers)</f>
        <v>2.0990992565767023E-2</v>
      </c>
      <c r="R385" s="38">
        <f>_xll.qlOvernightIndexedSwapFairRate(O385,AllTriggers)</f>
        <v>2.0571426597471892E-2</v>
      </c>
      <c r="S385" s="345">
        <f t="shared" si="7"/>
        <v>4.1956596829513179E-4</v>
      </c>
    </row>
    <row r="386" spans="5:19" ht="11.25" customHeight="1" x14ac:dyDescent="0.2">
      <c r="E386" s="254"/>
      <c r="F386" s="254"/>
      <c r="G386" s="39"/>
      <c r="J386" s="39"/>
      <c r="K386" s="39"/>
      <c r="M386" s="346">
        <f>_xll.qlCalendarAdvance(Calendar,M385,"1M","f",,Trigger)</f>
        <v>53923</v>
      </c>
      <c r="N386" s="344">
        <f>_xll.qlCalendarAdvance(Calendar,M386,"3M","mf",,Trigger)</f>
        <v>54015</v>
      </c>
      <c r="O386" s="40" t="str">
        <f>_xll.qlMakeDatedOIS(,M386,N386,OvernightIndex,0,,,,EvaluationDate)</f>
        <v>obj_00778#0000</v>
      </c>
      <c r="P386" s="40" t="b">
        <f>_xll.qlInstrumentSetPricingEngine(O386,OisEngine)</f>
        <v>1</v>
      </c>
      <c r="Q386" s="38">
        <f>_xll.qlIndexFixing(Currency&amp;IborType&amp;"3M",_xll.qlInterestRateIndexFixingDate(Currency&amp;IborType&amp;"3M",M386),TRUE,AllTriggers)</f>
        <v>2.1002081481447499E-2</v>
      </c>
      <c r="R386" s="38">
        <f>_xll.qlOvernightIndexedSwapFairRate(O386,AllTriggers)</f>
        <v>2.0584837092994645E-2</v>
      </c>
      <c r="S386" s="345">
        <f t="shared" si="7"/>
        <v>4.1724438845285386E-4</v>
      </c>
    </row>
    <row r="387" spans="5:19" ht="11.25" customHeight="1" x14ac:dyDescent="0.2">
      <c r="E387" s="254"/>
      <c r="F387" s="254"/>
      <c r="G387" s="39"/>
      <c r="J387" s="39"/>
      <c r="K387" s="39"/>
      <c r="M387" s="346">
        <f>_xll.qlCalendarAdvance(Calendar,M386,"1M","f",,Trigger)</f>
        <v>53954</v>
      </c>
      <c r="N387" s="344">
        <f>_xll.qlCalendarAdvance(Calendar,M387,"3M","mf",,Trigger)</f>
        <v>54045</v>
      </c>
      <c r="O387" s="40" t="str">
        <f>_xll.qlMakeDatedOIS(,M387,N387,OvernightIndex,0,,,,EvaluationDate)</f>
        <v>obj_00779#0000</v>
      </c>
      <c r="P387" s="40" t="b">
        <f>_xll.qlInstrumentSetPricingEngine(O387,OisEngine)</f>
        <v>1</v>
      </c>
      <c r="Q387" s="38">
        <f>_xll.qlIndexFixing(Currency&amp;IborType&amp;"3M",_xll.qlInterestRateIndexFixingDate(Currency&amp;IborType&amp;"3M",M387),TRUE,AllTriggers)</f>
        <v>2.1011200712442477E-2</v>
      </c>
      <c r="R387" s="38">
        <f>_xll.qlOvernightIndexedSwapFairRate(O387,AllTriggers)</f>
        <v>2.059612150349286E-2</v>
      </c>
      <c r="S387" s="345">
        <f t="shared" ref="S387:S450" si="8">Q387-R387</f>
        <v>4.1507920894961678E-4</v>
      </c>
    </row>
    <row r="388" spans="5:19" ht="11.25" customHeight="1" x14ac:dyDescent="0.2">
      <c r="E388" s="254"/>
      <c r="F388" s="254"/>
      <c r="G388" s="39"/>
      <c r="J388" s="39"/>
      <c r="K388" s="39"/>
      <c r="M388" s="346">
        <f>_xll.qlCalendarAdvance(Calendar,M387,"1M","f",,Trigger)</f>
        <v>53986</v>
      </c>
      <c r="N388" s="344">
        <f>_xll.qlCalendarAdvance(Calendar,M388,"3M","mf",,Trigger)</f>
        <v>54078</v>
      </c>
      <c r="O388" s="40" t="str">
        <f>_xll.qlMakeDatedOIS(,M388,N388,OvernightIndex,0,,,,EvaluationDate)</f>
        <v>obj_0077a#0000</v>
      </c>
      <c r="P388" s="40" t="b">
        <f>_xll.qlInstrumentSetPricingEngine(O388,OisEngine)</f>
        <v>1</v>
      </c>
      <c r="Q388" s="38">
        <f>_xll.qlIndexFixing(Currency&amp;IborType&amp;"3M",_xll.qlInterestRateIndexFixingDate(Currency&amp;IborType&amp;"3M",M388),TRUE,AllTriggers)</f>
        <v>2.1021622269727154E-2</v>
      </c>
      <c r="R388" s="38">
        <f>_xll.qlOvernightIndexedSwapFairRate(O388,AllTriggers)</f>
        <v>2.0608795988271943E-2</v>
      </c>
      <c r="S388" s="345">
        <f t="shared" si="8"/>
        <v>4.1282628145521139E-4</v>
      </c>
    </row>
    <row r="389" spans="5:19" ht="11.25" customHeight="1" x14ac:dyDescent="0.2">
      <c r="E389" s="254"/>
      <c r="F389" s="254"/>
      <c r="G389" s="39"/>
      <c r="J389" s="39"/>
      <c r="K389" s="39"/>
      <c r="M389" s="346">
        <f>_xll.qlCalendarAdvance(Calendar,M388,"1M","f",,Trigger)</f>
        <v>54017</v>
      </c>
      <c r="N389" s="344">
        <f>_xll.qlCalendarAdvance(Calendar,M389,"3M","mf",,Trigger)</f>
        <v>54109</v>
      </c>
      <c r="O389" s="40" t="str">
        <f>_xll.qlMakeDatedOIS(,M389,N389,OvernightIndex,0,,,,EvaluationDate)</f>
        <v>obj_0077c#0000</v>
      </c>
      <c r="P389" s="40" t="b">
        <f>_xll.qlInstrumentSetPricingEngine(O389,OisEngine)</f>
        <v>1</v>
      </c>
      <c r="Q389" s="38">
        <f>_xll.qlIndexFixing(Currency&amp;IborType&amp;"3M",_xll.qlInterestRateIndexFixingDate(Currency&amp;IborType&amp;"3M",M389),TRUE,AllTriggers)</f>
        <v>2.1030452717704338E-2</v>
      </c>
      <c r="R389" s="38">
        <f>_xll.qlOvernightIndexedSwapFairRate(O389,AllTriggers)</f>
        <v>2.0619793678189821E-2</v>
      </c>
      <c r="S389" s="345">
        <f t="shared" si="8"/>
        <v>4.1065903951451738E-4</v>
      </c>
    </row>
    <row r="390" spans="5:19" ht="11.25" customHeight="1" x14ac:dyDescent="0.2">
      <c r="E390" s="254"/>
      <c r="F390" s="254"/>
      <c r="G390" s="39"/>
      <c r="J390" s="39"/>
      <c r="K390" s="39"/>
      <c r="M390" s="346">
        <f>_xll.qlCalendarAdvance(Calendar,M389,"1M","f",,Trigger)</f>
        <v>54049</v>
      </c>
      <c r="N390" s="344">
        <f>_xll.qlCalendarAdvance(Calendar,M390,"3M","mf",,Trigger)</f>
        <v>54140</v>
      </c>
      <c r="O390" s="40" t="str">
        <f>_xll.qlMakeDatedOIS(,M390,N390,OvernightIndex,0,,,,EvaluationDate)</f>
        <v>obj_0077d#0000</v>
      </c>
      <c r="P390" s="40" t="b">
        <f>_xll.qlInstrumentSetPricingEngine(O390,OisEngine)</f>
        <v>1</v>
      </c>
      <c r="Q390" s="38">
        <f>_xll.qlIndexFixing(Currency&amp;IborType&amp;"3M",_xll.qlInterestRateIndexFixingDate(Currency&amp;IborType&amp;"3M",M390),TRUE,AllTriggers)</f>
        <v>2.1038285768878392E-2</v>
      </c>
      <c r="R390" s="38">
        <f>_xll.qlOvernightIndexedSwapFairRate(O390,AllTriggers)</f>
        <v>2.0629847978382208E-2</v>
      </c>
      <c r="S390" s="345">
        <f t="shared" si="8"/>
        <v>4.0843779049618348E-4</v>
      </c>
    </row>
    <row r="391" spans="5:19" ht="11.25" customHeight="1" x14ac:dyDescent="0.2">
      <c r="E391" s="254"/>
      <c r="F391" s="254"/>
      <c r="G391" s="39"/>
      <c r="J391" s="39"/>
      <c r="K391" s="39"/>
      <c r="M391" s="346">
        <f>_xll.qlCalendarAdvance(Calendar,M390,"1M","f",,Trigger)</f>
        <v>54080</v>
      </c>
      <c r="N391" s="344">
        <f>_xll.qlCalendarAdvance(Calendar,M391,"3M","mf",,Trigger)</f>
        <v>54171</v>
      </c>
      <c r="O391" s="40" t="str">
        <f>_xll.qlMakeDatedOIS(,M391,N391,OvernightIndex,0,,,,EvaluationDate)</f>
        <v>obj_0077f#0000</v>
      </c>
      <c r="P391" s="40" t="b">
        <f>_xll.qlInstrumentSetPricingEngine(O391,OisEngine)</f>
        <v>1</v>
      </c>
      <c r="Q391" s="38">
        <f>_xll.qlIndexFixing(Currency&amp;IborType&amp;"3M",_xll.qlInterestRateIndexFixingDate(Currency&amp;IborType&amp;"3M",M391),TRUE,AllTriggers)</f>
        <v>2.1046072052467262E-2</v>
      </c>
      <c r="R391" s="38">
        <f>_xll.qlOvernightIndexedSwapFairRate(O391,AllTriggers)</f>
        <v>2.0639792413595086E-2</v>
      </c>
      <c r="S391" s="345">
        <f t="shared" si="8"/>
        <v>4.0627963887217636E-4</v>
      </c>
    </row>
    <row r="392" spans="5:19" ht="11.25" customHeight="1" x14ac:dyDescent="0.2">
      <c r="E392" s="254"/>
      <c r="F392" s="254"/>
      <c r="G392" s="39"/>
      <c r="J392" s="39"/>
      <c r="K392" s="39"/>
      <c r="M392" s="346">
        <f>_xll.qlCalendarAdvance(Calendar,M391,"1M","f",,Trigger)</f>
        <v>54112</v>
      </c>
      <c r="N392" s="344">
        <f>_xll.qlCalendarAdvance(Calendar,M392,"3M","mf",,Trigger)</f>
        <v>54203</v>
      </c>
      <c r="O392" s="40" t="str">
        <f>_xll.qlMakeDatedOIS(,M392,N392,OvernightIndex,0,,,,EvaluationDate)</f>
        <v>obj_00780#0000</v>
      </c>
      <c r="P392" s="40" t="b">
        <f>_xll.qlInstrumentSetPricingEngine(O392,OisEngine)</f>
        <v>1</v>
      </c>
      <c r="Q392" s="38">
        <f>_xll.qlIndexFixing(Currency&amp;IborType&amp;"3M",_xll.qlInterestRateIndexFixingDate(Currency&amp;IborType&amp;"3M",M392),TRUE,AllTriggers)</f>
        <v>2.1053566534191707E-2</v>
      </c>
      <c r="R392" s="38">
        <f>_xll.qlOvernightIndexedSwapFairRate(O392,AllTriggers)</f>
        <v>2.0649509993194103E-2</v>
      </c>
      <c r="S392" s="345">
        <f t="shared" si="8"/>
        <v>4.0405654099760421E-4</v>
      </c>
    </row>
    <row r="393" spans="5:19" ht="11.25" customHeight="1" x14ac:dyDescent="0.2">
      <c r="E393" s="254"/>
      <c r="F393" s="254"/>
      <c r="G393" s="39"/>
      <c r="J393" s="39"/>
      <c r="K393" s="39"/>
      <c r="M393" s="346">
        <f>_xll.qlCalendarAdvance(Calendar,M392,"1M","f",,Trigger)</f>
        <v>54141</v>
      </c>
      <c r="N393" s="344">
        <f>_xll.qlCalendarAdvance(Calendar,M393,"3M","mf",,Trigger)</f>
        <v>54233</v>
      </c>
      <c r="O393" s="40" t="str">
        <f>_xll.qlMakeDatedOIS(,M393,N393,OvernightIndex,0,,,,EvaluationDate)</f>
        <v>obj_00782#0000</v>
      </c>
      <c r="P393" s="40" t="b">
        <f>_xll.qlInstrumentSetPricingEngine(O393,OisEngine)</f>
        <v>1</v>
      </c>
      <c r="Q393" s="38">
        <f>_xll.qlIndexFixing(Currency&amp;IborType&amp;"3M",_xll.qlInterestRateIndexFixingDate(Currency&amp;IborType&amp;"3M",M393),TRUE,AllTriggers)</f>
        <v>2.1060597690522286E-2</v>
      </c>
      <c r="R393" s="38">
        <f>_xll.qlOvernightIndexedSwapFairRate(O393,AllTriggers)</f>
        <v>2.0658563094940696E-2</v>
      </c>
      <c r="S393" s="345">
        <f t="shared" si="8"/>
        <v>4.0203459558159002E-4</v>
      </c>
    </row>
    <row r="394" spans="5:19" ht="11.25" customHeight="1" x14ac:dyDescent="0.2">
      <c r="E394" s="254"/>
      <c r="F394" s="254"/>
      <c r="G394" s="39"/>
      <c r="J394" s="39"/>
      <c r="K394" s="39"/>
      <c r="M394" s="346">
        <f>_xll.qlCalendarAdvance(Calendar,M393,"1M","f",,Trigger)</f>
        <v>54172</v>
      </c>
      <c r="N394" s="344">
        <f>_xll.qlCalendarAdvance(Calendar,M394,"3M","mf",,Trigger)</f>
        <v>54263</v>
      </c>
      <c r="O394" s="40" t="str">
        <f>_xll.qlMakeDatedOIS(,M394,N394,OvernightIndex,0,,,,EvaluationDate)</f>
        <v>obj_00783#0000</v>
      </c>
      <c r="P394" s="40" t="b">
        <f>_xll.qlInstrumentSetPricingEngine(O394,OisEngine)</f>
        <v>1</v>
      </c>
      <c r="Q394" s="38">
        <f>_xll.qlIndexFixing(Currency&amp;IborType&amp;"3M",_xll.qlInterestRateIndexFixingDate(Currency&amp;IborType&amp;"3M",M394),TRUE,AllTriggers)</f>
        <v>2.1066131966961596E-2</v>
      </c>
      <c r="R394" s="38">
        <f>_xll.qlOvernightIndexedSwapFairRate(O394,AllTriggers)</f>
        <v>2.0666230940035741E-2</v>
      </c>
      <c r="S394" s="345">
        <f t="shared" si="8"/>
        <v>3.9990102692585502E-4</v>
      </c>
    </row>
    <row r="395" spans="5:19" ht="11.25" customHeight="1" x14ac:dyDescent="0.2">
      <c r="E395" s="254"/>
      <c r="F395" s="254"/>
      <c r="G395" s="39"/>
      <c r="J395" s="39"/>
      <c r="K395" s="39"/>
      <c r="M395" s="346">
        <f>_xll.qlCalendarAdvance(Calendar,M394,"1M","f",,Trigger)</f>
        <v>54203</v>
      </c>
      <c r="N395" s="344">
        <f>_xll.qlCalendarAdvance(Calendar,M395,"3M","mf",,Trigger)</f>
        <v>54295</v>
      </c>
      <c r="O395" s="40" t="str">
        <f>_xll.qlMakeDatedOIS(,M395,N395,OvernightIndex,0,,,,EvaluationDate)</f>
        <v>obj_009be#0000</v>
      </c>
      <c r="P395" s="40" t="b">
        <f>_xll.qlInstrumentSetPricingEngine(O395,OisEngine)</f>
        <v>1</v>
      </c>
      <c r="Q395" s="38">
        <f>_xll.qlIndexFixing(Currency&amp;IborType&amp;"3M",_xll.qlInterestRateIndexFixingDate(Currency&amp;IborType&amp;"3M",M395),TRUE,AllTriggers)</f>
        <v>2.1072564044537792E-2</v>
      </c>
      <c r="R395" s="38">
        <f>_xll.qlOvernightIndexedSwapFairRate(O395,AllTriggers)</f>
        <v>2.0674814944257436E-2</v>
      </c>
      <c r="S395" s="345">
        <f t="shared" si="8"/>
        <v>3.9774910028035626E-4</v>
      </c>
    </row>
    <row r="396" spans="5:19" ht="11.25" customHeight="1" x14ac:dyDescent="0.2">
      <c r="E396" s="254"/>
      <c r="F396" s="254"/>
      <c r="G396" s="39"/>
      <c r="J396" s="39"/>
      <c r="K396" s="39"/>
      <c r="M396" s="346">
        <f>_xll.qlCalendarAdvance(Calendar,M395,"1M","f",,Trigger)</f>
        <v>54234</v>
      </c>
      <c r="N396" s="344">
        <f>_xll.qlCalendarAdvance(Calendar,M396,"3M","mf",,Trigger)</f>
        <v>54326</v>
      </c>
      <c r="O396" s="40" t="str">
        <f>_xll.qlMakeDatedOIS(,M396,N396,OvernightIndex,0,,,,EvaluationDate)</f>
        <v>obj_00784#0000</v>
      </c>
      <c r="P396" s="40" t="b">
        <f>_xll.qlInstrumentSetPricingEngine(O396,OisEngine)</f>
        <v>1</v>
      </c>
      <c r="Q396" s="38">
        <f>_xll.qlIndexFixing(Currency&amp;IborType&amp;"3M",_xll.qlInterestRateIndexFixingDate(Currency&amp;IborType&amp;"3M",M396),TRUE,AllTriggers)</f>
        <v>2.1077770679645197E-2</v>
      </c>
      <c r="R396" s="38">
        <f>_xll.qlOvernightIndexedSwapFairRate(O396,AllTriggers)</f>
        <v>2.0682157642278345E-2</v>
      </c>
      <c r="S396" s="345">
        <f t="shared" si="8"/>
        <v>3.9561303736685219E-4</v>
      </c>
    </row>
    <row r="397" spans="5:19" ht="11.25" customHeight="1" x14ac:dyDescent="0.2">
      <c r="E397" s="254"/>
      <c r="F397" s="254"/>
      <c r="G397" s="39"/>
      <c r="J397" s="39"/>
      <c r="K397" s="39"/>
      <c r="M397" s="346">
        <f>_xll.qlCalendarAdvance(Calendar,M396,"1M","f",,Trigger)</f>
        <v>54266</v>
      </c>
      <c r="N397" s="344">
        <f>_xll.qlCalendarAdvance(Calendar,M397,"3M","mf",,Trigger)</f>
        <v>54358</v>
      </c>
      <c r="O397" s="40" t="str">
        <f>_xll.qlMakeDatedOIS(,M397,N397,OvernightIndex,0,,,,EvaluationDate)</f>
        <v>obj_00786#0000</v>
      </c>
      <c r="P397" s="40" t="b">
        <f>_xll.qlInstrumentSetPricingEngine(O397,OisEngine)</f>
        <v>1</v>
      </c>
      <c r="Q397" s="38">
        <f>_xll.qlIndexFixing(Currency&amp;IborType&amp;"3M",_xll.qlInterestRateIndexFixingDate(Currency&amp;IborType&amp;"3M",M397),TRUE,AllTriggers)</f>
        <v>2.108260225406227E-2</v>
      </c>
      <c r="R397" s="38">
        <f>_xll.qlOvernightIndexedSwapFairRate(O397,AllTriggers)</f>
        <v>2.0689189509195793E-2</v>
      </c>
      <c r="S397" s="345">
        <f t="shared" si="8"/>
        <v>3.9341274486647676E-4</v>
      </c>
    </row>
    <row r="398" spans="5:19" ht="11.25" customHeight="1" x14ac:dyDescent="0.2">
      <c r="E398" s="254"/>
      <c r="F398" s="254"/>
      <c r="G398" s="39"/>
      <c r="J398" s="39"/>
      <c r="K398" s="39"/>
      <c r="M398" s="346">
        <f>_xll.qlCalendarAdvance(Calendar,M397,"1M","f",,Trigger)</f>
        <v>54297</v>
      </c>
      <c r="N398" s="344">
        <f>_xll.qlCalendarAdvance(Calendar,M398,"3M","mf",,Trigger)</f>
        <v>54389</v>
      </c>
      <c r="O398" s="40" t="str">
        <f>_xll.qlMakeDatedOIS(,M398,N398,OvernightIndex,0,,,,EvaluationDate)</f>
        <v>obj_00788#0000</v>
      </c>
      <c r="P398" s="40" t="b">
        <f>_xll.qlInstrumentSetPricingEngine(O398,OisEngine)</f>
        <v>1</v>
      </c>
      <c r="Q398" s="38">
        <f>_xll.qlIndexFixing(Currency&amp;IborType&amp;"3M",_xll.qlInterestRateIndexFixingDate(Currency&amp;IborType&amp;"3M",M398),TRUE,AllTriggers)</f>
        <v>2.1086756792492074E-2</v>
      </c>
      <c r="R398" s="38">
        <f>_xll.qlOvernightIndexedSwapFairRate(O398,AllTriggers)</f>
        <v>2.0695471050540263E-2</v>
      </c>
      <c r="S398" s="345">
        <f t="shared" si="8"/>
        <v>3.9128574195181065E-4</v>
      </c>
    </row>
    <row r="399" spans="5:19" ht="11.25" customHeight="1" x14ac:dyDescent="0.2">
      <c r="E399" s="254"/>
      <c r="F399" s="254"/>
      <c r="G399" s="39"/>
      <c r="J399" s="39"/>
      <c r="K399" s="39"/>
      <c r="M399" s="346">
        <f>_xll.qlCalendarAdvance(Calendar,M398,"1M","f",,Trigger)</f>
        <v>54329</v>
      </c>
      <c r="N399" s="344">
        <f>_xll.qlCalendarAdvance(Calendar,M399,"3M","mf",,Trigger)</f>
        <v>54420</v>
      </c>
      <c r="O399" s="40" t="str">
        <f>_xll.qlMakeDatedOIS(,M399,N399,OvernightIndex,0,,,,EvaluationDate)</f>
        <v>obj_00789#0000</v>
      </c>
      <c r="P399" s="40" t="b">
        <f>_xll.qlInstrumentSetPricingEngine(O399,OisEngine)</f>
        <v>1</v>
      </c>
      <c r="Q399" s="38">
        <f>_xll.qlIndexFixing(Currency&amp;IborType&amp;"3M",_xll.qlInterestRateIndexFixingDate(Currency&amp;IborType&amp;"3M",M399),TRUE,AllTriggers)</f>
        <v>2.1089835485192016E-2</v>
      </c>
      <c r="R399" s="38">
        <f>_xll.qlOvernightIndexedSwapFairRate(O399,AllTriggers)</f>
        <v>2.0700729046111289E-2</v>
      </c>
      <c r="S399" s="345">
        <f t="shared" si="8"/>
        <v>3.8910643908072681E-4</v>
      </c>
    </row>
    <row r="400" spans="5:19" ht="11.25" customHeight="1" x14ac:dyDescent="0.2">
      <c r="E400" s="254"/>
      <c r="F400" s="254"/>
      <c r="G400" s="39"/>
      <c r="J400" s="39"/>
      <c r="K400" s="39"/>
      <c r="M400" s="346">
        <f>_xll.qlCalendarAdvance(Calendar,M399,"1M","f",,Trigger)</f>
        <v>54359</v>
      </c>
      <c r="N400" s="344">
        <f>_xll.qlCalendarAdvance(Calendar,M400,"3M","mf",,Trigger)</f>
        <v>54451</v>
      </c>
      <c r="O400" s="40" t="str">
        <f>_xll.qlMakeDatedOIS(,M400,N400,OvernightIndex,0,,,,EvaluationDate)</f>
        <v>obj_0078a#0000</v>
      </c>
      <c r="P400" s="40" t="b">
        <f>_xll.qlInstrumentSetPricingEngine(O400,OisEngine)</f>
        <v>1</v>
      </c>
      <c r="Q400" s="38">
        <f>_xll.qlIndexFixing(Currency&amp;IborType&amp;"3M",_xll.qlInterestRateIndexFixingDate(Currency&amp;IborType&amp;"3M",M400),TRUE,AllTriggers)</f>
        <v>2.1093512765044772E-2</v>
      </c>
      <c r="R400" s="38">
        <f>_xll.qlOvernightIndexedSwapFairRate(O400,AllTriggers)</f>
        <v>2.0706467649855745E-2</v>
      </c>
      <c r="S400" s="345">
        <f t="shared" si="8"/>
        <v>3.8704511518902751E-4</v>
      </c>
    </row>
    <row r="401" spans="5:19" ht="11.25" customHeight="1" x14ac:dyDescent="0.2">
      <c r="E401" s="254"/>
      <c r="F401" s="254"/>
      <c r="G401" s="39"/>
      <c r="J401" s="39"/>
      <c r="K401" s="39"/>
      <c r="M401" s="346">
        <f>_xll.qlCalendarAdvance(Calendar,M400,"1M","f",,Trigger)</f>
        <v>54392</v>
      </c>
      <c r="N401" s="344">
        <f>_xll.qlCalendarAdvance(Calendar,M401,"3M","mf",,Trigger)</f>
        <v>54480</v>
      </c>
      <c r="O401" s="40" t="str">
        <f>_xll.qlMakeDatedOIS(,M401,N401,OvernightIndex,0,,,,EvaluationDate)</f>
        <v>obj_0078c#0000</v>
      </c>
      <c r="P401" s="40" t="b">
        <f>_xll.qlInstrumentSetPricingEngine(O401,OisEngine)</f>
        <v>1</v>
      </c>
      <c r="Q401" s="38">
        <f>_xll.qlIndexFixing(Currency&amp;IborType&amp;"3M",_xll.qlInterestRateIndexFixingDate(Currency&amp;IborType&amp;"3M",M401),TRUE,AllTriggers)</f>
        <v>2.1093662499922707E-2</v>
      </c>
      <c r="R401" s="38">
        <f>_xll.qlOvernightIndexedSwapFairRate(O401,AllTriggers)</f>
        <v>2.0708820303271664E-2</v>
      </c>
      <c r="S401" s="345">
        <f t="shared" si="8"/>
        <v>3.848421966510425E-4</v>
      </c>
    </row>
    <row r="402" spans="5:19" ht="11.25" customHeight="1" x14ac:dyDescent="0.2">
      <c r="E402" s="254"/>
      <c r="F402" s="254"/>
      <c r="G402" s="39"/>
      <c r="J402" s="39"/>
      <c r="K402" s="39"/>
      <c r="M402" s="346">
        <f>_xll.qlCalendarAdvance(Calendar,M401,"1M","f",,Trigger)</f>
        <v>54422</v>
      </c>
      <c r="N402" s="344">
        <f>_xll.qlCalendarAdvance(Calendar,M402,"3M","mf",,Trigger)</f>
        <v>54512</v>
      </c>
      <c r="O402" s="40" t="str">
        <f>_xll.qlMakeDatedOIS(,M402,N402,OvernightIndex,0,,,,EvaluationDate)</f>
        <v>obj_0078d#0000</v>
      </c>
      <c r="P402" s="40" t="b">
        <f>_xll.qlInstrumentSetPricingEngine(O402,OisEngine)</f>
        <v>1</v>
      </c>
      <c r="Q402" s="38">
        <f>_xll.qlIndexFixing(Currency&amp;IborType&amp;"3M",_xll.qlInterestRateIndexFixingDate(Currency&amp;IborType&amp;"3M",M402),TRUE,AllTriggers)</f>
        <v>2.1096971874085213E-2</v>
      </c>
      <c r="R402" s="38">
        <f>_xll.qlOvernightIndexedSwapFairRate(O402,AllTriggers)</f>
        <v>2.0714193955120308E-2</v>
      </c>
      <c r="S402" s="345">
        <f t="shared" si="8"/>
        <v>3.8277791896490498E-4</v>
      </c>
    </row>
    <row r="403" spans="5:19" ht="11.25" customHeight="1" x14ac:dyDescent="0.2">
      <c r="E403" s="254"/>
      <c r="F403" s="254"/>
      <c r="G403" s="39"/>
      <c r="J403" s="39"/>
      <c r="K403" s="39"/>
      <c r="M403" s="346">
        <f>_xll.qlCalendarAdvance(Calendar,M402,"1M","f",,Trigger)</f>
        <v>54455</v>
      </c>
      <c r="N403" s="344">
        <f>_xll.qlCalendarAdvance(Calendar,M403,"3M","mf",,Trigger)</f>
        <v>54546</v>
      </c>
      <c r="O403" s="40" t="str">
        <f>_xll.qlMakeDatedOIS(,M403,N403,OvernightIndex,0,,,,EvaluationDate)</f>
        <v>obj_0078f#0000</v>
      </c>
      <c r="P403" s="40" t="b">
        <f>_xll.qlInstrumentSetPricingEngine(O403,OisEngine)</f>
        <v>1</v>
      </c>
      <c r="Q403" s="38">
        <f>_xll.qlIndexFixing(Currency&amp;IborType&amp;"3M",_xll.qlInterestRateIndexFixingDate(Currency&amp;IborType&amp;"3M",M403),TRUE,AllTriggers)</f>
        <v>2.1099254566403713E-2</v>
      </c>
      <c r="R403" s="38">
        <f>_xll.qlOvernightIndexedSwapFairRate(O403,AllTriggers)</f>
        <v>2.0718728549068411E-2</v>
      </c>
      <c r="S403" s="345">
        <f t="shared" si="8"/>
        <v>3.8052601733530242E-4</v>
      </c>
    </row>
    <row r="404" spans="5:19" ht="11.25" customHeight="1" x14ac:dyDescent="0.2">
      <c r="E404" s="254"/>
      <c r="F404" s="254"/>
      <c r="G404" s="39"/>
      <c r="J404" s="39"/>
      <c r="K404" s="39"/>
      <c r="M404" s="346">
        <f>_xll.qlCalendarAdvance(Calendar,M403,"1M","f",,Trigger)</f>
        <v>54483</v>
      </c>
      <c r="N404" s="344">
        <f>_xll.qlCalendarAdvance(Calendar,M404,"3M","mf",,Trigger)</f>
        <v>54575</v>
      </c>
      <c r="O404" s="40" t="str">
        <f>_xll.qlMakeDatedOIS(,M404,N404,OvernightIndex,0,,,,EvaluationDate)</f>
        <v>obj_00790#0000</v>
      </c>
      <c r="P404" s="40" t="b">
        <f>_xll.qlInstrumentSetPricingEngine(O404,OisEngine)</f>
        <v>1</v>
      </c>
      <c r="Q404" s="38">
        <f>_xll.qlIndexFixing(Currency&amp;IborType&amp;"3M",_xll.qlInterestRateIndexFixingDate(Currency&amp;IborType&amp;"3M",M404),TRUE,AllTriggers)</f>
        <v>2.1100812259872488E-2</v>
      </c>
      <c r="R404" s="38">
        <f>_xll.qlOvernightIndexedSwapFairRate(O404,AllTriggers)</f>
        <v>2.0722194858043684E-2</v>
      </c>
      <c r="S404" s="345">
        <f t="shared" si="8"/>
        <v>3.786174018288041E-4</v>
      </c>
    </row>
    <row r="405" spans="5:19" ht="11.25" customHeight="1" x14ac:dyDescent="0.2">
      <c r="E405" s="254"/>
      <c r="F405" s="254"/>
      <c r="G405" s="39"/>
      <c r="J405" s="39"/>
      <c r="K405" s="39"/>
      <c r="M405" s="346">
        <f>_xll.qlCalendarAdvance(Calendar,M404,"1M","f",,Trigger)</f>
        <v>54514</v>
      </c>
      <c r="N405" s="344">
        <f>_xll.qlCalendarAdvance(Calendar,M405,"3M","mf",,Trigger)</f>
        <v>54605</v>
      </c>
      <c r="O405" s="40" t="str">
        <f>_xll.qlMakeDatedOIS(,M405,N405,OvernightIndex,0,,,,EvaluationDate)</f>
        <v>obj_00791#0000</v>
      </c>
      <c r="P405" s="40" t="b">
        <f>_xll.qlInstrumentSetPricingEngine(O405,OisEngine)</f>
        <v>1</v>
      </c>
      <c r="Q405" s="38">
        <f>_xll.qlIndexFixing(Currency&amp;IborType&amp;"3M",_xll.qlInterestRateIndexFixingDate(Currency&amp;IborType&amp;"3M",M405),TRUE,AllTriggers)</f>
        <v>2.1100725220595546E-2</v>
      </c>
      <c r="R405" s="38">
        <f>_xll.qlOvernightIndexedSwapFairRate(O405,AllTriggers)</f>
        <v>2.0724191672026382E-2</v>
      </c>
      <c r="S405" s="345">
        <f t="shared" si="8"/>
        <v>3.7653354856916413E-4</v>
      </c>
    </row>
    <row r="406" spans="5:19" ht="11.25" customHeight="1" x14ac:dyDescent="0.2">
      <c r="E406" s="254"/>
      <c r="F406" s="254"/>
      <c r="G406" s="39"/>
      <c r="J406" s="39"/>
      <c r="K406" s="39"/>
      <c r="M406" s="346">
        <f>_xll.qlCalendarAdvance(Calendar,M405,"1M","f",,Trigger)</f>
        <v>54546</v>
      </c>
      <c r="N406" s="344">
        <f>_xll.qlCalendarAdvance(Calendar,M406,"3M","mf",,Trigger)</f>
        <v>54638</v>
      </c>
      <c r="O406" s="40" t="str">
        <f>_xll.qlMakeDatedOIS(,M406,N406,OvernightIndex,0,,,,EvaluationDate)</f>
        <v>obj_00793#0000</v>
      </c>
      <c r="P406" s="40" t="b">
        <f>_xll.qlInstrumentSetPricingEngine(O406,OisEngine)</f>
        <v>1</v>
      </c>
      <c r="Q406" s="38">
        <f>_xll.qlIndexFixing(Currency&amp;IborType&amp;"3M",_xll.qlInterestRateIndexFixingDate(Currency&amp;IborType&amp;"3M",M406),TRUE,AllTriggers)</f>
        <v>2.1101347567344751E-2</v>
      </c>
      <c r="R406" s="38">
        <f>_xll.qlOvernightIndexedSwapFairRate(O406,AllTriggers)</f>
        <v>2.0726984625652312E-2</v>
      </c>
      <c r="S406" s="345">
        <f t="shared" si="8"/>
        <v>3.7436294169243892E-4</v>
      </c>
    </row>
    <row r="407" spans="5:19" ht="11.25" customHeight="1" x14ac:dyDescent="0.2">
      <c r="E407" s="254"/>
      <c r="F407" s="254"/>
      <c r="G407" s="39"/>
      <c r="J407" s="39"/>
      <c r="K407" s="39"/>
      <c r="M407" s="346">
        <f>_xll.qlCalendarAdvance(Calendar,M406,"1M","f",,Trigger)</f>
        <v>54577</v>
      </c>
      <c r="N407" s="344">
        <f>_xll.qlCalendarAdvance(Calendar,M407,"3M","mf",,Trigger)</f>
        <v>54669</v>
      </c>
      <c r="O407" s="40" t="str">
        <f>_xll.qlMakeDatedOIS(,M407,N407,OvernightIndex,0,,,,EvaluationDate)</f>
        <v>obj_009bd#0000</v>
      </c>
      <c r="P407" s="40" t="b">
        <f>_xll.qlInstrumentSetPricingEngine(O407,OisEngine)</f>
        <v>1</v>
      </c>
      <c r="Q407" s="38">
        <f>_xll.qlIndexFixing(Currency&amp;IborType&amp;"3M",_xll.qlInterestRateIndexFixingDate(Currency&amp;IborType&amp;"3M",M407),TRUE,AllTriggers)</f>
        <v>2.1100826062425502E-2</v>
      </c>
      <c r="R407" s="38">
        <f>_xll.qlOvernightIndexedSwapFairRate(O407,AllTriggers)</f>
        <v>2.0728549814353566E-2</v>
      </c>
      <c r="S407" s="345">
        <f t="shared" si="8"/>
        <v>3.7227624807193577E-4</v>
      </c>
    </row>
    <row r="408" spans="5:19" ht="11.25" customHeight="1" x14ac:dyDescent="0.2">
      <c r="E408" s="254"/>
      <c r="F408" s="254"/>
      <c r="G408" s="39"/>
      <c r="J408" s="39"/>
      <c r="K408" s="39"/>
      <c r="M408" s="346">
        <f>_xll.qlCalendarAdvance(Calendar,M407,"1M","f",,Trigger)</f>
        <v>54609</v>
      </c>
      <c r="N408" s="344">
        <f>_xll.qlCalendarAdvance(Calendar,M408,"3M","mf",,Trigger)</f>
        <v>54701</v>
      </c>
      <c r="O408" s="40" t="str">
        <f>_xll.qlMakeDatedOIS(,M408,N408,OvernightIndex,0,,,,EvaluationDate)</f>
        <v>obj_00795#0000</v>
      </c>
      <c r="P408" s="40" t="b">
        <f>_xll.qlInstrumentSetPricingEngine(O408,OisEngine)</f>
        <v>1</v>
      </c>
      <c r="Q408" s="38">
        <f>_xll.qlIndexFixing(Currency&amp;IborType&amp;"3M",_xll.qlInterestRateIndexFixingDate(Currency&amp;IborType&amp;"3M",M408),TRUE,AllTriggers)</f>
        <v>2.1099744708585985E-2</v>
      </c>
      <c r="R408" s="38">
        <f>_xll.qlOvernightIndexedSwapFairRate(O408,AllTriggers)</f>
        <v>2.0729617781331897E-2</v>
      </c>
      <c r="S408" s="345">
        <f t="shared" si="8"/>
        <v>3.7012692725408788E-4</v>
      </c>
    </row>
    <row r="409" spans="5:19" ht="11.25" customHeight="1" x14ac:dyDescent="0.2">
      <c r="E409" s="254"/>
      <c r="F409" s="254"/>
      <c r="G409" s="39"/>
      <c r="J409" s="39"/>
      <c r="K409" s="39"/>
      <c r="M409" s="346">
        <f>_xll.qlCalendarAdvance(Calendar,M408,"1M","f",,Trigger)</f>
        <v>54640</v>
      </c>
      <c r="N409" s="344">
        <f>_xll.qlCalendarAdvance(Calendar,M409,"3M","mf",,Trigger)</f>
        <v>54732</v>
      </c>
      <c r="O409" s="40" t="str">
        <f>_xll.qlMakeDatedOIS(,M409,N409,OvernightIndex,0,,,,EvaluationDate)</f>
        <v>obj_00796#0000</v>
      </c>
      <c r="P409" s="40" t="b">
        <f>_xll.qlInstrumentSetPricingEngine(O409,OisEngine)</f>
        <v>1</v>
      </c>
      <c r="Q409" s="38">
        <f>_xll.qlIndexFixing(Currency&amp;IborType&amp;"3M",_xll.qlInterestRateIndexFixingDate(Currency&amp;IborType&amp;"3M",M409),TRUE,AllTriggers)</f>
        <v>2.1098171090864641E-2</v>
      </c>
      <c r="R409" s="38">
        <f>_xll.qlOvernightIndexedSwapFairRate(O409,AllTriggers)</f>
        <v>2.073012177822655E-2</v>
      </c>
      <c r="S409" s="345">
        <f t="shared" si="8"/>
        <v>3.6804931263809126E-4</v>
      </c>
    </row>
    <row r="410" spans="5:19" ht="11.25" customHeight="1" x14ac:dyDescent="0.2">
      <c r="E410" s="254"/>
      <c r="F410" s="254"/>
      <c r="G410" s="39"/>
      <c r="J410" s="39"/>
      <c r="K410" s="39"/>
      <c r="M410" s="346">
        <f>_xll.qlCalendarAdvance(Calendar,M409,"1M","f",,Trigger)</f>
        <v>54672</v>
      </c>
      <c r="N410" s="344">
        <f>_xll.qlCalendarAdvance(Calendar,M410,"3M","mf",,Trigger)</f>
        <v>54763</v>
      </c>
      <c r="O410" s="40" t="str">
        <f>_xll.qlMakeDatedOIS(,M410,N410,OvernightIndex,0,,,,EvaluationDate)</f>
        <v>obj_00798#0000</v>
      </c>
      <c r="P410" s="40" t="b">
        <f>_xll.qlInstrumentSetPricingEngine(O410,OisEngine)</f>
        <v>1</v>
      </c>
      <c r="Q410" s="38">
        <f>_xll.qlIndexFixing(Currency&amp;IborType&amp;"3M",_xll.qlInterestRateIndexFixingDate(Currency&amp;IborType&amp;"3M",M410),TRUE,AllTriggers)</f>
        <v>2.109542890633893E-2</v>
      </c>
      <c r="R410" s="38">
        <f>_xll.qlOvernightIndexedSwapFairRate(O410,AllTriggers)</f>
        <v>2.0729507377361629E-2</v>
      </c>
      <c r="S410" s="345">
        <f t="shared" si="8"/>
        <v>3.6592152897730115E-4</v>
      </c>
    </row>
    <row r="411" spans="5:19" ht="11.25" customHeight="1" x14ac:dyDescent="0.2">
      <c r="E411" s="254"/>
      <c r="F411" s="254"/>
      <c r="G411" s="39"/>
      <c r="J411" s="39"/>
      <c r="K411" s="39"/>
      <c r="M411" s="346">
        <f>_xll.qlCalendarAdvance(Calendar,M410,"1M","f",,Trigger)</f>
        <v>54702</v>
      </c>
      <c r="N411" s="344">
        <f>_xll.qlCalendarAdvance(Calendar,M411,"3M","mf",,Trigger)</f>
        <v>54794</v>
      </c>
      <c r="O411" s="40" t="str">
        <f>_xll.qlMakeDatedOIS(,M411,N411,OvernightIndex,0,,,,EvaluationDate)</f>
        <v>obj_00799#0000</v>
      </c>
      <c r="P411" s="40" t="b">
        <f>_xll.qlInstrumentSetPricingEngine(O411,OisEngine)</f>
        <v>1</v>
      </c>
      <c r="Q411" s="38">
        <f>_xll.qlIndexFixing(Currency&amp;IborType&amp;"3M",_xll.qlInterestRateIndexFixingDate(Currency&amp;IborType&amp;"3M",M411),TRUE,AllTriggers)</f>
        <v>2.1093470739857966E-2</v>
      </c>
      <c r="R411" s="38">
        <f>_xll.qlOvernightIndexedSwapFairRate(O411,AllTriggers)</f>
        <v>2.0729563249541508E-2</v>
      </c>
      <c r="S411" s="345">
        <f t="shared" si="8"/>
        <v>3.6390749031645769E-4</v>
      </c>
    </row>
    <row r="412" spans="5:19" ht="11.25" customHeight="1" x14ac:dyDescent="0.2">
      <c r="E412" s="254"/>
      <c r="F412" s="254"/>
      <c r="G412" s="39"/>
      <c r="J412" s="39"/>
      <c r="K412" s="39"/>
      <c r="M412" s="346">
        <f>_xll.qlCalendarAdvance(Calendar,M411,"1M","f",,Trigger)</f>
        <v>54735</v>
      </c>
      <c r="N412" s="344">
        <f>_xll.qlCalendarAdvance(Calendar,M412,"3M","mf",,Trigger)</f>
        <v>54827</v>
      </c>
      <c r="O412" s="40" t="str">
        <f>_xll.qlMakeDatedOIS(,M412,N412,OvernightIndex,0,,,,EvaluationDate)</f>
        <v>obj_0079a#0000</v>
      </c>
      <c r="P412" s="40" t="b">
        <f>_xll.qlInstrumentSetPricingEngine(O412,OisEngine)</f>
        <v>1</v>
      </c>
      <c r="Q412" s="38">
        <f>_xll.qlIndexFixing(Currency&amp;IborType&amp;"3M",_xll.qlInterestRateIndexFixingDate(Currency&amp;IborType&amp;"3M",M412),TRUE,AllTriggers)</f>
        <v>2.109012450630424E-2</v>
      </c>
      <c r="R412" s="38">
        <f>_xll.qlOvernightIndexedSwapFairRate(O412,AllTriggers)</f>
        <v>2.0728414243122804E-2</v>
      </c>
      <c r="S412" s="345">
        <f t="shared" si="8"/>
        <v>3.6171026318143618E-4</v>
      </c>
    </row>
    <row r="413" spans="5:19" ht="11.25" customHeight="1" x14ac:dyDescent="0.2">
      <c r="E413" s="254"/>
      <c r="F413" s="254"/>
      <c r="G413" s="39"/>
      <c r="J413" s="39"/>
      <c r="K413" s="39"/>
      <c r="M413" s="346">
        <f>_xll.qlCalendarAdvance(Calendar,M412,"1M","f",,Trigger)</f>
        <v>54765</v>
      </c>
      <c r="N413" s="344">
        <f>_xll.qlCalendarAdvance(Calendar,M413,"3M","mf",,Trigger)</f>
        <v>54855</v>
      </c>
      <c r="O413" s="40" t="str">
        <f>_xll.qlMakeDatedOIS(,M413,N413,OvernightIndex,0,,,,EvaluationDate)</f>
        <v>obj_0079b#0000</v>
      </c>
      <c r="P413" s="40" t="b">
        <f>_xll.qlInstrumentSetPricingEngine(O413,OisEngine)</f>
        <v>1</v>
      </c>
      <c r="Q413" s="38">
        <f>_xll.qlIndexFixing(Currency&amp;IborType&amp;"3M",_xll.qlInterestRateIndexFixingDate(Currency&amp;IborType&amp;"3M",M413),TRUE,AllTriggers)</f>
        <v>2.108547486906609E-2</v>
      </c>
      <c r="R413" s="38">
        <f>_xll.qlOvernightIndexedSwapFairRate(O413,AllTriggers)</f>
        <v>2.0725733065117602E-2</v>
      </c>
      <c r="S413" s="345">
        <f t="shared" si="8"/>
        <v>3.5974180394848787E-4</v>
      </c>
    </row>
    <row r="414" spans="5:19" ht="11.25" customHeight="1" x14ac:dyDescent="0.2">
      <c r="E414" s="254"/>
      <c r="F414" s="254"/>
      <c r="G414" s="39"/>
      <c r="J414" s="39"/>
      <c r="K414" s="39"/>
      <c r="M414" s="346">
        <f>_xll.qlCalendarAdvance(Calendar,M413,"1M","f",,Trigger)</f>
        <v>54798</v>
      </c>
      <c r="N414" s="344">
        <f>_xll.qlCalendarAdvance(Calendar,M414,"3M","mf",,Trigger)</f>
        <v>54890</v>
      </c>
      <c r="O414" s="40" t="str">
        <f>_xll.qlMakeDatedOIS(,M414,N414,OvernightIndex,0,,,,EvaluationDate)</f>
        <v>obj_0079d#0000</v>
      </c>
      <c r="P414" s="40" t="b">
        <f>_xll.qlInstrumentSetPricingEngine(O414,OisEngine)</f>
        <v>1</v>
      </c>
      <c r="Q414" s="38">
        <f>_xll.qlIndexFixing(Currency&amp;IborType&amp;"3M",_xll.qlInterestRateIndexFixingDate(Currency&amp;IborType&amp;"3M",M414),TRUE,AllTriggers)</f>
        <v>2.1082107178468708E-2</v>
      </c>
      <c r="R414" s="38">
        <f>_xll.qlOvernightIndexedSwapFairRate(O414,AllTriggers)</f>
        <v>2.0724577551215147E-2</v>
      </c>
      <c r="S414" s="345">
        <f t="shared" si="8"/>
        <v>3.5752962725356038E-4</v>
      </c>
    </row>
    <row r="415" spans="5:19" ht="11.25" customHeight="1" x14ac:dyDescent="0.2">
      <c r="E415" s="254"/>
      <c r="F415" s="254"/>
      <c r="G415" s="39"/>
      <c r="J415" s="39"/>
      <c r="K415" s="39"/>
      <c r="M415" s="346">
        <f>_xll.qlCalendarAdvance(Calendar,M414,"1M","f",,Trigger)</f>
        <v>54829</v>
      </c>
      <c r="N415" s="344">
        <f>_xll.qlCalendarAdvance(Calendar,M415,"3M","mf",,Trigger)</f>
        <v>54918</v>
      </c>
      <c r="O415" s="40" t="str">
        <f>_xll.qlMakeDatedOIS(,M415,N415,OvernightIndex,0,,,,EvaluationDate)</f>
        <v>obj_00a0f#0000</v>
      </c>
      <c r="P415" s="40" t="b">
        <f>_xll.qlInstrumentSetPricingEngine(O415,OisEngine)</f>
        <v>1</v>
      </c>
      <c r="Q415" s="38">
        <f>_xll.qlIndexFixing(Currency&amp;IborType&amp;"3M",_xll.qlInterestRateIndexFixingDate(Currency&amp;IborType&amp;"3M",M415),TRUE,AllTriggers)</f>
        <v>2.1075782531955949E-2</v>
      </c>
      <c r="R415" s="38">
        <f>_xll.qlOvernightIndexedSwapFairRate(O415,AllTriggers)</f>
        <v>2.07202660186704E-2</v>
      </c>
      <c r="S415" s="345">
        <f t="shared" si="8"/>
        <v>3.5551651328554965E-4</v>
      </c>
    </row>
    <row r="416" spans="5:19" ht="11.25" customHeight="1" x14ac:dyDescent="0.2">
      <c r="E416" s="254"/>
      <c r="F416" s="254"/>
      <c r="G416" s="39"/>
      <c r="J416" s="39"/>
      <c r="K416" s="39"/>
      <c r="M416" s="346">
        <f>_xll.qlCalendarAdvance(Calendar,M415,"1M","f",,Trigger)</f>
        <v>54857</v>
      </c>
      <c r="N416" s="344">
        <f>_xll.qlCalendarAdvance(Calendar,M416,"3M","mf",,Trigger)</f>
        <v>54949</v>
      </c>
      <c r="O416" s="40" t="str">
        <f>_xll.qlMakeDatedOIS(,M416,N416,OvernightIndex,0,,,,EvaluationDate)</f>
        <v>obj_0079e#0000</v>
      </c>
      <c r="P416" s="40" t="b">
        <f>_xll.qlInstrumentSetPricingEngine(O416,OisEngine)</f>
        <v>1</v>
      </c>
      <c r="Q416" s="38">
        <f>_xll.qlIndexFixing(Currency&amp;IborType&amp;"3M",_xll.qlInterestRateIndexFixingDate(Currency&amp;IborType&amp;"3M",M416),TRUE,AllTriggers)</f>
        <v>2.1072660074381001E-2</v>
      </c>
      <c r="R416" s="38">
        <f>_xll.qlOvernightIndexedSwapFairRate(O416,AllTriggers)</f>
        <v>2.0719028894982408E-2</v>
      </c>
      <c r="S416" s="345">
        <f t="shared" si="8"/>
        <v>3.5363117939859329E-4</v>
      </c>
    </row>
    <row r="417" spans="5:19" ht="11.25" customHeight="1" x14ac:dyDescent="0.2">
      <c r="E417" s="254"/>
      <c r="F417" s="254"/>
      <c r="G417" s="39"/>
      <c r="J417" s="39"/>
      <c r="K417" s="39"/>
      <c r="M417" s="346">
        <f>_xll.qlCalendarAdvance(Calendar,M416,"1M","f",,Trigger)</f>
        <v>54890</v>
      </c>
      <c r="N417" s="344">
        <f>_xll.qlCalendarAdvance(Calendar,M417,"3M","mf",,Trigger)</f>
        <v>54981</v>
      </c>
      <c r="O417" s="40" t="str">
        <f>_xll.qlMakeDatedOIS(,M417,N417,OvernightIndex,0,,,,EvaluationDate)</f>
        <v>obj_0079f#0000</v>
      </c>
      <c r="P417" s="40" t="b">
        <f>_xll.qlInstrumentSetPricingEngine(O417,OisEngine)</f>
        <v>1</v>
      </c>
      <c r="Q417" s="38">
        <f>_xll.qlIndexFixing(Currency&amp;IborType&amp;"3M",_xll.qlInterestRateIndexFixingDate(Currency&amp;IborType&amp;"3M",M417),TRUE,AllTriggers)</f>
        <v>2.1066044001603522E-2</v>
      </c>
      <c r="R417" s="38">
        <f>_xll.qlOvernightIndexedSwapFairRate(O417,AllTriggers)</f>
        <v>2.0714573727592535E-2</v>
      </c>
      <c r="S417" s="345">
        <f t="shared" si="8"/>
        <v>3.5147027401098707E-4</v>
      </c>
    </row>
    <row r="418" spans="5:19" ht="11.25" customHeight="1" x14ac:dyDescent="0.2">
      <c r="E418" s="254"/>
      <c r="F418" s="254"/>
      <c r="G418" s="39"/>
      <c r="J418" s="39"/>
      <c r="K418" s="39"/>
      <c r="M418" s="346">
        <f>_xll.qlCalendarAdvance(Calendar,M417,"1M","f",,Trigger)</f>
        <v>54920</v>
      </c>
      <c r="N418" s="344">
        <f>_xll.qlCalendarAdvance(Calendar,M418,"3M","mf",,Trigger)</f>
        <v>55012</v>
      </c>
      <c r="O418" s="40" t="str">
        <f>_xll.qlMakeDatedOIS(,M418,N418,OvernightIndex,0,,,,EvaluationDate)</f>
        <v>obj_007a1#0000</v>
      </c>
      <c r="P418" s="40" t="b">
        <f>_xll.qlInstrumentSetPricingEngine(O418,OisEngine)</f>
        <v>1</v>
      </c>
      <c r="Q418" s="38">
        <f>_xll.qlIndexFixing(Currency&amp;IborType&amp;"3M",_xll.qlInterestRateIndexFixingDate(Currency&amp;IborType&amp;"3M",M418),TRUE,AllTriggers)</f>
        <v>2.1060502246362755E-2</v>
      </c>
      <c r="R418" s="38">
        <f>_xll.qlOvernightIndexedSwapFairRate(O418,AllTriggers)</f>
        <v>2.0711015923493462E-2</v>
      </c>
      <c r="S418" s="345">
        <f t="shared" si="8"/>
        <v>3.4948632286929335E-4</v>
      </c>
    </row>
    <row r="419" spans="5:19" ht="11.25" customHeight="1" x14ac:dyDescent="0.2">
      <c r="E419" s="254"/>
      <c r="F419" s="254"/>
      <c r="G419" s="39"/>
      <c r="J419" s="39"/>
      <c r="K419" s="39"/>
      <c r="M419" s="346">
        <f>_xll.qlCalendarAdvance(Calendar,M418,"1M","f",,Trigger)</f>
        <v>54952</v>
      </c>
      <c r="N419" s="344">
        <f>_xll.qlCalendarAdvance(Calendar,M419,"3M","mf",,Trigger)</f>
        <v>55044</v>
      </c>
      <c r="O419" s="40" t="str">
        <f>_xll.qlMakeDatedOIS(,M419,N419,OvernightIndex,0,,,,EvaluationDate)</f>
        <v>obj_007a3#0000</v>
      </c>
      <c r="P419" s="40" t="b">
        <f>_xll.qlInstrumentSetPricingEngine(O419,OisEngine)</f>
        <v>1</v>
      </c>
      <c r="Q419" s="38">
        <f>_xll.qlIndexFixing(Currency&amp;IborType&amp;"3M",_xll.qlInterestRateIndexFixingDate(Currency&amp;IborType&amp;"3M",M419),TRUE,AllTriggers)</f>
        <v>2.1053508016525717E-2</v>
      </c>
      <c r="R419" s="38">
        <f>_xll.qlOvernightIndexedSwapFairRate(O419,AllTriggers)</f>
        <v>2.0706119938465634E-2</v>
      </c>
      <c r="S419" s="345">
        <f t="shared" si="8"/>
        <v>3.4738807806008326E-4</v>
      </c>
    </row>
    <row r="420" spans="5:19" ht="11.25" customHeight="1" x14ac:dyDescent="0.2">
      <c r="E420" s="254"/>
      <c r="F420" s="254"/>
      <c r="G420" s="39"/>
      <c r="J420" s="39"/>
      <c r="K420" s="39"/>
      <c r="M420" s="346">
        <f>_xll.qlCalendarAdvance(Calendar,M419,"1M","f",,Trigger)</f>
        <v>54982</v>
      </c>
      <c r="N420" s="344">
        <f>_xll.qlCalendarAdvance(Calendar,M420,"3M","mf",,Trigger)</f>
        <v>55074</v>
      </c>
      <c r="O420" s="40" t="str">
        <f>_xll.qlMakeDatedOIS(,M420,N420,OvernightIndex,0,,,,EvaluationDate)</f>
        <v>obj_007a5#0000</v>
      </c>
      <c r="P420" s="40" t="b">
        <f>_xll.qlInstrumentSetPricingEngine(O420,OisEngine)</f>
        <v>1</v>
      </c>
      <c r="Q420" s="38">
        <f>_xll.qlIndexFixing(Currency&amp;IborType&amp;"3M",_xll.qlInterestRateIndexFixingDate(Currency&amp;IborType&amp;"3M",M420),TRUE,AllTriggers)</f>
        <v>2.1046449937772958E-2</v>
      </c>
      <c r="R420" s="38">
        <f>_xll.qlOvernightIndexedSwapFairRate(O420,AllTriggers)</f>
        <v>2.0701024631878544E-2</v>
      </c>
      <c r="S420" s="345">
        <f t="shared" si="8"/>
        <v>3.4542530589441386E-4</v>
      </c>
    </row>
    <row r="421" spans="5:19" ht="11.25" customHeight="1" x14ac:dyDescent="0.2">
      <c r="E421" s="254"/>
      <c r="F421" s="254"/>
      <c r="G421" s="39"/>
      <c r="J421" s="39"/>
      <c r="K421" s="39"/>
      <c r="M421" s="346">
        <f>_xll.qlCalendarAdvance(Calendar,M420,"1M","f",,Trigger)</f>
        <v>55015</v>
      </c>
      <c r="N421" s="344">
        <f>_xll.qlCalendarAdvance(Calendar,M421,"3M","mf",,Trigger)</f>
        <v>55107</v>
      </c>
      <c r="O421" s="40" t="str">
        <f>_xll.qlMakeDatedOIS(,M421,N421,OvernightIndex,0,,,,EvaluationDate)</f>
        <v>obj_007a6#0000</v>
      </c>
      <c r="P421" s="40" t="b">
        <f>_xll.qlInstrumentSetPricingEngine(O421,OisEngine)</f>
        <v>1</v>
      </c>
      <c r="Q421" s="38">
        <f>_xll.qlIndexFixing(Currency&amp;IborType&amp;"3M",_xll.qlInterestRateIndexFixingDate(Currency&amp;IborType&amp;"3M",M421),TRUE,AllTriggers)</f>
        <v>2.1038126078715282E-2</v>
      </c>
      <c r="R421" s="38">
        <f>_xll.qlOvernightIndexedSwapFairRate(O421,AllTriggers)</f>
        <v>2.0694854978899602E-2</v>
      </c>
      <c r="S421" s="345">
        <f t="shared" si="8"/>
        <v>3.4327109981567919E-4</v>
      </c>
    </row>
    <row r="422" spans="5:19" ht="11.25" customHeight="1" x14ac:dyDescent="0.2">
      <c r="E422" s="254"/>
      <c r="F422" s="254"/>
      <c r="G422" s="39"/>
      <c r="J422" s="39"/>
      <c r="K422" s="39"/>
      <c r="M422" s="346">
        <f>_xll.qlCalendarAdvance(Calendar,M421,"1M","f",,Trigger)</f>
        <v>55046</v>
      </c>
      <c r="N422" s="344">
        <f>_xll.qlCalendarAdvance(Calendar,M422,"3M","mf",,Trigger)</f>
        <v>55137</v>
      </c>
      <c r="O422" s="40" t="str">
        <f>_xll.qlMakeDatedOIS(,M422,N422,OvernightIndex,0,,,,EvaluationDate)</f>
        <v>obj_007a7#0000</v>
      </c>
      <c r="P422" s="40" t="b">
        <f>_xll.qlInstrumentSetPricingEngine(O422,OisEngine)</f>
        <v>1</v>
      </c>
      <c r="Q422" s="38">
        <f>_xll.qlIndexFixing(Currency&amp;IborType&amp;"3M",_xll.qlInterestRateIndexFixingDate(Currency&amp;IborType&amp;"3M",M422),TRUE,AllTriggers)</f>
        <v>2.102930213104124E-2</v>
      </c>
      <c r="R422" s="38">
        <f>_xll.qlOvernightIndexedSwapFairRate(O422,AllTriggers)</f>
        <v>2.0688037284412545E-2</v>
      </c>
      <c r="S422" s="345">
        <f t="shared" si="8"/>
        <v>3.4126484662869508E-4</v>
      </c>
    </row>
    <row r="423" spans="5:19" ht="11.25" customHeight="1" x14ac:dyDescent="0.2">
      <c r="E423" s="254"/>
      <c r="F423" s="254"/>
      <c r="G423" s="39"/>
      <c r="J423" s="39"/>
      <c r="K423" s="39"/>
      <c r="M423" s="346">
        <f>_xll.qlCalendarAdvance(Calendar,M422,"1M","f",,Trigger)</f>
        <v>55078</v>
      </c>
      <c r="N423" s="344">
        <f>_xll.qlCalendarAdvance(Calendar,M423,"3M","mf",,Trigger)</f>
        <v>55170</v>
      </c>
      <c r="O423" s="40" t="str">
        <f>_xll.qlMakeDatedOIS(,M423,N423,OvernightIndex,0,,,,EvaluationDate)</f>
        <v>obj_008c7#0000</v>
      </c>
      <c r="P423" s="40" t="b">
        <f>_xll.qlInstrumentSetPricingEngine(O423,OisEngine)</f>
        <v>1</v>
      </c>
      <c r="Q423" s="38">
        <f>_xll.qlIndexFixing(Currency&amp;IborType&amp;"3M",_xll.qlInterestRateIndexFixingDate(Currency&amp;IborType&amp;"3M",M423),TRUE,AllTriggers)</f>
        <v>2.1020606077750501E-2</v>
      </c>
      <c r="R423" s="38">
        <f>_xll.qlOvernightIndexedSwapFairRate(O423,AllTriggers)</f>
        <v>2.0681433460245743E-2</v>
      </c>
      <c r="S423" s="345">
        <f t="shared" si="8"/>
        <v>3.3917261750475783E-4</v>
      </c>
    </row>
    <row r="424" spans="5:19" ht="11.25" customHeight="1" x14ac:dyDescent="0.2">
      <c r="E424" s="254"/>
      <c r="F424" s="254"/>
      <c r="G424" s="39"/>
      <c r="J424" s="39"/>
      <c r="K424" s="39"/>
      <c r="M424" s="346">
        <f>_xll.qlCalendarAdvance(Calendar,M423,"1M","f",,Trigger)</f>
        <v>55109</v>
      </c>
      <c r="N424" s="344">
        <f>_xll.qlCalendarAdvance(Calendar,M424,"3M","mf",,Trigger)</f>
        <v>55201</v>
      </c>
      <c r="O424" s="40" t="str">
        <f>_xll.qlMakeDatedOIS(,M424,N424,OvernightIndex,0,,,,EvaluationDate)</f>
        <v>obj_007a9#0000</v>
      </c>
      <c r="P424" s="40" t="b">
        <f>_xll.qlInstrumentSetPricingEngine(O424,OisEngine)</f>
        <v>1</v>
      </c>
      <c r="Q424" s="38">
        <f>_xll.qlIndexFixing(Currency&amp;IborType&amp;"3M",_xll.qlInterestRateIndexFixingDate(Currency&amp;IborType&amp;"3M",M424),TRUE,AllTriggers)</f>
        <v>2.1011200261208351E-2</v>
      </c>
      <c r="R424" s="38">
        <f>_xll.qlOvernightIndexedSwapFairRate(O424,AllTriggers)</f>
        <v>2.0674037565475218E-2</v>
      </c>
      <c r="S424" s="345">
        <f t="shared" si="8"/>
        <v>3.3716269573313279E-4</v>
      </c>
    </row>
    <row r="425" spans="5:19" ht="11.25" customHeight="1" x14ac:dyDescent="0.2">
      <c r="E425" s="254"/>
      <c r="F425" s="254"/>
      <c r="G425" s="39"/>
      <c r="J425" s="39"/>
      <c r="K425" s="39"/>
      <c r="M425" s="346">
        <f>_xll.qlCalendarAdvance(Calendar,M424,"1M","f",,Trigger)</f>
        <v>55141</v>
      </c>
      <c r="N425" s="344">
        <f>_xll.qlCalendarAdvance(Calendar,M425,"3M","mf",,Trigger)</f>
        <v>55232</v>
      </c>
      <c r="O425" s="40" t="str">
        <f>_xll.qlMakeDatedOIS(,M425,N425,OvernightIndex,0,,,,EvaluationDate)</f>
        <v>obj_007aa#0000</v>
      </c>
      <c r="P425" s="40" t="b">
        <f>_xll.qlInstrumentSetPricingEngine(O425,OisEngine)</f>
        <v>1</v>
      </c>
      <c r="Q425" s="38">
        <f>_xll.qlIndexFixing(Currency&amp;IborType&amp;"3M",_xll.qlInterestRateIndexFixingDate(Currency&amp;IborType&amp;"3M",M425),TRUE,AllTriggers)</f>
        <v>2.1000505122477135E-2</v>
      </c>
      <c r="R425" s="38">
        <f>_xll.qlOvernightIndexedSwapFairRate(O425,AllTriggers)</f>
        <v>2.0665399554409908E-2</v>
      </c>
      <c r="S425" s="345">
        <f t="shared" si="8"/>
        <v>3.3510556806722741E-4</v>
      </c>
    </row>
    <row r="426" spans="5:19" ht="11.25" customHeight="1" x14ac:dyDescent="0.2">
      <c r="E426" s="254"/>
      <c r="F426" s="254"/>
      <c r="G426" s="39"/>
      <c r="J426" s="39"/>
      <c r="K426" s="39"/>
      <c r="M426" s="346">
        <f>_xll.qlCalendarAdvance(Calendar,M425,"1M","f",,Trigger)</f>
        <v>55172</v>
      </c>
      <c r="N426" s="344">
        <f>_xll.qlCalendarAdvance(Calendar,M426,"3M","mf",,Trigger)</f>
        <v>55262</v>
      </c>
      <c r="O426" s="40" t="str">
        <f>_xll.qlMakeDatedOIS(,M426,N426,OvernightIndex,0,,,,EvaluationDate)</f>
        <v>obj_007ac#0000</v>
      </c>
      <c r="P426" s="40" t="b">
        <f>_xll.qlInstrumentSetPricingEngine(O426,OisEngine)</f>
        <v>1</v>
      </c>
      <c r="Q426" s="38">
        <f>_xll.qlIndexFixing(Currency&amp;IborType&amp;"3M",_xll.qlInterestRateIndexFixingDate(Currency&amp;IborType&amp;"3M",M426),TRUE,AllTriggers)</f>
        <v>2.0989622087005166E-2</v>
      </c>
      <c r="R426" s="38">
        <f>_xll.qlOvernightIndexedSwapFairRate(O426,AllTriggers)</f>
        <v>2.0656504301099332E-2</v>
      </c>
      <c r="S426" s="345">
        <f t="shared" si="8"/>
        <v>3.331177859058343E-4</v>
      </c>
    </row>
    <row r="427" spans="5:19" ht="11.25" customHeight="1" x14ac:dyDescent="0.2">
      <c r="E427" s="254"/>
      <c r="F427" s="254"/>
      <c r="G427" s="39"/>
      <c r="J427" s="39"/>
      <c r="K427" s="39"/>
      <c r="M427" s="346">
        <f>_xll.qlCalendarAdvance(Calendar,M426,"1M","f",,Trigger)</f>
        <v>55204</v>
      </c>
      <c r="N427" s="344">
        <f>_xll.qlCalendarAdvance(Calendar,M427,"3M","mf",,Trigger)</f>
        <v>55295</v>
      </c>
      <c r="O427" s="40" t="str">
        <f>_xll.qlMakeDatedOIS(,M427,N427,OvernightIndex,0,,,,EvaluationDate)</f>
        <v>obj_007ad#0000</v>
      </c>
      <c r="P427" s="40" t="b">
        <f>_xll.qlInstrumentSetPricingEngine(O427,OisEngine)</f>
        <v>1</v>
      </c>
      <c r="Q427" s="38">
        <f>_xll.qlIndexFixing(Currency&amp;IborType&amp;"3M",_xll.qlInterestRateIndexFixingDate(Currency&amp;IborType&amp;"3M",M427),TRUE,AllTriggers)</f>
        <v>2.097872731892806E-2</v>
      </c>
      <c r="R427" s="38">
        <f>_xll.qlOvernightIndexedSwapFairRate(O427,AllTriggers)</f>
        <v>2.0647683116335084E-2</v>
      </c>
      <c r="S427" s="345">
        <f t="shared" si="8"/>
        <v>3.3104420259297621E-4</v>
      </c>
    </row>
    <row r="428" spans="5:19" ht="11.25" customHeight="1" x14ac:dyDescent="0.2">
      <c r="E428" s="254"/>
      <c r="F428" s="254"/>
      <c r="G428" s="39"/>
      <c r="J428" s="39"/>
      <c r="K428" s="39"/>
      <c r="M428" s="346">
        <f>_xll.qlCalendarAdvance(Calendar,M427,"1M","f",,Trigger)</f>
        <v>55232</v>
      </c>
      <c r="N428" s="344">
        <f>_xll.qlCalendarAdvance(Calendar,M428,"3M","mf",,Trigger)</f>
        <v>55324</v>
      </c>
      <c r="O428" s="40" t="str">
        <f>_xll.qlMakeDatedOIS(,M428,N428,OvernightIndex,0,,,,EvaluationDate)</f>
        <v>obj_007af#0000</v>
      </c>
      <c r="P428" s="40" t="b">
        <f>_xll.qlInstrumentSetPricingEngine(O428,OisEngine)</f>
        <v>1</v>
      </c>
      <c r="Q428" s="38">
        <f>_xll.qlIndexFixing(Currency&amp;IborType&amp;"3M",_xll.qlInterestRateIndexFixingDate(Currency&amp;IborType&amp;"3M",M428),TRUE,AllTriggers)</f>
        <v>2.0968778612817748E-2</v>
      </c>
      <c r="R428" s="38">
        <f>_xll.qlOvernightIndexedSwapFairRate(O428,AllTriggers)</f>
        <v>2.0639546601689297E-2</v>
      </c>
      <c r="S428" s="345">
        <f t="shared" si="8"/>
        <v>3.2923201112845107E-4</v>
      </c>
    </row>
    <row r="429" spans="5:19" ht="11.25" customHeight="1" x14ac:dyDescent="0.2">
      <c r="E429" s="254"/>
      <c r="F429" s="254"/>
      <c r="G429" s="39"/>
      <c r="J429" s="39"/>
      <c r="K429" s="39"/>
      <c r="M429" s="346">
        <f>_xll.qlCalendarAdvance(Calendar,M428,"1M","f",,Trigger)</f>
        <v>55263</v>
      </c>
      <c r="N429" s="344">
        <f>_xll.qlCalendarAdvance(Calendar,M429,"3M","mf",,Trigger)</f>
        <v>55354</v>
      </c>
      <c r="O429" s="40" t="str">
        <f>_xll.qlMakeDatedOIS(,M429,N429,OvernightIndex,0,,,,EvaluationDate)</f>
        <v>obj_007b0#0000</v>
      </c>
      <c r="P429" s="40" t="b">
        <f>_xll.qlInstrumentSetPricingEngine(O429,OisEngine)</f>
        <v>1</v>
      </c>
      <c r="Q429" s="38">
        <f>_xll.qlIndexFixing(Currency&amp;IborType&amp;"3M",_xll.qlInterestRateIndexFixingDate(Currency&amp;IborType&amp;"3M",M429),TRUE,AllTriggers)</f>
        <v>2.0956393683008084E-2</v>
      </c>
      <c r="R429" s="38">
        <f>_xll.qlOvernightIndexedSwapFairRate(O429,AllTriggers)</f>
        <v>2.0629136192000283E-2</v>
      </c>
      <c r="S429" s="345">
        <f t="shared" si="8"/>
        <v>3.2725749100780133E-4</v>
      </c>
    </row>
    <row r="430" spans="5:19" ht="11.25" customHeight="1" x14ac:dyDescent="0.2">
      <c r="E430" s="254"/>
      <c r="F430" s="254"/>
      <c r="G430" s="39"/>
      <c r="J430" s="39"/>
      <c r="K430" s="39"/>
      <c r="M430" s="346">
        <f>_xll.qlCalendarAdvance(Calendar,M429,"1M","f",,Trigger)</f>
        <v>55295</v>
      </c>
      <c r="N430" s="344">
        <f>_xll.qlCalendarAdvance(Calendar,M430,"3M","mf",,Trigger)</f>
        <v>55387</v>
      </c>
      <c r="O430" s="40" t="str">
        <f>_xll.qlMakeDatedOIS(,M430,N430,OvernightIndex,0,,,,EvaluationDate)</f>
        <v>obj_007b2#0000</v>
      </c>
      <c r="P430" s="40" t="b">
        <f>_xll.qlInstrumentSetPricingEngine(O430,OisEngine)</f>
        <v>1</v>
      </c>
      <c r="Q430" s="38">
        <f>_xll.qlIndexFixing(Currency&amp;IborType&amp;"3M",_xll.qlInterestRateIndexFixingDate(Currency&amp;IborType&amp;"3M",M430),TRUE,AllTriggers)</f>
        <v>2.0943894412493086E-2</v>
      </c>
      <c r="R430" s="38">
        <f>_xll.qlOvernightIndexedSwapFairRate(O430,AllTriggers)</f>
        <v>2.0618697126153693E-2</v>
      </c>
      <c r="S430" s="345">
        <f t="shared" si="8"/>
        <v>3.2519728633939246E-4</v>
      </c>
    </row>
    <row r="431" spans="5:19" ht="11.25" customHeight="1" x14ac:dyDescent="0.2">
      <c r="E431" s="254"/>
      <c r="F431" s="254"/>
      <c r="G431" s="39"/>
      <c r="J431" s="39"/>
      <c r="K431" s="39"/>
      <c r="M431" s="346">
        <f>_xll.qlCalendarAdvance(Calendar,M430,"1M","f",,Trigger)</f>
        <v>55326</v>
      </c>
      <c r="N431" s="344">
        <f>_xll.qlCalendarAdvance(Calendar,M431,"3M","mf",,Trigger)</f>
        <v>55418</v>
      </c>
      <c r="O431" s="40" t="str">
        <f>_xll.qlMakeDatedOIS(,M431,N431,OvernightIndex,0,,,,EvaluationDate)</f>
        <v>obj_007b4#0000</v>
      </c>
      <c r="P431" s="40" t="b">
        <f>_xll.qlInstrumentSetPricingEngine(O431,OisEngine)</f>
        <v>1</v>
      </c>
      <c r="Q431" s="38">
        <f>_xll.qlIndexFixing(Currency&amp;IborType&amp;"3M",_xll.qlInterestRateIndexFixingDate(Currency&amp;IborType&amp;"3M",M431),TRUE,AllTriggers)</f>
        <v>2.0930864987464621E-2</v>
      </c>
      <c r="R431" s="38">
        <f>_xll.qlOvernightIndexedSwapFairRate(O431,AllTriggers)</f>
        <v>2.0607646242097152E-2</v>
      </c>
      <c r="S431" s="345">
        <f t="shared" si="8"/>
        <v>3.2321874536746925E-4</v>
      </c>
    </row>
    <row r="432" spans="5:19" ht="11.25" customHeight="1" x14ac:dyDescent="0.2">
      <c r="E432" s="254"/>
      <c r="F432" s="254"/>
      <c r="G432" s="39"/>
      <c r="J432" s="39"/>
      <c r="K432" s="39"/>
      <c r="M432" s="346">
        <f>_xll.qlCalendarAdvance(Calendar,M431,"1M","f",,Trigger)</f>
        <v>55358</v>
      </c>
      <c r="N432" s="344">
        <f>_xll.qlCalendarAdvance(Calendar,M432,"3M","mf",,Trigger)</f>
        <v>55450</v>
      </c>
      <c r="O432" s="40" t="str">
        <f>_xll.qlMakeDatedOIS(,M432,N432,OvernightIndex,0,,,,EvaluationDate)</f>
        <v>obj_007b5#0000</v>
      </c>
      <c r="P432" s="40" t="b">
        <f>_xll.qlInstrumentSetPricingEngine(O432,OisEngine)</f>
        <v>1</v>
      </c>
      <c r="Q432" s="38">
        <f>_xll.qlIndexFixing(Currency&amp;IborType&amp;"3M",_xll.qlInterestRateIndexFixingDate(Currency&amp;IborType&amp;"3M",M432),TRUE,AllTriggers)</f>
        <v>2.0916872302652916E-2</v>
      </c>
      <c r="R432" s="38">
        <f>_xll.qlOvernightIndexedSwapFairRate(O432,AllTriggers)</f>
        <v>2.0595691216784843E-2</v>
      </c>
      <c r="S432" s="345">
        <f t="shared" si="8"/>
        <v>3.2118108586807331E-4</v>
      </c>
    </row>
    <row r="433" spans="5:19" ht="11.25" customHeight="1" x14ac:dyDescent="0.2">
      <c r="E433" s="254"/>
      <c r="F433" s="254"/>
      <c r="G433" s="39"/>
      <c r="J433" s="39"/>
      <c r="K433" s="39"/>
      <c r="M433" s="346">
        <f>_xll.qlCalendarAdvance(Calendar,M432,"1M","f",,Trigger)</f>
        <v>55389</v>
      </c>
      <c r="N433" s="344">
        <f>_xll.qlCalendarAdvance(Calendar,M433,"3M","mf",,Trigger)</f>
        <v>55481</v>
      </c>
      <c r="O433" s="40" t="str">
        <f>_xll.qlMakeDatedOIS(,M433,N433,OvernightIndex,0,,,,EvaluationDate)</f>
        <v>obj_007b6#0000</v>
      </c>
      <c r="P433" s="40" t="b">
        <f>_xll.qlInstrumentSetPricingEngine(O433,OisEngine)</f>
        <v>1</v>
      </c>
      <c r="Q433" s="38">
        <f>_xll.qlIndexFixing(Currency&amp;IborType&amp;"3M",_xll.qlInterestRateIndexFixingDate(Currency&amp;IborType&amp;"3M",M433),TRUE,AllTriggers)</f>
        <v>2.0902790906358701E-2</v>
      </c>
      <c r="R433" s="38">
        <f>_xll.qlOvernightIndexedSwapFairRate(O433,AllTriggers)</f>
        <v>2.0583579244036608E-2</v>
      </c>
      <c r="S433" s="345">
        <f t="shared" si="8"/>
        <v>3.192116623220928E-4</v>
      </c>
    </row>
    <row r="434" spans="5:19" ht="11.25" customHeight="1" x14ac:dyDescent="0.2">
      <c r="E434" s="254"/>
      <c r="F434" s="254"/>
      <c r="G434" s="39"/>
      <c r="J434" s="39"/>
      <c r="K434" s="39"/>
      <c r="M434" s="346">
        <f>_xll.qlCalendarAdvance(Calendar,M433,"1M","f",,Trigger)</f>
        <v>55421</v>
      </c>
      <c r="N434" s="344">
        <f>_xll.qlCalendarAdvance(Calendar,M434,"3M","mf",,Trigger)</f>
        <v>55514</v>
      </c>
      <c r="O434" s="40" t="str">
        <f>_xll.qlMakeDatedOIS(,M434,N434,OvernightIndex,0,,,,EvaluationDate)</f>
        <v>obj_007b8#0000</v>
      </c>
      <c r="P434" s="40" t="b">
        <f>_xll.qlInstrumentSetPricingEngine(O434,OisEngine)</f>
        <v>1</v>
      </c>
      <c r="Q434" s="38">
        <f>_xll.qlIndexFixing(Currency&amp;IborType&amp;"3M",_xll.qlInterestRateIndexFixingDate(Currency&amp;IborType&amp;"3M",M434),TRUE,AllTriggers)</f>
        <v>2.0888073085399791E-2</v>
      </c>
      <c r="R434" s="38">
        <f>_xll.qlOvernightIndexedSwapFairRate(O434,AllTriggers)</f>
        <v>2.0570903072977369E-2</v>
      </c>
      <c r="S434" s="345">
        <f t="shared" si="8"/>
        <v>3.1717001242242276E-4</v>
      </c>
    </row>
    <row r="435" spans="5:19" ht="11.25" customHeight="1" x14ac:dyDescent="0.2">
      <c r="E435" s="254"/>
      <c r="F435" s="254"/>
      <c r="G435" s="39"/>
      <c r="J435" s="39"/>
      <c r="K435" s="39"/>
      <c r="M435" s="346">
        <f>_xll.qlCalendarAdvance(Calendar,M434,"1M","f",,Trigger)</f>
        <v>55451</v>
      </c>
      <c r="N435" s="344">
        <f>_xll.qlCalendarAdvance(Calendar,M435,"3M","mf",,Trigger)</f>
        <v>55543</v>
      </c>
      <c r="O435" s="40" t="str">
        <f>_xll.qlMakeDatedOIS(,M435,N435,OvernightIndex,0,,,,EvaluationDate)</f>
        <v>obj_00961#0000</v>
      </c>
      <c r="P435" s="40" t="b">
        <f>_xll.qlInstrumentSetPricingEngine(O435,OisEngine)</f>
        <v>1</v>
      </c>
      <c r="Q435" s="38">
        <f>_xll.qlIndexFixing(Currency&amp;IborType&amp;"3M",_xll.qlInterestRateIndexFixingDate(Currency&amp;IborType&amp;"3M",M435),TRUE,AllTriggers)</f>
        <v>2.0873075234535507E-2</v>
      </c>
      <c r="R435" s="38">
        <f>_xll.qlOvernightIndexedSwapFairRate(O435,AllTriggers)</f>
        <v>2.0557788956161741E-2</v>
      </c>
      <c r="S435" s="345">
        <f t="shared" si="8"/>
        <v>3.1528627837376644E-4</v>
      </c>
    </row>
    <row r="436" spans="5:19" ht="11.25" customHeight="1" x14ac:dyDescent="0.2">
      <c r="E436" s="254"/>
      <c r="F436" s="254"/>
      <c r="G436" s="39"/>
      <c r="J436" s="39"/>
      <c r="K436" s="39"/>
      <c r="M436" s="346">
        <f>_xll.qlCalendarAdvance(Calendar,M435,"1M","f",,Trigger)</f>
        <v>55484</v>
      </c>
      <c r="N436" s="344">
        <f>_xll.qlCalendarAdvance(Calendar,M436,"3M","mf",,Trigger)</f>
        <v>55576</v>
      </c>
      <c r="O436" s="40" t="str">
        <f>_xll.qlMakeDatedOIS(,M436,N436,OvernightIndex,0,,,,EvaluationDate)</f>
        <v>obj_007ba#0000</v>
      </c>
      <c r="P436" s="40" t="b">
        <f>_xll.qlInstrumentSetPricingEngine(O436,OisEngine)</f>
        <v>1</v>
      </c>
      <c r="Q436" s="38">
        <f>_xll.qlIndexFixing(Currency&amp;IborType&amp;"3M",_xll.qlInterestRateIndexFixingDate(Currency&amp;IborType&amp;"3M",M436),TRUE,AllTriggers)</f>
        <v>2.0856414534145769E-2</v>
      </c>
      <c r="R436" s="38">
        <f>_xll.qlOvernightIndexedSwapFairRate(O436,AllTriggers)</f>
        <v>2.0543210251448736E-2</v>
      </c>
      <c r="S436" s="345">
        <f t="shared" si="8"/>
        <v>3.132042826970334E-4</v>
      </c>
    </row>
    <row r="437" spans="5:19" ht="11.25" customHeight="1" x14ac:dyDescent="0.2">
      <c r="E437" s="254"/>
      <c r="F437" s="254"/>
      <c r="G437" s="39"/>
      <c r="J437" s="39"/>
      <c r="K437" s="39"/>
      <c r="M437" s="346">
        <f>_xll.qlCalendarAdvance(Calendar,M436,"1M","f",,Trigger)</f>
        <v>55514</v>
      </c>
      <c r="N437" s="344">
        <f>_xll.qlCalendarAdvance(Calendar,M437,"3M","mf",,Trigger)</f>
        <v>55605</v>
      </c>
      <c r="O437" s="40" t="str">
        <f>_xll.qlMakeDatedOIS(,M437,N437,OvernightIndex,0,,,,EvaluationDate)</f>
        <v>obj_007bb#0000</v>
      </c>
      <c r="P437" s="40" t="b">
        <f>_xll.qlInstrumentSetPricingEngine(O437,OisEngine)</f>
        <v>1</v>
      </c>
      <c r="Q437" s="38">
        <f>_xll.qlIndexFixing(Currency&amp;IborType&amp;"3M",_xll.qlInterestRateIndexFixingDate(Currency&amp;IborType&amp;"3M",M437),TRUE,AllTriggers)</f>
        <v>2.0840426266272236E-2</v>
      </c>
      <c r="R437" s="38">
        <f>_xll.qlOvernightIndexedSwapFairRate(O437,AllTriggers)</f>
        <v>2.0529096732324979E-2</v>
      </c>
      <c r="S437" s="345">
        <f t="shared" si="8"/>
        <v>3.1132953394725701E-4</v>
      </c>
    </row>
    <row r="438" spans="5:19" ht="11.25" customHeight="1" x14ac:dyDescent="0.2">
      <c r="E438" s="254"/>
      <c r="F438" s="254"/>
      <c r="G438" s="39"/>
      <c r="J438" s="39"/>
      <c r="K438" s="39"/>
      <c r="M438" s="346">
        <f>_xll.qlCalendarAdvance(Calendar,M437,"1M","f",,Trigger)</f>
        <v>55547</v>
      </c>
      <c r="N438" s="344">
        <f>_xll.qlCalendarAdvance(Calendar,M438,"3M","mf",,Trigger)</f>
        <v>55638</v>
      </c>
      <c r="O438" s="40" t="str">
        <f>_xll.qlMakeDatedOIS(,M438,N438,OvernightIndex,0,,,,EvaluationDate)</f>
        <v>obj_007bd#0000</v>
      </c>
      <c r="P438" s="40" t="b">
        <f>_xll.qlInstrumentSetPricingEngine(O438,OisEngine)</f>
        <v>1</v>
      </c>
      <c r="Q438" s="38">
        <f>_xll.qlIndexFixing(Currency&amp;IborType&amp;"3M",_xll.qlInterestRateIndexFixingDate(Currency&amp;IborType&amp;"3M",M438),TRUE,AllTriggers)</f>
        <v>2.0822655702419271E-2</v>
      </c>
      <c r="R438" s="38">
        <f>_xll.qlOvernightIndexedSwapFairRate(O438,AllTriggers)</f>
        <v>2.0513398394545388E-2</v>
      </c>
      <c r="S438" s="345">
        <f t="shared" si="8"/>
        <v>3.0925730787388292E-4</v>
      </c>
    </row>
    <row r="439" spans="5:19" ht="11.25" customHeight="1" x14ac:dyDescent="0.2">
      <c r="E439" s="254"/>
      <c r="F439" s="254"/>
      <c r="G439" s="39"/>
      <c r="J439" s="39"/>
      <c r="K439" s="39"/>
      <c r="M439" s="346">
        <f>_xll.qlCalendarAdvance(Calendar,M438,"1M","f",,Trigger)</f>
        <v>55578</v>
      </c>
      <c r="N439" s="344">
        <f>_xll.qlCalendarAdvance(Calendar,M439,"3M","mf",,Trigger)</f>
        <v>55668</v>
      </c>
      <c r="O439" s="40" t="str">
        <f>_xll.qlMakeDatedOIS(,M439,N439,OvernightIndex,0,,,,EvaluationDate)</f>
        <v>obj_00a0d#0000</v>
      </c>
      <c r="P439" s="40" t="b">
        <f>_xll.qlInstrumentSetPricingEngine(O439,OisEngine)</f>
        <v>1</v>
      </c>
      <c r="Q439" s="38">
        <f>_xll.qlIndexFixing(Currency&amp;IborType&amp;"3M",_xll.qlInterestRateIndexFixingDate(Currency&amp;IborType&amp;"3M",M439),TRUE,AllTriggers)</f>
        <v>2.0805741808570196E-2</v>
      </c>
      <c r="R439" s="38">
        <f>_xll.qlOvernightIndexedSwapFairRate(O439,AllTriggers)</f>
        <v>2.0497784785352025E-2</v>
      </c>
      <c r="S439" s="345">
        <f t="shared" si="8"/>
        <v>3.0795702321817151E-4</v>
      </c>
    </row>
    <row r="440" spans="5:19" ht="11.25" customHeight="1" x14ac:dyDescent="0.2">
      <c r="E440" s="254"/>
      <c r="F440" s="254"/>
      <c r="G440" s="39"/>
      <c r="J440" s="39"/>
      <c r="K440" s="39"/>
      <c r="M440" s="346">
        <f>_xll.qlCalendarAdvance(Calendar,M439,"1M","f",,Trigger)</f>
        <v>55607</v>
      </c>
      <c r="N440" s="344">
        <f>_xll.qlCalendarAdvance(Calendar,M440,"3M","mf",,Trigger)</f>
        <v>55698</v>
      </c>
      <c r="O440" s="40" t="str">
        <f>_xll.qlMakeDatedOIS(,M440,N440,OvernightIndex,0,,,,EvaluationDate)</f>
        <v>obj_009ba#0000</v>
      </c>
      <c r="P440" s="40" t="b">
        <f>_xll.qlInstrumentSetPricingEngine(O440,OisEngine)</f>
        <v>1</v>
      </c>
      <c r="Q440" s="38">
        <f>_xll.qlIndexFixing(Currency&amp;IborType&amp;"3M",_xll.qlInterestRateIndexFixingDate(Currency&amp;IborType&amp;"3M",M440),TRUE,AllTriggers)</f>
        <v>2.07888429755951E-2</v>
      </c>
      <c r="R440" s="38">
        <f>_xll.qlOvernightIndexedSwapFairRate(O440,AllTriggers)</f>
        <v>2.0483340312021304E-2</v>
      </c>
      <c r="S440" s="345">
        <f t="shared" si="8"/>
        <v>3.0550266357379577E-4</v>
      </c>
    </row>
    <row r="441" spans="5:19" ht="11.25" customHeight="1" x14ac:dyDescent="0.2">
      <c r="E441" s="254"/>
      <c r="F441" s="254"/>
      <c r="G441" s="39"/>
      <c r="J441" s="39"/>
      <c r="K441" s="39"/>
      <c r="M441" s="346">
        <f>_xll.qlCalendarAdvance(Calendar,M440,"1M","f",,Trigger)</f>
        <v>55638</v>
      </c>
      <c r="N441" s="344">
        <f>_xll.qlCalendarAdvance(Calendar,M441,"3M","mf",,Trigger)</f>
        <v>55729</v>
      </c>
      <c r="O441" s="40" t="str">
        <f>_xll.qlMakeDatedOIS(,M441,N441,OvernightIndex,0,,,,EvaluationDate)</f>
        <v>obj_007be#0000</v>
      </c>
      <c r="P441" s="40" t="b">
        <f>_xll.qlInstrumentSetPricingEngine(O441,OisEngine)</f>
        <v>1</v>
      </c>
      <c r="Q441" s="38">
        <f>_xll.qlIndexFixing(Currency&amp;IborType&amp;"3M",_xll.qlInterestRateIndexFixingDate(Currency&amp;IborType&amp;"3M",M441),TRUE,AllTriggers)</f>
        <v>2.0770613426877953E-2</v>
      </c>
      <c r="R441" s="38">
        <f>_xll.qlOvernightIndexedSwapFairRate(O441,AllTriggers)</f>
        <v>2.0467044069303841E-2</v>
      </c>
      <c r="S441" s="345">
        <f t="shared" si="8"/>
        <v>3.0356935757411274E-4</v>
      </c>
    </row>
    <row r="442" spans="5:19" ht="11.25" customHeight="1" x14ac:dyDescent="0.2">
      <c r="E442" s="254"/>
      <c r="F442" s="254"/>
      <c r="G442" s="39"/>
      <c r="J442" s="39"/>
      <c r="K442" s="39"/>
      <c r="M442" s="346">
        <f>_xll.qlCalendarAdvance(Calendar,M441,"1M","f",,Trigger)</f>
        <v>55668</v>
      </c>
      <c r="N442" s="344">
        <f>_xll.qlCalendarAdvance(Calendar,M442,"3M","mf",,Trigger)</f>
        <v>55760</v>
      </c>
      <c r="O442" s="40" t="str">
        <f>_xll.qlMakeDatedOIS(,M442,N442,OvernightIndex,0,,,,EvaluationDate)</f>
        <v>obj_007bf#0000</v>
      </c>
      <c r="P442" s="40" t="b">
        <f>_xll.qlInstrumentSetPricingEngine(O442,OisEngine)</f>
        <v>1</v>
      </c>
      <c r="Q442" s="38">
        <f>_xll.qlIndexFixing(Currency&amp;IborType&amp;"3M",_xll.qlInterestRateIndexFixingDate(Currency&amp;IborType&amp;"3M",M442),TRUE,AllTriggers)</f>
        <v>2.075276579922743E-2</v>
      </c>
      <c r="R442" s="38">
        <f>_xll.qlOvernightIndexedSwapFairRate(O442,AllTriggers)</f>
        <v>2.0451076925538478E-2</v>
      </c>
      <c r="S442" s="345">
        <f t="shared" si="8"/>
        <v>3.0168887368895239E-4</v>
      </c>
    </row>
    <row r="443" spans="5:19" ht="11.25" customHeight="1" x14ac:dyDescent="0.2">
      <c r="E443" s="254"/>
      <c r="F443" s="254"/>
      <c r="G443" s="39"/>
      <c r="J443" s="39"/>
      <c r="K443" s="39"/>
      <c r="M443" s="346">
        <f>_xll.qlCalendarAdvance(Calendar,M442,"1M","f",,Trigger)</f>
        <v>55701</v>
      </c>
      <c r="N443" s="344">
        <f>_xll.qlCalendarAdvance(Calendar,M443,"3M","mf",,Trigger)</f>
        <v>55793</v>
      </c>
      <c r="O443" s="40" t="str">
        <f>_xll.qlMakeDatedOIS(,M443,N443,OvernightIndex,0,,,,EvaluationDate)</f>
        <v>obj_007c0#0000</v>
      </c>
      <c r="P443" s="40" t="b">
        <f>_xll.qlInstrumentSetPricingEngine(O443,OisEngine)</f>
        <v>1</v>
      </c>
      <c r="Q443" s="38">
        <f>_xll.qlIndexFixing(Currency&amp;IborType&amp;"3M",_xll.qlInterestRateIndexFixingDate(Currency&amp;IborType&amp;"3M",M443),TRUE,AllTriggers)</f>
        <v>2.0732248218090742E-2</v>
      </c>
      <c r="R443" s="38">
        <f>_xll.qlOvernightIndexedSwapFairRate(O443,AllTriggers)</f>
        <v>2.0432607868732824E-2</v>
      </c>
      <c r="S443" s="345">
        <f t="shared" si="8"/>
        <v>2.9964034935791792E-4</v>
      </c>
    </row>
    <row r="444" spans="5:19" ht="11.25" customHeight="1" x14ac:dyDescent="0.2">
      <c r="E444" s="254"/>
      <c r="F444" s="254"/>
      <c r="G444" s="39"/>
      <c r="J444" s="39"/>
      <c r="K444" s="39"/>
      <c r="M444" s="346">
        <f>_xll.qlCalendarAdvance(Calendar,M443,"1M","f",,Trigger)</f>
        <v>55732</v>
      </c>
      <c r="N444" s="344">
        <f>_xll.qlCalendarAdvance(Calendar,M444,"3M","mf",,Trigger)</f>
        <v>55824</v>
      </c>
      <c r="O444" s="40" t="str">
        <f>_xll.qlMakeDatedOIS(,M444,N444,OvernightIndex,0,,,,EvaluationDate)</f>
        <v>obj_007c1#0000</v>
      </c>
      <c r="P444" s="40" t="b">
        <f>_xll.qlInstrumentSetPricingEngine(O444,OisEngine)</f>
        <v>1</v>
      </c>
      <c r="Q444" s="38">
        <f>_xll.qlIndexFixing(Currency&amp;IborType&amp;"3M",_xll.qlInterestRateIndexFixingDate(Currency&amp;IborType&amp;"3M",M444),TRUE,AllTriggers)</f>
        <v>2.0712439870024586E-2</v>
      </c>
      <c r="R444" s="38">
        <f>_xll.qlOvernightIndexedSwapFairRate(O444,AllTriggers)</f>
        <v>2.0414719252362018E-2</v>
      </c>
      <c r="S444" s="345">
        <f t="shared" si="8"/>
        <v>2.9772061766256824E-4</v>
      </c>
    </row>
    <row r="445" spans="5:19" ht="11.25" customHeight="1" x14ac:dyDescent="0.2">
      <c r="E445" s="254"/>
      <c r="F445" s="254"/>
      <c r="G445" s="39"/>
      <c r="J445" s="39"/>
      <c r="K445" s="39"/>
      <c r="M445" s="346">
        <f>_xll.qlCalendarAdvance(Calendar,M444,"1M","f",,Trigger)</f>
        <v>55764</v>
      </c>
      <c r="N445" s="344">
        <f>_xll.qlCalendarAdvance(Calendar,M445,"3M","mf",,Trigger)</f>
        <v>55855</v>
      </c>
      <c r="O445" s="40" t="str">
        <f>_xll.qlMakeDatedOIS(,M445,N445,OvernightIndex,0,,,,EvaluationDate)</f>
        <v>obj_007c2#0000</v>
      </c>
      <c r="P445" s="40" t="b">
        <f>_xll.qlInstrumentSetPricingEngine(O445,OisEngine)</f>
        <v>1</v>
      </c>
      <c r="Q445" s="38">
        <f>_xll.qlIndexFixing(Currency&amp;IborType&amp;"3M",_xll.qlInterestRateIndexFixingDate(Currency&amp;IborType&amp;"3M",M445),TRUE,AllTriggers)</f>
        <v>2.0691192401800118E-2</v>
      </c>
      <c r="R445" s="38">
        <f>_xll.qlOvernightIndexedSwapFairRate(O445,AllTriggers)</f>
        <v>2.0395434744193332E-2</v>
      </c>
      <c r="S445" s="345">
        <f t="shared" si="8"/>
        <v>2.9575765760678566E-4</v>
      </c>
    </row>
    <row r="446" spans="5:19" ht="11.25" customHeight="1" x14ac:dyDescent="0.2">
      <c r="E446" s="254"/>
      <c r="F446" s="254"/>
      <c r="G446" s="39"/>
      <c r="J446" s="39"/>
      <c r="K446" s="39"/>
      <c r="M446" s="346">
        <f>_xll.qlCalendarAdvance(Calendar,M445,"1M","f",,Trigger)</f>
        <v>55794</v>
      </c>
      <c r="N446" s="344">
        <f>_xll.qlCalendarAdvance(Calendar,M446,"3M","mf",,Trigger)</f>
        <v>55886</v>
      </c>
      <c r="O446" s="40" t="str">
        <f>_xll.qlMakeDatedOIS(,M446,N446,OvernightIndex,0,,,,EvaluationDate)</f>
        <v>obj_007c4#0000</v>
      </c>
      <c r="P446" s="40" t="b">
        <f>_xll.qlInstrumentSetPricingEngine(O446,OisEngine)</f>
        <v>1</v>
      </c>
      <c r="Q446" s="38">
        <f>_xll.qlIndexFixing(Currency&amp;IborType&amp;"3M",_xll.qlInterestRateIndexFixingDate(Currency&amp;IborType&amp;"3M",M446),TRUE,AllTriggers)</f>
        <v>2.0671270522348417E-2</v>
      </c>
      <c r="R446" s="38">
        <f>_xll.qlOvernightIndexedSwapFairRate(O446,AllTriggers)</f>
        <v>2.0377375881259669E-2</v>
      </c>
      <c r="S446" s="345">
        <f t="shared" si="8"/>
        <v>2.9389464108874747E-4</v>
      </c>
    </row>
    <row r="447" spans="5:19" ht="11.25" customHeight="1" x14ac:dyDescent="0.2">
      <c r="E447" s="254"/>
      <c r="F447" s="254"/>
      <c r="G447" s="39"/>
      <c r="J447" s="39"/>
      <c r="K447" s="39"/>
      <c r="M447" s="346">
        <f>_xll.qlCalendarAdvance(Calendar,M446,"1M","f",,Trigger)</f>
        <v>55827</v>
      </c>
      <c r="N447" s="344">
        <f>_xll.qlCalendarAdvance(Calendar,M447,"3M","mf",,Trigger)</f>
        <v>55919</v>
      </c>
      <c r="O447" s="40" t="str">
        <f>_xll.qlMakeDatedOIS(,M447,N447,OvernightIndex,0,,,,EvaluationDate)</f>
        <v>obj_007c5#0000</v>
      </c>
      <c r="P447" s="40" t="b">
        <f>_xll.qlInstrumentSetPricingEngine(O447,OisEngine)</f>
        <v>1</v>
      </c>
      <c r="Q447" s="38">
        <f>_xll.qlIndexFixing(Currency&amp;IborType&amp;"3M",_xll.qlInterestRateIndexFixingDate(Currency&amp;IborType&amp;"3M",M447),TRUE,AllTriggers)</f>
        <v>2.0648513639407742E-2</v>
      </c>
      <c r="R447" s="38">
        <f>_xll.qlOvernightIndexedSwapFairRate(O447,AllTriggers)</f>
        <v>2.0356648070841168E-2</v>
      </c>
      <c r="S447" s="345">
        <f t="shared" si="8"/>
        <v>2.9186556856657456E-4</v>
      </c>
    </row>
    <row r="448" spans="5:19" ht="11.25" customHeight="1" x14ac:dyDescent="0.2">
      <c r="E448" s="254"/>
      <c r="F448" s="254"/>
      <c r="G448" s="39"/>
      <c r="J448" s="39"/>
      <c r="K448" s="39"/>
      <c r="M448" s="346">
        <f>_xll.qlCalendarAdvance(Calendar,M447,"1M","f",,Trigger)</f>
        <v>55857</v>
      </c>
      <c r="N448" s="344">
        <f>_xll.qlCalendarAdvance(Calendar,M448,"3M","mf",,Trigger)</f>
        <v>55947</v>
      </c>
      <c r="O448" s="40" t="str">
        <f>_xll.qlMakeDatedOIS(,M448,N448,OvernightIndex,0,,,,EvaluationDate)</f>
        <v>obj_007c6#0000</v>
      </c>
      <c r="P448" s="40" t="b">
        <f>_xll.qlInstrumentSetPricingEngine(O448,OisEngine)</f>
        <v>1</v>
      </c>
      <c r="Q448" s="38">
        <f>_xll.qlIndexFixing(Currency&amp;IborType&amp;"3M",_xll.qlInterestRateIndexFixingDate(Currency&amp;IborType&amp;"3M",M448),TRUE,AllTriggers)</f>
        <v>2.062685932429531E-2</v>
      </c>
      <c r="R448" s="38">
        <f>_xll.qlOvernightIndexedSwapFairRate(O448,AllTriggers)</f>
        <v>2.0336805665706947E-2</v>
      </c>
      <c r="S448" s="345">
        <f t="shared" si="8"/>
        <v>2.9005365858836285E-4</v>
      </c>
    </row>
    <row r="449" spans="5:19" ht="11.25" customHeight="1" x14ac:dyDescent="0.2">
      <c r="E449" s="254"/>
      <c r="F449" s="254"/>
      <c r="G449" s="39"/>
      <c r="J449" s="39"/>
      <c r="K449" s="39"/>
      <c r="M449" s="346">
        <f>_xll.qlCalendarAdvance(Calendar,M448,"1M","f",,Trigger)</f>
        <v>55890</v>
      </c>
      <c r="N449" s="344">
        <f>_xll.qlCalendarAdvance(Calendar,M449,"3M","mf",,Trigger)</f>
        <v>55982</v>
      </c>
      <c r="O449" s="40" t="str">
        <f>_xll.qlMakeDatedOIS(,M449,N449,OvernightIndex,0,,,,EvaluationDate)</f>
        <v>obj_007c7#0000</v>
      </c>
      <c r="P449" s="40" t="b">
        <f>_xll.qlInstrumentSetPricingEngine(O449,OisEngine)</f>
        <v>1</v>
      </c>
      <c r="Q449" s="38">
        <f>_xll.qlIndexFixing(Currency&amp;IborType&amp;"3M",_xll.qlInterestRateIndexFixingDate(Currency&amp;IborType&amp;"3M",M449),TRUE,AllTriggers)</f>
        <v>2.0603440173170093E-2</v>
      </c>
      <c r="R449" s="38">
        <f>_xll.qlOvernightIndexedSwapFairRate(O449,AllTriggers)</f>
        <v>2.031543413548971E-2</v>
      </c>
      <c r="S449" s="345">
        <f t="shared" si="8"/>
        <v>2.8800603768038349E-4</v>
      </c>
    </row>
    <row r="450" spans="5:19" ht="11.25" customHeight="1" x14ac:dyDescent="0.2">
      <c r="E450" s="254"/>
      <c r="F450" s="254"/>
      <c r="G450" s="39"/>
      <c r="J450" s="39"/>
      <c r="K450" s="39"/>
      <c r="M450" s="346">
        <f>_xll.qlCalendarAdvance(Calendar,M449,"1M","f",,Trigger)</f>
        <v>55921</v>
      </c>
      <c r="N450" s="344">
        <f>_xll.qlCalendarAdvance(Calendar,M450,"3M","mf",,Trigger)</f>
        <v>56010</v>
      </c>
      <c r="O450" s="40" t="str">
        <f>_xll.qlMakeDatedOIS(,M450,N450,OvernightIndex,0,,,,EvaluationDate)</f>
        <v>obj_007c9#0000</v>
      </c>
      <c r="P450" s="40" t="b">
        <f>_xll.qlInstrumentSetPricingEngine(O450,OisEngine)</f>
        <v>1</v>
      </c>
      <c r="Q450" s="38">
        <f>_xll.qlIndexFixing(Currency&amp;IborType&amp;"3M",_xll.qlInterestRateIndexFixingDate(Currency&amp;IborType&amp;"3M",M450),TRUE,AllTriggers)</f>
        <v>2.0579849969033302E-2</v>
      </c>
      <c r="R450" s="38">
        <f>_xll.qlOvernightIndexedSwapFairRate(O450,AllTriggers)</f>
        <v>2.0293693506253513E-2</v>
      </c>
      <c r="S450" s="345">
        <f t="shared" si="8"/>
        <v>2.861564627797894E-4</v>
      </c>
    </row>
    <row r="451" spans="5:19" ht="11.25" customHeight="1" x14ac:dyDescent="0.2">
      <c r="E451" s="254"/>
      <c r="F451" s="254"/>
      <c r="G451" s="39"/>
      <c r="J451" s="39"/>
      <c r="K451" s="39"/>
      <c r="M451" s="346">
        <f>_xll.qlCalendarAdvance(Calendar,M450,"1M","f",,Trigger)</f>
        <v>55949</v>
      </c>
      <c r="N451" s="344">
        <f>_xll.qlCalendarAdvance(Calendar,M451,"3M","mf",,Trigger)</f>
        <v>56041</v>
      </c>
      <c r="O451" s="40" t="str">
        <f>_xll.qlMakeDatedOIS(,M451,N451,OvernightIndex,0,,,,EvaluationDate)</f>
        <v>obj_007cb#0000</v>
      </c>
      <c r="P451" s="40" t="b">
        <f>_xll.qlInstrumentSetPricingEngine(O451,OisEngine)</f>
        <v>1</v>
      </c>
      <c r="Q451" s="38">
        <f>_xll.qlIndexFixing(Currency&amp;IborType&amp;"3M",_xll.qlInterestRateIndexFixingDate(Currency&amp;IborType&amp;"3M",M451),TRUE,AllTriggers)</f>
        <v>2.0559290407876872E-2</v>
      </c>
      <c r="R451" s="38">
        <f>_xll.qlOvernightIndexedSwapFairRate(O451,AllTriggers)</f>
        <v>2.0274882003108934E-2</v>
      </c>
      <c r="S451" s="345">
        <f t="shared" ref="S451:S514" si="9">Q451-R451</f>
        <v>2.844084047679378E-4</v>
      </c>
    </row>
    <row r="452" spans="5:19" ht="11.25" customHeight="1" x14ac:dyDescent="0.2">
      <c r="E452" s="254"/>
      <c r="F452" s="254"/>
      <c r="G452" s="39"/>
      <c r="J452" s="39"/>
      <c r="K452" s="39"/>
      <c r="M452" s="346">
        <f>_xll.qlCalendarAdvance(Calendar,M451,"1M","f",,Trigger)</f>
        <v>55982</v>
      </c>
      <c r="N452" s="344">
        <f>_xll.qlCalendarAdvance(Calendar,M452,"3M","mf",,Trigger)</f>
        <v>56073</v>
      </c>
      <c r="O452" s="40" t="str">
        <f>_xll.qlMakeDatedOIS(,M452,N452,OvernightIndex,0,,,,EvaluationDate)</f>
        <v>obj_007cc#0000</v>
      </c>
      <c r="P452" s="40" t="b">
        <f>_xll.qlInstrumentSetPricingEngine(O452,OisEngine)</f>
        <v>1</v>
      </c>
      <c r="Q452" s="38">
        <f>_xll.qlIndexFixing(Currency&amp;IborType&amp;"3M",_xll.qlInterestRateIndexFixingDate(Currency&amp;IborType&amp;"3M",M452),TRUE,AllTriggers)</f>
        <v>2.0533589456286631E-2</v>
      </c>
      <c r="R452" s="38">
        <f>_xll.qlOvernightIndexedSwapFairRate(O452,AllTriggers)</f>
        <v>2.0251171828642275E-2</v>
      </c>
      <c r="S452" s="345">
        <f t="shared" si="9"/>
        <v>2.8241762764435671E-4</v>
      </c>
    </row>
    <row r="453" spans="5:19" ht="11.25" customHeight="1" x14ac:dyDescent="0.2">
      <c r="E453" s="254"/>
      <c r="F453" s="254"/>
      <c r="G453" s="39"/>
      <c r="J453" s="39"/>
      <c r="K453" s="39"/>
      <c r="M453" s="346">
        <f>_xll.qlCalendarAdvance(Calendar,M452,"1M","f",,Trigger)</f>
        <v>56012</v>
      </c>
      <c r="N453" s="344">
        <f>_xll.qlCalendarAdvance(Calendar,M453,"3M","mf",,Trigger)</f>
        <v>56104</v>
      </c>
      <c r="O453" s="40" t="str">
        <f>_xll.qlMakeDatedOIS(,M453,N453,OvernightIndex,0,,,,EvaluationDate)</f>
        <v>obj_007cd#0000</v>
      </c>
      <c r="P453" s="40" t="b">
        <f>_xll.qlInstrumentSetPricingEngine(O453,OisEngine)</f>
        <v>1</v>
      </c>
      <c r="Q453" s="38">
        <f>_xll.qlIndexFixing(Currency&amp;IborType&amp;"3M",_xll.qlInterestRateIndexFixingDate(Currency&amp;IborType&amp;"3M",M453),TRUE,AllTriggers)</f>
        <v>2.0510078007520308E-2</v>
      </c>
      <c r="R453" s="38">
        <f>_xll.qlOvernightIndexedSwapFairRate(O453,AllTriggers)</f>
        <v>2.0229493146971873E-2</v>
      </c>
      <c r="S453" s="345">
        <f t="shared" si="9"/>
        <v>2.8058486054843498E-4</v>
      </c>
    </row>
    <row r="454" spans="5:19" ht="11.25" customHeight="1" x14ac:dyDescent="0.2">
      <c r="E454" s="254"/>
      <c r="F454" s="254"/>
      <c r="G454" s="39"/>
      <c r="J454" s="39"/>
      <c r="K454" s="39"/>
      <c r="M454" s="346">
        <f>_xll.qlCalendarAdvance(Calendar,M453,"1M","f",,Trigger)</f>
        <v>56044</v>
      </c>
      <c r="N454" s="344">
        <f>_xll.qlCalendarAdvance(Calendar,M454,"3M","mf",,Trigger)</f>
        <v>56136</v>
      </c>
      <c r="O454" s="40" t="str">
        <f>_xll.qlMakeDatedOIS(,M454,N454,OvernightIndex,0,,,,EvaluationDate)</f>
        <v>obj_007cf#0000</v>
      </c>
      <c r="P454" s="40" t="b">
        <f>_xll.qlInstrumentSetPricingEngine(O454,OisEngine)</f>
        <v>1</v>
      </c>
      <c r="Q454" s="38">
        <f>_xll.qlIndexFixing(Currency&amp;IborType&amp;"3M",_xll.qlInterestRateIndexFixingDate(Currency&amp;IborType&amp;"3M",M454),TRUE,AllTriggers)</f>
        <v>2.0484262747487183E-2</v>
      </c>
      <c r="R454" s="38">
        <f>_xll.qlOvernightIndexedSwapFairRate(O454,AllTriggers)</f>
        <v>2.0205612885034419E-2</v>
      </c>
      <c r="S454" s="345">
        <f t="shared" si="9"/>
        <v>2.7864986245276432E-4</v>
      </c>
    </row>
    <row r="455" spans="5:19" ht="11.25" customHeight="1" x14ac:dyDescent="0.2">
      <c r="E455" s="254"/>
      <c r="F455" s="254"/>
      <c r="G455" s="39"/>
      <c r="J455" s="39"/>
      <c r="K455" s="39"/>
      <c r="M455" s="346">
        <f>_xll.qlCalendarAdvance(Calendar,M454,"1M","f",,Trigger)</f>
        <v>56074</v>
      </c>
      <c r="N455" s="344">
        <f>_xll.qlCalendarAdvance(Calendar,M455,"3M","mf",,Trigger)</f>
        <v>56166</v>
      </c>
      <c r="O455" s="40" t="str">
        <f>_xll.qlMakeDatedOIS(,M455,N455,OvernightIndex,0,,,,EvaluationDate)</f>
        <v>obj_007d1#0000</v>
      </c>
      <c r="P455" s="40" t="b">
        <f>_xll.qlInstrumentSetPricingEngine(O455,OisEngine)</f>
        <v>1</v>
      </c>
      <c r="Q455" s="38">
        <f>_xll.qlIndexFixing(Currency&amp;IborType&amp;"3M",_xll.qlInterestRateIndexFixingDate(Currency&amp;IborType&amp;"3M",M455),TRUE,AllTriggers)</f>
        <v>2.0459560170241708E-2</v>
      </c>
      <c r="R455" s="38">
        <f>_xll.qlOvernightIndexedSwapFairRate(O455,AllTriggers)</f>
        <v>2.0182720011569677E-2</v>
      </c>
      <c r="S455" s="345">
        <f t="shared" si="9"/>
        <v>2.7684015867203079E-4</v>
      </c>
    </row>
    <row r="456" spans="5:19" ht="11.25" customHeight="1" x14ac:dyDescent="0.2">
      <c r="E456" s="254"/>
      <c r="F456" s="254"/>
      <c r="G456" s="39"/>
      <c r="J456" s="39"/>
      <c r="K456" s="39"/>
      <c r="M456" s="346">
        <f>_xll.qlCalendarAdvance(Calendar,M455,"1M","f",,Trigger)</f>
        <v>56107</v>
      </c>
      <c r="N456" s="344">
        <f>_xll.qlCalendarAdvance(Calendar,M456,"3M","mf",,Trigger)</f>
        <v>56199</v>
      </c>
      <c r="O456" s="40" t="str">
        <f>_xll.qlMakeDatedOIS(,M456,N456,OvernightIndex,0,,,,EvaluationDate)</f>
        <v>obj_007d2#0000</v>
      </c>
      <c r="P456" s="40" t="b">
        <f>_xll.qlInstrumentSetPricingEngine(O456,OisEngine)</f>
        <v>1</v>
      </c>
      <c r="Q456" s="38">
        <f>_xll.qlIndexFixing(Currency&amp;IborType&amp;"3M",_xll.qlInterestRateIndexFixingDate(Currency&amp;IborType&amp;"3M",M456),TRUE,AllTriggers)</f>
        <v>2.0431827613695722E-2</v>
      </c>
      <c r="R456" s="38">
        <f>_xll.qlOvernightIndexedSwapFairRate(O456,AllTriggers)</f>
        <v>2.0156973258529678E-2</v>
      </c>
      <c r="S456" s="345">
        <f t="shared" si="9"/>
        <v>2.7485435516604387E-4</v>
      </c>
    </row>
    <row r="457" spans="5:19" ht="11.25" customHeight="1" x14ac:dyDescent="0.2">
      <c r="E457" s="254"/>
      <c r="F457" s="254"/>
      <c r="G457" s="39"/>
      <c r="J457" s="39"/>
      <c r="K457" s="39"/>
      <c r="M457" s="346">
        <f>_xll.qlCalendarAdvance(Calendar,M456,"1M","f",,Trigger)</f>
        <v>56138</v>
      </c>
      <c r="N457" s="344">
        <f>_xll.qlCalendarAdvance(Calendar,M457,"3M","mf",,Trigger)</f>
        <v>56229</v>
      </c>
      <c r="O457" s="40" t="str">
        <f>_xll.qlMakeDatedOIS(,M457,N457,OvernightIndex,0,,,,EvaluationDate)</f>
        <v>obj_00871#0000</v>
      </c>
      <c r="P457" s="40" t="b">
        <f>_xll.qlInstrumentSetPricingEngine(O457,OisEngine)</f>
        <v>1</v>
      </c>
      <c r="Q457" s="38">
        <f>_xll.qlIndexFixing(Currency&amp;IborType&amp;"3M",_xll.qlInterestRateIndexFixingDate(Currency&amp;IborType&amp;"3M",M457),TRUE,AllTriggers)</f>
        <v>2.0405101393392237E-2</v>
      </c>
      <c r="R457" s="38">
        <f>_xll.qlOvernightIndexedSwapFairRate(O457,AllTriggers)</f>
        <v>2.0132093231563626E-2</v>
      </c>
      <c r="S457" s="345">
        <f t="shared" si="9"/>
        <v>2.7300816182861121E-4</v>
      </c>
    </row>
    <row r="458" spans="5:19" ht="11.25" customHeight="1" x14ac:dyDescent="0.2">
      <c r="E458" s="254"/>
      <c r="F458" s="254"/>
      <c r="G458" s="39"/>
      <c r="J458" s="39"/>
      <c r="K458" s="39"/>
      <c r="M458" s="346">
        <f>_xll.qlCalendarAdvance(Calendar,M457,"1M","f",,Trigger)</f>
        <v>56170</v>
      </c>
      <c r="N458" s="344">
        <f>_xll.qlCalendarAdvance(Calendar,M458,"3M","mf",,Trigger)</f>
        <v>56262</v>
      </c>
      <c r="O458" s="40" t="str">
        <f>_xll.qlMakeDatedOIS(,M458,N458,OvernightIndex,0,,,,EvaluationDate)</f>
        <v>obj_007d4#0000</v>
      </c>
      <c r="P458" s="40" t="b">
        <f>_xll.qlInstrumentSetPricingEngine(O458,OisEngine)</f>
        <v>1</v>
      </c>
      <c r="Q458" s="38">
        <f>_xll.qlIndexFixing(Currency&amp;IborType&amp;"3M",_xll.qlInterestRateIndexFixingDate(Currency&amp;IborType&amp;"3M",M458),TRUE,AllTriggers)</f>
        <v>2.0377255405239204E-2</v>
      </c>
      <c r="R458" s="38">
        <f>_xll.qlOvernightIndexedSwapFairRate(O458,AllTriggers)</f>
        <v>2.0106177957541674E-2</v>
      </c>
      <c r="S458" s="345">
        <f t="shared" si="9"/>
        <v>2.7107744769752987E-4</v>
      </c>
    </row>
    <row r="459" spans="5:19" ht="11.25" customHeight="1" x14ac:dyDescent="0.2">
      <c r="E459" s="254"/>
      <c r="F459" s="254"/>
      <c r="G459" s="39"/>
      <c r="J459" s="39"/>
      <c r="K459" s="39"/>
      <c r="M459" s="346">
        <f>_xll.qlCalendarAdvance(Calendar,M458,"1M","f",,Trigger)</f>
        <v>56201</v>
      </c>
      <c r="N459" s="344">
        <f>_xll.qlCalendarAdvance(Calendar,M459,"3M","mf",,Trigger)</f>
        <v>56293</v>
      </c>
      <c r="O459" s="40" t="str">
        <f>_xll.qlMakeDatedOIS(,M459,N459,OvernightIndex,0,,,,EvaluationDate)</f>
        <v>obj_009ed#0000</v>
      </c>
      <c r="P459" s="40" t="b">
        <f>_xll.qlInstrumentSetPricingEngine(O459,OisEngine)</f>
        <v>1</v>
      </c>
      <c r="Q459" s="38">
        <f>_xll.qlIndexFixing(Currency&amp;IborType&amp;"3M",_xll.qlInterestRateIndexFixingDate(Currency&amp;IborType&amp;"3M",M459),TRUE,AllTriggers)</f>
        <v>2.0349617931377555E-2</v>
      </c>
      <c r="R459" s="38">
        <f>_xll.qlOvernightIndexedSwapFairRate(O459,AllTriggers)</f>
        <v>2.008039213239873E-2</v>
      </c>
      <c r="S459" s="345">
        <f t="shared" si="9"/>
        <v>2.6922579897882548E-4</v>
      </c>
    </row>
    <row r="460" spans="5:19" ht="11.25" customHeight="1" x14ac:dyDescent="0.2">
      <c r="E460" s="254"/>
      <c r="F460" s="254"/>
      <c r="G460" s="39"/>
      <c r="J460" s="39"/>
      <c r="K460" s="39"/>
      <c r="M460" s="346">
        <f>_xll.qlCalendarAdvance(Calendar,M459,"1M","f",,Trigger)</f>
        <v>56233</v>
      </c>
      <c r="N460" s="344">
        <f>_xll.qlCalendarAdvance(Calendar,M460,"3M","mf",,Trigger)</f>
        <v>56324</v>
      </c>
      <c r="O460" s="40" t="str">
        <f>_xll.qlMakeDatedOIS(,M460,N460,OvernightIndex,0,,,,EvaluationDate)</f>
        <v>obj_007d6#0000</v>
      </c>
      <c r="P460" s="40" t="b">
        <f>_xll.qlInstrumentSetPricingEngine(O460,OisEngine)</f>
        <v>1</v>
      </c>
      <c r="Q460" s="38">
        <f>_xll.qlIndexFixing(Currency&amp;IborType&amp;"3M",_xll.qlInterestRateIndexFixingDate(Currency&amp;IborType&amp;"3M",M460),TRUE,AllTriggers)</f>
        <v>2.0320436272009943E-2</v>
      </c>
      <c r="R460" s="38">
        <f>_xll.qlOvernightIndexedSwapFairRate(O460,AllTriggers)</f>
        <v>2.0053102360419361E-2</v>
      </c>
      <c r="S460" s="345">
        <f t="shared" si="9"/>
        <v>2.6733391159058234E-4</v>
      </c>
    </row>
    <row r="461" spans="5:19" ht="11.25" customHeight="1" x14ac:dyDescent="0.2">
      <c r="E461" s="254"/>
      <c r="F461" s="254"/>
      <c r="G461" s="39"/>
      <c r="J461" s="39"/>
      <c r="K461" s="39"/>
      <c r="M461" s="346">
        <f>_xll.qlCalendarAdvance(Calendar,M460,"1M","f",,Trigger)</f>
        <v>56264</v>
      </c>
      <c r="N461" s="344">
        <f>_xll.qlCalendarAdvance(Calendar,M461,"3M","mf",,Trigger)</f>
        <v>56354</v>
      </c>
      <c r="O461" s="40" t="str">
        <f>_xll.qlMakeDatedOIS(,M461,N461,OvernightIndex,0,,,,EvaluationDate)</f>
        <v>obj_007d7#0000</v>
      </c>
      <c r="P461" s="40" t="b">
        <f>_xll.qlInstrumentSetPricingEngine(O461,OisEngine)</f>
        <v>1</v>
      </c>
      <c r="Q461" s="38">
        <f>_xll.qlIndexFixing(Currency&amp;IborType&amp;"3M",_xll.qlInterestRateIndexFixingDate(Currency&amp;IborType&amp;"3M",M461),TRUE,AllTriggers)</f>
        <v>2.0291657066324298E-2</v>
      </c>
      <c r="R461" s="38">
        <f>_xll.qlOvernightIndexedSwapFairRate(O461,AllTriggers)</f>
        <v>2.0026150780522833E-2</v>
      </c>
      <c r="S461" s="345">
        <f t="shared" si="9"/>
        <v>2.6550628580146451E-4</v>
      </c>
    </row>
    <row r="462" spans="5:19" ht="11.25" customHeight="1" x14ac:dyDescent="0.2">
      <c r="E462" s="254"/>
      <c r="F462" s="254"/>
      <c r="G462" s="39"/>
      <c r="J462" s="39"/>
      <c r="K462" s="39"/>
      <c r="M462" s="346">
        <f>_xll.qlCalendarAdvance(Calendar,M461,"1M","f",,Trigger)</f>
        <v>56296</v>
      </c>
      <c r="N462" s="344">
        <f>_xll.qlCalendarAdvance(Calendar,M462,"3M","mf",,Trigger)</f>
        <v>56387</v>
      </c>
      <c r="O462" s="40" t="str">
        <f>_xll.qlMakeDatedOIS(,M462,N462,OvernightIndex,0,,,,EvaluationDate)</f>
        <v>obj_007d9#0000</v>
      </c>
      <c r="P462" s="40" t="b">
        <f>_xll.qlInstrumentSetPricingEngine(O462,OisEngine)</f>
        <v>1</v>
      </c>
      <c r="Q462" s="38">
        <f>_xll.qlIndexFixing(Currency&amp;IborType&amp;"3M",_xll.qlInterestRateIndexFixingDate(Currency&amp;IborType&amp;"3M",M462),TRUE,AllTriggers)</f>
        <v>2.0261610450921806E-2</v>
      </c>
      <c r="R462" s="38">
        <f>_xll.qlOvernightIndexedSwapFairRate(O462,AllTriggers)</f>
        <v>1.9998016127991056E-2</v>
      </c>
      <c r="S462" s="345">
        <f t="shared" si="9"/>
        <v>2.6359432293075052E-4</v>
      </c>
    </row>
    <row r="463" spans="5:19" ht="11.25" customHeight="1" x14ac:dyDescent="0.2">
      <c r="E463" s="254"/>
      <c r="F463" s="254"/>
      <c r="G463" s="39"/>
      <c r="J463" s="39"/>
      <c r="K463" s="39"/>
      <c r="M463" s="346">
        <f>_xll.qlCalendarAdvance(Calendar,M462,"1M","f",,Trigger)</f>
        <v>56324</v>
      </c>
      <c r="N463" s="344">
        <f>_xll.qlCalendarAdvance(Calendar,M463,"3M","mf",,Trigger)</f>
        <v>56416</v>
      </c>
      <c r="O463" s="40" t="str">
        <f>_xll.qlMakeDatedOIS(,M463,N463,OvernightIndex,0,,,,EvaluationDate)</f>
        <v>obj_007da#0000</v>
      </c>
      <c r="P463" s="40" t="b">
        <f>_xll.qlInstrumentSetPricingEngine(O463,OisEngine)</f>
        <v>1</v>
      </c>
      <c r="Q463" s="38">
        <f>_xll.qlIndexFixing(Currency&amp;IborType&amp;"3M",_xll.qlInterestRateIndexFixingDate(Currency&amp;IborType&amp;"3M",M463),TRUE,AllTriggers)</f>
        <v>2.0234860415678745E-2</v>
      </c>
      <c r="R463" s="38">
        <f>_xll.qlOvernightIndexedSwapFairRate(O463,AllTriggers)</f>
        <v>1.9972937071774461E-2</v>
      </c>
      <c r="S463" s="345">
        <f t="shared" si="9"/>
        <v>2.6192334390428423E-4</v>
      </c>
    </row>
    <row r="464" spans="5:19" ht="11.25" customHeight="1" x14ac:dyDescent="0.2">
      <c r="E464" s="254"/>
      <c r="F464" s="254"/>
      <c r="G464" s="39"/>
      <c r="J464" s="39"/>
      <c r="K464" s="39"/>
      <c r="M464" s="346">
        <f>_xll.qlCalendarAdvance(Calendar,M463,"1M","f",,Trigger)</f>
        <v>56355</v>
      </c>
      <c r="N464" s="344">
        <f>_xll.qlCalendarAdvance(Calendar,M464,"3M","mf",,Trigger)</f>
        <v>56446</v>
      </c>
      <c r="O464" s="40" t="str">
        <f>_xll.qlMakeDatedOIS(,M464,N464,OvernightIndex,0,,,,EvaluationDate)</f>
        <v>obj_007dc#0000</v>
      </c>
      <c r="P464" s="40" t="b">
        <f>_xll.qlInstrumentSetPricingEngine(O464,OisEngine)</f>
        <v>1</v>
      </c>
      <c r="Q464" s="38">
        <f>_xll.qlIndexFixing(Currency&amp;IborType&amp;"3M",_xll.qlInterestRateIndexFixingDate(Currency&amp;IborType&amp;"3M",M464),TRUE,AllTriggers)</f>
        <v>2.0204582100025695E-2</v>
      </c>
      <c r="R464" s="38">
        <f>_xll.qlOvernightIndexedSwapFairRate(O464,AllTriggers)</f>
        <v>1.9944473051787967E-2</v>
      </c>
      <c r="S464" s="345">
        <f t="shared" si="9"/>
        <v>2.6010904823772774E-4</v>
      </c>
    </row>
    <row r="465" spans="5:19" ht="11.25" customHeight="1" x14ac:dyDescent="0.2">
      <c r="E465" s="254"/>
      <c r="F465" s="254"/>
      <c r="G465" s="39"/>
      <c r="J465" s="39"/>
      <c r="K465" s="39"/>
      <c r="M465" s="346">
        <f>_xll.qlCalendarAdvance(Calendar,M464,"1M","f",,Trigger)</f>
        <v>56387</v>
      </c>
      <c r="N465" s="344">
        <f>_xll.qlCalendarAdvance(Calendar,M465,"3M","mf",,Trigger)</f>
        <v>56479</v>
      </c>
      <c r="O465" s="40" t="str">
        <f>_xll.qlMakeDatedOIS(,M465,N465,OvernightIndex,0,,,,EvaluationDate)</f>
        <v>obj_007dd#0000</v>
      </c>
      <c r="P465" s="40" t="b">
        <f>_xll.qlInstrumentSetPricingEngine(O465,OisEngine)</f>
        <v>1</v>
      </c>
      <c r="Q465" s="38">
        <f>_xll.qlIndexFixing(Currency&amp;IborType&amp;"3M",_xll.qlInterestRateIndexFixingDate(Currency&amp;IborType&amp;"3M",M465),TRUE,AllTriggers)</f>
        <v>2.0172927874977667E-2</v>
      </c>
      <c r="R465" s="38">
        <f>_xll.qlOvernightIndexedSwapFairRate(O465,AllTriggers)</f>
        <v>1.9914717331294567E-2</v>
      </c>
      <c r="S465" s="345">
        <f t="shared" si="9"/>
        <v>2.5821054368310031E-4</v>
      </c>
    </row>
    <row r="466" spans="5:19" ht="11.25" customHeight="1" x14ac:dyDescent="0.2">
      <c r="E466" s="254"/>
      <c r="F466" s="254"/>
      <c r="G466" s="39"/>
      <c r="J466" s="39"/>
      <c r="K466" s="39"/>
      <c r="M466" s="346">
        <f>_xll.qlCalendarAdvance(Calendar,M465,"1M","f",,Trigger)</f>
        <v>56418</v>
      </c>
      <c r="N466" s="344">
        <f>_xll.qlCalendarAdvance(Calendar,M466,"3M","mf",,Trigger)</f>
        <v>56510</v>
      </c>
      <c r="O466" s="40" t="str">
        <f>_xll.qlMakeDatedOIS(,M466,N466,OvernightIndex,0,,,,EvaluationDate)</f>
        <v>obj_007df#0000</v>
      </c>
      <c r="P466" s="40" t="b">
        <f>_xll.qlInstrumentSetPricingEngine(O466,OisEngine)</f>
        <v>1</v>
      </c>
      <c r="Q466" s="38">
        <f>_xll.qlIndexFixing(Currency&amp;IborType&amp;"3M",_xll.qlInterestRateIndexFixingDate(Currency&amp;IborType&amp;"3M",M466),TRUE,AllTriggers)</f>
        <v>2.0141668771863006E-2</v>
      </c>
      <c r="R466" s="38">
        <f>_xll.qlOvernightIndexedSwapFairRate(O466,AllTriggers)</f>
        <v>1.9885278325352012E-2</v>
      </c>
      <c r="S466" s="345">
        <f t="shared" si="9"/>
        <v>2.5639044651099355E-4</v>
      </c>
    </row>
    <row r="467" spans="5:19" ht="11.25" customHeight="1" x14ac:dyDescent="0.2">
      <c r="E467" s="254"/>
      <c r="F467" s="254"/>
      <c r="G467" s="39"/>
      <c r="J467" s="39"/>
      <c r="K467" s="39"/>
      <c r="M467" s="346">
        <f>_xll.qlCalendarAdvance(Calendar,M466,"1M","f",,Trigger)</f>
        <v>56450</v>
      </c>
      <c r="N467" s="344">
        <f>_xll.qlCalendarAdvance(Calendar,M467,"3M","mf",,Trigger)</f>
        <v>56542</v>
      </c>
      <c r="O467" s="40" t="str">
        <f>_xll.qlMakeDatedOIS(,M467,N467,OvernightIndex,0,,,,EvaluationDate)</f>
        <v>obj_007e0#0000</v>
      </c>
      <c r="P467" s="40" t="b">
        <f>_xll.qlInstrumentSetPricingEngine(O467,OisEngine)</f>
        <v>1</v>
      </c>
      <c r="Q467" s="38">
        <f>_xll.qlIndexFixing(Currency&amp;IborType&amp;"3M",_xll.qlInterestRateIndexFixingDate(Currency&amp;IborType&amp;"3M",M467),TRUE,AllTriggers)</f>
        <v>2.0108858681682606E-2</v>
      </c>
      <c r="R467" s="38">
        <f>_xll.qlOvernightIndexedSwapFairRate(O467,AllTriggers)</f>
        <v>1.985434231472229E-2</v>
      </c>
      <c r="S467" s="345">
        <f t="shared" si="9"/>
        <v>2.5451636696031607E-4</v>
      </c>
    </row>
    <row r="468" spans="5:19" ht="11.25" customHeight="1" x14ac:dyDescent="0.2">
      <c r="E468" s="254"/>
      <c r="F468" s="254"/>
      <c r="G468" s="39"/>
      <c r="J468" s="39"/>
      <c r="K468" s="39"/>
      <c r="M468" s="346">
        <f>_xll.qlCalendarAdvance(Calendar,M467,"1M","f",,Trigger)</f>
        <v>56481</v>
      </c>
      <c r="N468" s="344">
        <f>_xll.qlCalendarAdvance(Calendar,M468,"3M","mf",,Trigger)</f>
        <v>56573</v>
      </c>
      <c r="O468" s="40" t="str">
        <f>_xll.qlMakeDatedOIS(,M468,N468,OvernightIndex,0,,,,EvaluationDate)</f>
        <v>obj_007e2#0000</v>
      </c>
      <c r="P468" s="40" t="b">
        <f>_xll.qlInstrumentSetPricingEngine(O468,OisEngine)</f>
        <v>1</v>
      </c>
      <c r="Q468" s="38">
        <f>_xll.qlIndexFixing(Currency&amp;IborType&amp;"3M",_xll.qlInterestRateIndexFixingDate(Currency&amp;IborType&amp;"3M",M468),TRUE,AllTriggers)</f>
        <v>2.0076564856506867E-2</v>
      </c>
      <c r="R468" s="38">
        <f>_xll.qlOvernightIndexedSwapFairRate(O468,AllTriggers)</f>
        <v>1.9823859212981222E-2</v>
      </c>
      <c r="S468" s="345">
        <f t="shared" si="9"/>
        <v>2.5270564352564487E-4</v>
      </c>
    </row>
    <row r="469" spans="5:19" ht="11.25" customHeight="1" x14ac:dyDescent="0.2">
      <c r="E469" s="254"/>
      <c r="F469" s="254"/>
      <c r="G469" s="39"/>
      <c r="J469" s="39"/>
      <c r="K469" s="39"/>
      <c r="M469" s="346">
        <f>_xll.qlCalendarAdvance(Calendar,M468,"1M","f",,Trigger)</f>
        <v>56513</v>
      </c>
      <c r="N469" s="344">
        <f>_xll.qlCalendarAdvance(Calendar,M469,"3M","mf",,Trigger)</f>
        <v>56604</v>
      </c>
      <c r="O469" s="40" t="str">
        <f>_xll.qlMakeDatedOIS(,M469,N469,OvernightIndex,0,,,,EvaluationDate)</f>
        <v>obj_007e3#0000</v>
      </c>
      <c r="P469" s="40" t="b">
        <f>_xll.qlInstrumentSetPricingEngine(O469,OisEngine)</f>
        <v>1</v>
      </c>
      <c r="Q469" s="38">
        <f>_xll.qlIndexFixing(Currency&amp;IborType&amp;"3M",_xll.qlInterestRateIndexFixingDate(Currency&amp;IborType&amp;"3M",M469),TRUE,AllTriggers)</f>
        <v>2.0042888822106239E-2</v>
      </c>
      <c r="R469" s="38">
        <f>_xll.qlOvernightIndexedSwapFairRate(O469,AllTriggers)</f>
        <v>1.9792029594801447E-2</v>
      </c>
      <c r="S469" s="345">
        <f t="shared" si="9"/>
        <v>2.5085922730479215E-4</v>
      </c>
    </row>
    <row r="470" spans="5:19" ht="11.25" customHeight="1" x14ac:dyDescent="0.2">
      <c r="E470" s="254"/>
      <c r="F470" s="254"/>
      <c r="G470" s="39"/>
      <c r="J470" s="39"/>
      <c r="K470" s="39"/>
      <c r="M470" s="346">
        <f>_xll.qlCalendarAdvance(Calendar,M469,"1M","f",,Trigger)</f>
        <v>56543</v>
      </c>
      <c r="N470" s="344">
        <f>_xll.qlCalendarAdvance(Calendar,M470,"3M","mf",,Trigger)</f>
        <v>56635</v>
      </c>
      <c r="O470" s="40" t="str">
        <f>_xll.qlMakeDatedOIS(,M470,N470,OvernightIndex,0,,,,EvaluationDate)</f>
        <v>obj_007e5#0000</v>
      </c>
      <c r="P470" s="40" t="b">
        <f>_xll.qlInstrumentSetPricingEngine(O470,OisEngine)</f>
        <v>1</v>
      </c>
      <c r="Q470" s="38">
        <f>_xll.qlIndexFixing(Currency&amp;IborType&amp;"3M",_xll.qlInterestRateIndexFixingDate(Currency&amp;IborType&amp;"3M",M470),TRUE,AllTriggers)</f>
        <v>2.0011400904728808E-2</v>
      </c>
      <c r="R470" s="38">
        <f>_xll.qlOvernightIndexedSwapFairRate(O470,AllTriggers)</f>
        <v>1.9762290963259266E-2</v>
      </c>
      <c r="S470" s="345">
        <f t="shared" si="9"/>
        <v>2.4910994146954205E-4</v>
      </c>
    </row>
    <row r="471" spans="5:19" ht="11.25" customHeight="1" x14ac:dyDescent="0.2">
      <c r="E471" s="254"/>
      <c r="F471" s="254"/>
      <c r="G471" s="39"/>
      <c r="J471" s="39"/>
      <c r="K471" s="39"/>
      <c r="M471" s="346">
        <f>_xll.qlCalendarAdvance(Calendar,M470,"1M","f",,Trigger)</f>
        <v>56576</v>
      </c>
      <c r="N471" s="344">
        <f>_xll.qlCalendarAdvance(Calendar,M471,"3M","mf",,Trigger)</f>
        <v>56668</v>
      </c>
      <c r="O471" s="40" t="str">
        <f>_xll.qlMakeDatedOIS(,M471,N471,OvernightIndex,0,,,,EvaluationDate)</f>
        <v>obj_007e6#0000</v>
      </c>
      <c r="P471" s="40" t="b">
        <f>_xll.qlInstrumentSetPricingEngine(O471,OisEngine)</f>
        <v>1</v>
      </c>
      <c r="Q471" s="38">
        <f>_xll.qlIndexFixing(Currency&amp;IborType&amp;"3M",_xll.qlInterestRateIndexFixingDate(Currency&amp;IborType&amp;"3M",M471),TRUE,AllTriggers)</f>
        <v>1.997708518505863E-2</v>
      </c>
      <c r="R471" s="38">
        <f>_xll.qlOvernightIndexedSwapFairRate(O471,AllTriggers)</f>
        <v>1.9729866555834166E-2</v>
      </c>
      <c r="S471" s="345">
        <f t="shared" si="9"/>
        <v>2.4721862922446464E-4</v>
      </c>
    </row>
    <row r="472" spans="5:19" ht="11.25" customHeight="1" x14ac:dyDescent="0.2">
      <c r="E472" s="254"/>
      <c r="F472" s="254"/>
      <c r="G472" s="39"/>
      <c r="J472" s="39"/>
      <c r="K472" s="39"/>
      <c r="M472" s="346">
        <f>_xll.qlCalendarAdvance(Calendar,M471,"1M","f",,Trigger)</f>
        <v>56606</v>
      </c>
      <c r="N472" s="344">
        <f>_xll.qlCalendarAdvance(Calendar,M472,"3M","mf",,Trigger)</f>
        <v>56696</v>
      </c>
      <c r="O472" s="40" t="str">
        <f>_xll.qlMakeDatedOIS(,M472,N472,OvernightIndex,0,,,,EvaluationDate)</f>
        <v>obj_00a0a#0000</v>
      </c>
      <c r="P472" s="40" t="b">
        <f>_xll.qlInstrumentSetPricingEngine(O472,OisEngine)</f>
        <v>1</v>
      </c>
      <c r="Q472" s="38">
        <f>_xll.qlIndexFixing(Currency&amp;IborType&amp;"3M",_xll.qlInterestRateIndexFixingDate(Currency&amp;IborType&amp;"3M",M472),TRUE,AllTriggers)</f>
        <v>1.9946223617806069E-2</v>
      </c>
      <c r="R472" s="38">
        <f>_xll.qlOvernightIndexedSwapFairRate(O472,AllTriggers)</f>
        <v>1.970067894239147E-2</v>
      </c>
      <c r="S472" s="345">
        <f t="shared" si="9"/>
        <v>2.4554467541459957E-4</v>
      </c>
    </row>
    <row r="473" spans="5:19" ht="11.25" customHeight="1" x14ac:dyDescent="0.2">
      <c r="E473" s="254"/>
      <c r="F473" s="254"/>
      <c r="G473" s="39"/>
      <c r="J473" s="39"/>
      <c r="K473" s="39"/>
      <c r="M473" s="346">
        <f>_xll.qlCalendarAdvance(Calendar,M472,"1M","f",,Trigger)</f>
        <v>56639</v>
      </c>
      <c r="N473" s="344">
        <f>_xll.qlCalendarAdvance(Calendar,M473,"3M","mf",,Trigger)</f>
        <v>56730</v>
      </c>
      <c r="O473" s="40" t="str">
        <f>_xll.qlMakeDatedOIS(,M473,N473,OvernightIndex,0,,,,EvaluationDate)</f>
        <v>obj_007e8#0000</v>
      </c>
      <c r="P473" s="40" t="b">
        <f>_xll.qlInstrumentSetPricingEngine(O473,OisEngine)</f>
        <v>1</v>
      </c>
      <c r="Q473" s="38">
        <f>_xll.qlIndexFixing(Currency&amp;IborType&amp;"3M",_xll.qlInterestRateIndexFixingDate(Currency&amp;IborType&amp;"3M",M473),TRUE,AllTriggers)</f>
        <v>1.9912885389567574E-2</v>
      </c>
      <c r="R473" s="38">
        <f>_xll.qlOvernightIndexedSwapFairRate(O473,AllTriggers)</f>
        <v>1.9669211332519358E-2</v>
      </c>
      <c r="S473" s="345">
        <f t="shared" si="9"/>
        <v>2.4367405704821612E-4</v>
      </c>
    </row>
    <row r="474" spans="5:19" ht="11.25" customHeight="1" x14ac:dyDescent="0.2">
      <c r="E474" s="254"/>
      <c r="F474" s="254"/>
      <c r="G474" s="39"/>
      <c r="J474" s="39"/>
      <c r="K474" s="39"/>
      <c r="M474" s="346">
        <f>_xll.qlCalendarAdvance(Calendar,M473,"1M","f",,Trigger)</f>
        <v>56670</v>
      </c>
      <c r="N474" s="344">
        <f>_xll.qlCalendarAdvance(Calendar,M474,"3M","mf",,Trigger)</f>
        <v>56759</v>
      </c>
      <c r="O474" s="40" t="str">
        <f>_xll.qlMakeDatedOIS(,M474,N474,OvernightIndex,0,,,,EvaluationDate)</f>
        <v>obj_007ea#0000</v>
      </c>
      <c r="P474" s="40" t="b">
        <f>_xll.qlInstrumentSetPricingEngine(O474,OisEngine)</f>
        <v>1</v>
      </c>
      <c r="Q474" s="38">
        <f>_xll.qlIndexFixing(Currency&amp;IborType&amp;"3M",_xll.qlInterestRateIndexFixingDate(Currency&amp;IborType&amp;"3M",M474),TRUE,AllTriggers)</f>
        <v>1.988186027662147E-2</v>
      </c>
      <c r="R474" s="38">
        <f>_xll.qlOvernightIndexedSwapFairRate(O474,AllTriggers)</f>
        <v>1.9639884082753731E-2</v>
      </c>
      <c r="S474" s="345">
        <f t="shared" si="9"/>
        <v>2.4197619386773922E-4</v>
      </c>
    </row>
    <row r="475" spans="5:19" ht="11.25" customHeight="1" x14ac:dyDescent="0.2">
      <c r="E475" s="254"/>
      <c r="F475" s="254"/>
      <c r="G475" s="39"/>
      <c r="J475" s="39"/>
      <c r="K475" s="39"/>
      <c r="M475" s="346">
        <f>_xll.qlCalendarAdvance(Calendar,M474,"1M","f",,Trigger)</f>
        <v>56698</v>
      </c>
      <c r="N475" s="344">
        <f>_xll.qlCalendarAdvance(Calendar,M475,"3M","mf",,Trigger)</f>
        <v>56790</v>
      </c>
      <c r="O475" s="40" t="str">
        <f>_xll.qlMakeDatedOIS(,M475,N475,OvernightIndex,0,,,,EvaluationDate)</f>
        <v>obj_007eb#0000</v>
      </c>
      <c r="P475" s="40" t="b">
        <f>_xll.qlInstrumentSetPricingEngine(O475,OisEngine)</f>
        <v>1</v>
      </c>
      <c r="Q475" s="38">
        <f>_xll.qlIndexFixing(Currency&amp;IborType&amp;"3M",_xll.qlInterestRateIndexFixingDate(Currency&amp;IborType&amp;"3M",M475),TRUE,AllTriggers)</f>
        <v>1.9854486262531612E-2</v>
      </c>
      <c r="R475" s="38">
        <f>_xll.qlOvernightIndexedSwapFairRate(O475,AllTriggers)</f>
        <v>1.9614098302420089E-2</v>
      </c>
      <c r="S475" s="345">
        <f t="shared" si="9"/>
        <v>2.4038796011152316E-4</v>
      </c>
    </row>
    <row r="476" spans="5:19" ht="11.25" customHeight="1" x14ac:dyDescent="0.2">
      <c r="E476" s="254"/>
      <c r="F476" s="254"/>
      <c r="G476" s="39"/>
      <c r="J476" s="39"/>
      <c r="K476" s="39"/>
      <c r="M476" s="346">
        <f>_xll.qlCalendarAdvance(Calendar,M475,"1M","f",,Trigger)</f>
        <v>56730</v>
      </c>
      <c r="N476" s="344">
        <f>_xll.qlCalendarAdvance(Calendar,M476,"3M","mf",,Trigger)</f>
        <v>56821</v>
      </c>
      <c r="O476" s="40" t="str">
        <f>_xll.qlMakeDatedOIS(,M476,N476,OvernightIndex,0,,,,EvaluationDate)</f>
        <v>obj_007ec#0000</v>
      </c>
      <c r="P476" s="40" t="b">
        <f>_xll.qlInstrumentSetPricingEngine(O476,OisEngine)</f>
        <v>1</v>
      </c>
      <c r="Q476" s="38">
        <f>_xll.qlIndexFixing(Currency&amp;IborType&amp;"3M",_xll.qlInterestRateIndexFixingDate(Currency&amp;IborType&amp;"3M",M476),TRUE,AllTriggers)</f>
        <v>1.9823375094924874E-2</v>
      </c>
      <c r="R476" s="38">
        <f>_xll.qlOvernightIndexedSwapFairRate(O476,AllTriggers)</f>
        <v>1.9584722656990159E-2</v>
      </c>
      <c r="S476" s="345">
        <f t="shared" si="9"/>
        <v>2.3865243793471519E-4</v>
      </c>
    </row>
    <row r="477" spans="5:19" ht="11.25" customHeight="1" x14ac:dyDescent="0.2">
      <c r="E477" s="254"/>
      <c r="F477" s="254"/>
      <c r="G477" s="39"/>
      <c r="J477" s="39"/>
      <c r="K477" s="39"/>
      <c r="M477" s="346">
        <f>_xll.qlCalendarAdvance(Calendar,M476,"1M","f",,Trigger)</f>
        <v>56760</v>
      </c>
      <c r="N477" s="344">
        <f>_xll.qlCalendarAdvance(Calendar,M477,"3M","mf",,Trigger)</f>
        <v>56852</v>
      </c>
      <c r="O477" s="40" t="str">
        <f>_xll.qlMakeDatedOIS(,M477,N477,OvernightIndex,0,,,,EvaluationDate)</f>
        <v>obj_007ed#0000</v>
      </c>
      <c r="P477" s="40" t="b">
        <f>_xll.qlInstrumentSetPricingEngine(O477,OisEngine)</f>
        <v>1</v>
      </c>
      <c r="Q477" s="38">
        <f>_xll.qlIndexFixing(Currency&amp;IborType&amp;"3M",_xll.qlInterestRateIndexFixingDate(Currency&amp;IborType&amp;"3M",M477),TRUE,AllTriggers)</f>
        <v>1.9794757801930709E-2</v>
      </c>
      <c r="R477" s="38">
        <f>_xll.qlOvernightIndexedSwapFairRate(O477,AllTriggers)</f>
        <v>1.9557743739655079E-2</v>
      </c>
      <c r="S477" s="345">
        <f t="shared" si="9"/>
        <v>2.3701406227562977E-4</v>
      </c>
    </row>
    <row r="478" spans="5:19" ht="11.25" customHeight="1" x14ac:dyDescent="0.2">
      <c r="E478" s="254"/>
      <c r="F478" s="254"/>
      <c r="G478" s="39"/>
      <c r="J478" s="39"/>
      <c r="K478" s="39"/>
      <c r="M478" s="346">
        <f>_xll.qlCalendarAdvance(Calendar,M477,"1M","f",,Trigger)</f>
        <v>56793</v>
      </c>
      <c r="N478" s="344">
        <f>_xll.qlCalendarAdvance(Calendar,M478,"3M","mf",,Trigger)</f>
        <v>56885</v>
      </c>
      <c r="O478" s="40" t="str">
        <f>_xll.qlMakeDatedOIS(,M478,N478,OvernightIndex,0,,,,EvaluationDate)</f>
        <v>obj_007ef#0000</v>
      </c>
      <c r="P478" s="40" t="b">
        <f>_xll.qlInstrumentSetPricingEngine(O478,OisEngine)</f>
        <v>1</v>
      </c>
      <c r="Q478" s="38">
        <f>_xll.qlIndexFixing(Currency&amp;IborType&amp;"3M",_xll.qlInterestRateIndexFixingDate(Currency&amp;IborType&amp;"3M",M478),TRUE,AllTriggers)</f>
        <v>1.976367468754572E-2</v>
      </c>
      <c r="R478" s="38">
        <f>_xll.qlOvernightIndexedSwapFairRate(O478,AllTriggers)</f>
        <v>1.9528429639784101E-2</v>
      </c>
      <c r="S478" s="345">
        <f t="shared" si="9"/>
        <v>2.3524504776161956E-4</v>
      </c>
    </row>
    <row r="479" spans="5:19" ht="11.25" customHeight="1" x14ac:dyDescent="0.2">
      <c r="E479" s="254"/>
      <c r="F479" s="254"/>
      <c r="G479" s="39"/>
      <c r="J479" s="39"/>
      <c r="K479" s="39"/>
      <c r="M479" s="346">
        <f>_xll.qlCalendarAdvance(Calendar,M478,"1M","f",,Trigger)</f>
        <v>56823</v>
      </c>
      <c r="N479" s="344">
        <f>_xll.qlCalendarAdvance(Calendar,M479,"3M","mf",,Trigger)</f>
        <v>56915</v>
      </c>
      <c r="O479" s="40" t="str">
        <f>_xll.qlMakeDatedOIS(,M479,N479,OvernightIndex,0,,,,EvaluationDate)</f>
        <v>obj_007f0#0000</v>
      </c>
      <c r="P479" s="40" t="b">
        <f>_xll.qlInstrumentSetPricingEngine(O479,OisEngine)</f>
        <v>1</v>
      </c>
      <c r="Q479" s="38">
        <f>_xll.qlIndexFixing(Currency&amp;IborType&amp;"3M",_xll.qlInterestRateIndexFixingDate(Currency&amp;IborType&amp;"3M",M479),TRUE,AllTriggers)</f>
        <v>1.9735844034359361E-2</v>
      </c>
      <c r="R479" s="38">
        <f>_xll.qlOvernightIndexedSwapFairRate(O479,AllTriggers)</f>
        <v>1.950219104405404E-2</v>
      </c>
      <c r="S479" s="345">
        <f t="shared" si="9"/>
        <v>2.3365299030532125E-4</v>
      </c>
    </row>
    <row r="480" spans="5:19" ht="11.25" customHeight="1" x14ac:dyDescent="0.2">
      <c r="E480" s="254"/>
      <c r="F480" s="254"/>
      <c r="G480" s="39"/>
      <c r="J480" s="39"/>
      <c r="K480" s="39"/>
      <c r="M480" s="346">
        <f>_xll.qlCalendarAdvance(Calendar,M479,"1M","f",,Trigger)</f>
        <v>56856</v>
      </c>
      <c r="N480" s="344">
        <f>_xll.qlCalendarAdvance(Calendar,M480,"3M","mf",,Trigger)</f>
        <v>56948</v>
      </c>
      <c r="O480" s="40" t="str">
        <f>_xll.qlMakeDatedOIS(,M480,N480,OvernightIndex,0,,,,EvaluationDate)</f>
        <v>obj_007f1#0000</v>
      </c>
      <c r="P480" s="40" t="b">
        <f>_xll.qlInstrumentSetPricingEngine(O480,OisEngine)</f>
        <v>1</v>
      </c>
      <c r="Q480" s="38">
        <f>_xll.qlIndexFixing(Currency&amp;IborType&amp;"3M",_xll.qlInterestRateIndexFixingDate(Currency&amp;IborType&amp;"3M",M480),TRUE,AllTriggers)</f>
        <v>1.9705699701111551E-2</v>
      </c>
      <c r="R480" s="38">
        <f>_xll.qlOvernightIndexedSwapFairRate(O480,AllTriggers)</f>
        <v>1.9473780223682086E-2</v>
      </c>
      <c r="S480" s="345">
        <f t="shared" si="9"/>
        <v>2.3191947742946459E-4</v>
      </c>
    </row>
    <row r="481" spans="5:19" ht="11.25" customHeight="1" x14ac:dyDescent="0.2">
      <c r="E481" s="254"/>
      <c r="F481" s="254"/>
      <c r="G481" s="39"/>
      <c r="J481" s="39"/>
      <c r="K481" s="39"/>
      <c r="M481" s="346">
        <f>_xll.qlCalendarAdvance(Calendar,M480,"1M","f",,Trigger)</f>
        <v>56887</v>
      </c>
      <c r="N481" s="344">
        <f>_xll.qlCalendarAdvance(Calendar,M481,"3M","mf",,Trigger)</f>
        <v>56978</v>
      </c>
      <c r="O481" s="40" t="str">
        <f>_xll.qlMakeDatedOIS(,M481,N481,OvernightIndex,0,,,,EvaluationDate)</f>
        <v>obj_007f3#0000</v>
      </c>
      <c r="P481" s="40" t="b">
        <f>_xll.qlInstrumentSetPricingEngine(O481,OisEngine)</f>
        <v>1</v>
      </c>
      <c r="Q481" s="38">
        <f>_xll.qlIndexFixing(Currency&amp;IborType&amp;"3M",_xll.qlInterestRateIndexFixingDate(Currency&amp;IborType&amp;"3M",M481),TRUE,AllTriggers)</f>
        <v>1.9677830224048905E-2</v>
      </c>
      <c r="R481" s="38">
        <f>_xll.qlOvernightIndexedSwapFairRate(O481,AllTriggers)</f>
        <v>1.9447414719976807E-2</v>
      </c>
      <c r="S481" s="345">
        <f t="shared" si="9"/>
        <v>2.3041550407209774E-4</v>
      </c>
    </row>
    <row r="482" spans="5:19" ht="11.25" customHeight="1" x14ac:dyDescent="0.2">
      <c r="E482" s="254"/>
      <c r="F482" s="254"/>
      <c r="G482" s="39"/>
      <c r="J482" s="39"/>
      <c r="K482" s="39"/>
      <c r="M482" s="346">
        <f>_xll.qlCalendarAdvance(Calendar,M481,"1M","f",,Trigger)</f>
        <v>56919</v>
      </c>
      <c r="N482" s="344">
        <f>_xll.qlCalendarAdvance(Calendar,M482,"3M","mf",,Trigger)</f>
        <v>57011</v>
      </c>
      <c r="O482" s="40" t="str">
        <f>_xll.qlMakeDatedOIS(,M482,N482,OvernightIndex,0,,,,EvaluationDate)</f>
        <v>obj_007f4#0000</v>
      </c>
      <c r="P482" s="40" t="b">
        <f>_xll.qlInstrumentSetPricingEngine(O482,OisEngine)</f>
        <v>1</v>
      </c>
      <c r="Q482" s="38">
        <f>_xll.qlIndexFixing(Currency&amp;IborType&amp;"3M",_xll.qlInterestRateIndexFixingDate(Currency&amp;IborType&amp;"3M",M482),TRUE,AllTriggers)</f>
        <v>1.9649516873138144E-2</v>
      </c>
      <c r="R482" s="38">
        <f>_xll.qlOvernightIndexedSwapFairRate(O482,AllTriggers)</f>
        <v>1.9420855195774911E-2</v>
      </c>
      <c r="S482" s="345">
        <f t="shared" si="9"/>
        <v>2.2866167736323301E-4</v>
      </c>
    </row>
    <row r="483" spans="5:19" ht="11.25" customHeight="1" x14ac:dyDescent="0.2">
      <c r="E483" s="254"/>
      <c r="F483" s="254"/>
      <c r="G483" s="39"/>
      <c r="J483" s="39"/>
      <c r="K483" s="39"/>
      <c r="M483" s="346">
        <f>_xll.qlCalendarAdvance(Calendar,M482,"1M","f",,Trigger)</f>
        <v>56949</v>
      </c>
      <c r="N483" s="344">
        <f>_xll.qlCalendarAdvance(Calendar,M483,"3M","mf",,Trigger)</f>
        <v>57040</v>
      </c>
      <c r="O483" s="40" t="str">
        <f>_xll.qlMakeDatedOIS(,M483,N483,OvernightIndex,0,,,,EvaluationDate)</f>
        <v>obj_007f5#0000</v>
      </c>
      <c r="P483" s="40" t="b">
        <f>_xll.qlInstrumentSetPricingEngine(O483,OisEngine)</f>
        <v>1</v>
      </c>
      <c r="Q483" s="38">
        <f>_xll.qlIndexFixing(Currency&amp;IborType&amp;"3M",_xll.qlInterestRateIndexFixingDate(Currency&amp;IborType&amp;"3M",M483),TRUE,AllTriggers)</f>
        <v>1.9623287694682672E-2</v>
      </c>
      <c r="R483" s="38">
        <f>_xll.qlOvernightIndexedSwapFairRate(O483,AllTriggers)</f>
        <v>1.9396140610621091E-2</v>
      </c>
      <c r="S483" s="345">
        <f t="shared" si="9"/>
        <v>2.2714708406158107E-4</v>
      </c>
    </row>
    <row r="484" spans="5:19" ht="11.25" customHeight="1" x14ac:dyDescent="0.2">
      <c r="E484" s="254"/>
      <c r="F484" s="254"/>
      <c r="G484" s="39"/>
      <c r="J484" s="39"/>
      <c r="K484" s="39"/>
      <c r="M484" s="346">
        <f>_xll.qlCalendarAdvance(Calendar,M483,"1M","f",,Trigger)</f>
        <v>56982</v>
      </c>
      <c r="N484" s="344">
        <f>_xll.qlCalendarAdvance(Calendar,M484,"3M","mf",,Trigger)</f>
        <v>57074</v>
      </c>
      <c r="O484" s="40" t="str">
        <f>_xll.qlMakeDatedOIS(,M484,N484,OvernightIndex,0,,,,EvaluationDate)</f>
        <v>obj_007f6#0000</v>
      </c>
      <c r="P484" s="40" t="b">
        <f>_xll.qlInstrumentSetPricingEngine(O484,OisEngine)</f>
        <v>1</v>
      </c>
      <c r="Q484" s="38">
        <f>_xll.qlIndexFixing(Currency&amp;IborType&amp;"3M",_xll.qlInterestRateIndexFixingDate(Currency&amp;IborType&amp;"3M",M484),TRUE,AllTriggers)</f>
        <v>1.9595126126843443E-2</v>
      </c>
      <c r="R484" s="38">
        <f>_xll.qlOvernightIndexedSwapFairRate(O484,AllTriggers)</f>
        <v>1.9369654486460872E-2</v>
      </c>
      <c r="S484" s="345">
        <f t="shared" si="9"/>
        <v>2.2547164038257128E-4</v>
      </c>
    </row>
    <row r="485" spans="5:19" ht="11.25" customHeight="1" x14ac:dyDescent="0.2">
      <c r="E485" s="254"/>
      <c r="F485" s="254"/>
      <c r="G485" s="39"/>
      <c r="J485" s="39"/>
      <c r="K485" s="39"/>
      <c r="M485" s="346">
        <f>_xll.qlCalendarAdvance(Calendar,M484,"1M","f",,Trigger)</f>
        <v>57013</v>
      </c>
      <c r="N485" s="344">
        <f>_xll.qlCalendarAdvance(Calendar,M485,"3M","mf",,Trigger)</f>
        <v>57103</v>
      </c>
      <c r="O485" s="40" t="str">
        <f>_xll.qlMakeDatedOIS(,M485,N485,OvernightIndex,0,,,,EvaluationDate)</f>
        <v>obj_007f7#0000</v>
      </c>
      <c r="P485" s="40" t="b">
        <f>_xll.qlInstrumentSetPricingEngine(O485,OisEngine)</f>
        <v>1</v>
      </c>
      <c r="Q485" s="38">
        <f>_xll.qlIndexFixing(Currency&amp;IborType&amp;"3M",_xll.qlInterestRateIndexFixingDate(Currency&amp;IborType&amp;"3M",M485),TRUE,AllTriggers)</f>
        <v>1.9568786751800182E-2</v>
      </c>
      <c r="R485" s="38">
        <f>_xll.qlOvernightIndexedSwapFairRate(O485,AllTriggers)</f>
        <v>1.9344834770664399E-2</v>
      </c>
      <c r="S485" s="345">
        <f t="shared" si="9"/>
        <v>2.2395198113578374E-4</v>
      </c>
    </row>
    <row r="486" spans="5:19" ht="11.25" customHeight="1" x14ac:dyDescent="0.2">
      <c r="E486" s="254"/>
      <c r="F486" s="254"/>
      <c r="G486" s="39"/>
      <c r="J486" s="39"/>
      <c r="K486" s="39"/>
      <c r="M486" s="346">
        <f>_xll.qlCalendarAdvance(Calendar,M485,"1M","f",,Trigger)</f>
        <v>57042</v>
      </c>
      <c r="N486" s="344">
        <f>_xll.qlCalendarAdvance(Calendar,M486,"3M","mf",,Trigger)</f>
        <v>57136</v>
      </c>
      <c r="O486" s="40" t="str">
        <f>_xll.qlMakeDatedOIS(,M486,N486,OvernightIndex,0,,,,EvaluationDate)</f>
        <v>obj_007f9#0000</v>
      </c>
      <c r="P486" s="40" t="b">
        <f>_xll.qlInstrumentSetPricingEngine(O486,OisEngine)</f>
        <v>1</v>
      </c>
      <c r="Q486" s="38">
        <f>_xll.qlIndexFixing(Currency&amp;IborType&amp;"3M",_xll.qlInterestRateIndexFixingDate(Currency&amp;IborType&amp;"3M",M486),TRUE,AllTriggers)</f>
        <v>1.9545235961014658E-2</v>
      </c>
      <c r="R486" s="38">
        <f>_xll.qlOvernightIndexedSwapFairRate(O486,AllTriggers)</f>
        <v>1.9322764301011614E-2</v>
      </c>
      <c r="S486" s="345">
        <f t="shared" si="9"/>
        <v>2.2247166000304366E-4</v>
      </c>
    </row>
    <row r="487" spans="5:19" ht="11.25" customHeight="1" x14ac:dyDescent="0.2">
      <c r="E487" s="254"/>
      <c r="F487" s="254"/>
      <c r="G487" s="39"/>
      <c r="J487" s="39"/>
      <c r="K487" s="39"/>
      <c r="M487" s="346">
        <f>_xll.qlCalendarAdvance(Calendar,M486,"1M","f",,Trigger)</f>
        <v>57074</v>
      </c>
      <c r="N487" s="344">
        <f>_xll.qlCalendarAdvance(Calendar,M487,"3M","mf",,Trigger)</f>
        <v>57165</v>
      </c>
      <c r="O487" s="40" t="str">
        <f>_xll.qlMakeDatedOIS(,M487,N487,OvernightIndex,0,,,,EvaluationDate)</f>
        <v>obj_0095c#0000</v>
      </c>
      <c r="P487" s="40" t="b">
        <f>_xll.qlInstrumentSetPricingEngine(O487,OisEngine)</f>
        <v>1</v>
      </c>
      <c r="Q487" s="38">
        <f>_xll.qlIndexFixing(Currency&amp;IborType&amp;"3M",_xll.qlInterestRateIndexFixingDate(Currency&amp;IborType&amp;"3M",M487),TRUE,AllTriggers)</f>
        <v>1.9518789675788843E-2</v>
      </c>
      <c r="R487" s="38">
        <f>_xll.qlOvernightIndexedSwapFairRate(O487,AllTriggers)</f>
        <v>1.9297842532567548E-2</v>
      </c>
      <c r="S487" s="345">
        <f t="shared" si="9"/>
        <v>2.2094714322129505E-4</v>
      </c>
    </row>
    <row r="488" spans="5:19" ht="11.25" customHeight="1" x14ac:dyDescent="0.2">
      <c r="E488" s="254"/>
      <c r="F488" s="254"/>
      <c r="G488" s="39"/>
      <c r="J488" s="39"/>
      <c r="K488" s="39"/>
      <c r="M488" s="346">
        <f>_xll.qlCalendarAdvance(Calendar,M487,"1M","f",,Trigger)</f>
        <v>57104</v>
      </c>
      <c r="N488" s="344">
        <f>_xll.qlCalendarAdvance(Calendar,M488,"3M","mf",,Trigger)</f>
        <v>57196</v>
      </c>
      <c r="O488" s="40" t="str">
        <f>_xll.qlMakeDatedOIS(,M488,N488,OvernightIndex,0,,,,EvaluationDate)</f>
        <v>obj_007fb#0000</v>
      </c>
      <c r="P488" s="40" t="b">
        <f>_xll.qlInstrumentSetPricingEngine(O488,OisEngine)</f>
        <v>1</v>
      </c>
      <c r="Q488" s="38">
        <f>_xll.qlIndexFixing(Currency&amp;IborType&amp;"3M",_xll.qlInterestRateIndexFixingDate(Currency&amp;IborType&amp;"3M",M488),TRUE,AllTriggers)</f>
        <v>1.9494893139562017E-2</v>
      </c>
      <c r="R488" s="38">
        <f>_xll.qlOvernightIndexedSwapFairRate(O488,AllTriggers)</f>
        <v>1.9275406387270645E-2</v>
      </c>
      <c r="S488" s="345">
        <f t="shared" si="9"/>
        <v>2.1948675229137293E-4</v>
      </c>
    </row>
    <row r="489" spans="5:19" ht="11.25" customHeight="1" x14ac:dyDescent="0.2">
      <c r="E489" s="254"/>
      <c r="F489" s="254"/>
      <c r="G489" s="39"/>
      <c r="J489" s="39"/>
      <c r="K489" s="39"/>
      <c r="M489" s="346">
        <f>_xll.qlCalendarAdvance(Calendar,M488,"1M","f",,Trigger)</f>
        <v>57136</v>
      </c>
      <c r="N489" s="344">
        <f>_xll.qlCalendarAdvance(Calendar,M489,"3M","mf",,Trigger)</f>
        <v>57228</v>
      </c>
      <c r="O489" s="40" t="str">
        <f>_xll.qlMakeDatedOIS(,M489,N489,OvernightIndex,0,,,,EvaluationDate)</f>
        <v>obj_00913#0000</v>
      </c>
      <c r="P489" s="40" t="b">
        <f>_xll.qlInstrumentSetPricingEngine(O489,OisEngine)</f>
        <v>1</v>
      </c>
      <c r="Q489" s="38">
        <f>_xll.qlIndexFixing(Currency&amp;IborType&amp;"3M",_xll.qlInterestRateIndexFixingDate(Currency&amp;IborType&amp;"3M",M489),TRUE,AllTriggers)</f>
        <v>1.9469714953759654E-2</v>
      </c>
      <c r="R489" s="38">
        <f>_xll.qlOvernightIndexedSwapFairRate(O489,AllTriggers)</f>
        <v>1.9251755950577241E-2</v>
      </c>
      <c r="S489" s="345">
        <f t="shared" si="9"/>
        <v>2.1795900318241287E-4</v>
      </c>
    </row>
    <row r="490" spans="5:19" ht="11.25" customHeight="1" x14ac:dyDescent="0.2">
      <c r="E490" s="254"/>
      <c r="F490" s="254"/>
      <c r="G490" s="39"/>
      <c r="J490" s="39"/>
      <c r="K490" s="39"/>
      <c r="M490" s="346">
        <f>_xll.qlCalendarAdvance(Calendar,M489,"1M","f",,Trigger)</f>
        <v>57166</v>
      </c>
      <c r="N490" s="344">
        <f>_xll.qlCalendarAdvance(Calendar,M490,"3M","mf",,Trigger)</f>
        <v>57258</v>
      </c>
      <c r="O490" s="40" t="str">
        <f>_xll.qlMakeDatedOIS(,M490,N490,OvernightIndex,0,,,,EvaluationDate)</f>
        <v>obj_007fd#0000</v>
      </c>
      <c r="P490" s="40" t="b">
        <f>_xll.qlInstrumentSetPricingEngine(O490,OisEngine)</f>
        <v>1</v>
      </c>
      <c r="Q490" s="38">
        <f>_xll.qlIndexFixing(Currency&amp;IborType&amp;"3M",_xll.qlInterestRateIndexFixingDate(Currency&amp;IborType&amp;"3M",M490),TRUE,AllTriggers)</f>
        <v>1.9446530260440551E-2</v>
      </c>
      <c r="R490" s="38">
        <f>_xll.qlOvernightIndexedSwapFairRate(O490,AllTriggers)</f>
        <v>1.9229987649531172E-2</v>
      </c>
      <c r="S490" s="345">
        <f t="shared" si="9"/>
        <v>2.1654261090937876E-4</v>
      </c>
    </row>
    <row r="491" spans="5:19" ht="11.25" customHeight="1" x14ac:dyDescent="0.2">
      <c r="E491" s="254"/>
      <c r="F491" s="254"/>
      <c r="G491" s="39"/>
      <c r="J491" s="39"/>
      <c r="K491" s="39"/>
      <c r="M491" s="346">
        <f>_xll.qlCalendarAdvance(Calendar,M490,"1M","f",,Trigger)</f>
        <v>57199</v>
      </c>
      <c r="N491" s="344">
        <f>_xll.qlCalendarAdvance(Calendar,M491,"3M","mf",,Trigger)</f>
        <v>57291</v>
      </c>
      <c r="O491" s="40" t="str">
        <f>_xll.qlMakeDatedOIS(,M491,N491,OvernightIndex,0,,,,EvaluationDate)</f>
        <v>obj_007fe#0000</v>
      </c>
      <c r="P491" s="40" t="b">
        <f>_xll.qlInstrumentSetPricingEngine(O491,OisEngine)</f>
        <v>1</v>
      </c>
      <c r="Q491" s="38">
        <f>_xll.qlIndexFixing(Currency&amp;IborType&amp;"3M",_xll.qlInterestRateIndexFixingDate(Currency&amp;IborType&amp;"3M",M491),TRUE,AllTriggers)</f>
        <v>1.942149637954621E-2</v>
      </c>
      <c r="R491" s="38">
        <f>_xll.qlOvernightIndexedSwapFairRate(O491,AllTriggers)</f>
        <v>1.9206494059608992E-2</v>
      </c>
      <c r="S491" s="345">
        <f t="shared" si="9"/>
        <v>2.1500231993721794E-4</v>
      </c>
    </row>
    <row r="492" spans="5:19" ht="11.25" customHeight="1" x14ac:dyDescent="0.2">
      <c r="E492" s="254"/>
      <c r="F492" s="254"/>
      <c r="G492" s="39"/>
      <c r="J492" s="39"/>
      <c r="K492" s="39"/>
      <c r="M492" s="346">
        <f>_xll.qlCalendarAdvance(Calendar,M491,"1M","f",,Trigger)</f>
        <v>57230</v>
      </c>
      <c r="N492" s="344">
        <f>_xll.qlCalendarAdvance(Calendar,M492,"3M","mf",,Trigger)</f>
        <v>57321</v>
      </c>
      <c r="O492" s="40" t="str">
        <f>_xll.qlMakeDatedOIS(,M492,N492,OvernightIndex,0,,,,EvaluationDate)</f>
        <v>obj_00800#0000</v>
      </c>
      <c r="P492" s="40" t="b">
        <f>_xll.qlInstrumentSetPricingEngine(O492,OisEngine)</f>
        <v>1</v>
      </c>
      <c r="Q492" s="38">
        <f>_xll.qlIndexFixing(Currency&amp;IborType&amp;"3M",_xll.qlInterestRateIndexFixingDate(Currency&amp;IborType&amp;"3M",M492),TRUE,AllTriggers)</f>
        <v>1.9398270941919715E-2</v>
      </c>
      <c r="R492" s="38">
        <f>_xll.qlOvernightIndexedSwapFairRate(O492,AllTriggers)</f>
        <v>1.9184687246212563E-2</v>
      </c>
      <c r="S492" s="345">
        <f t="shared" si="9"/>
        <v>2.1358369570715144E-4</v>
      </c>
    </row>
    <row r="493" spans="5:19" ht="11.25" customHeight="1" x14ac:dyDescent="0.2">
      <c r="E493" s="254"/>
      <c r="F493" s="254"/>
      <c r="G493" s="39"/>
      <c r="J493" s="39"/>
      <c r="K493" s="39"/>
      <c r="M493" s="346">
        <f>_xll.qlCalendarAdvance(Calendar,M492,"1M","f",,Trigger)</f>
        <v>57262</v>
      </c>
      <c r="N493" s="344">
        <f>_xll.qlCalendarAdvance(Calendar,M493,"3M","mf",,Trigger)</f>
        <v>57354</v>
      </c>
      <c r="O493" s="40" t="str">
        <f>_xll.qlMakeDatedOIS(,M493,N493,OvernightIndex,0,,,,EvaluationDate)</f>
        <v>obj_00802#0000</v>
      </c>
      <c r="P493" s="40" t="b">
        <f>_xll.qlInstrumentSetPricingEngine(O493,OisEngine)</f>
        <v>1</v>
      </c>
      <c r="Q493" s="38">
        <f>_xll.qlIndexFixing(Currency&amp;IborType&amp;"3M",_xll.qlInterestRateIndexFixingDate(Currency&amp;IborType&amp;"3M",M493),TRUE,AllTriggers)</f>
        <v>1.9375069575386834E-2</v>
      </c>
      <c r="R493" s="38">
        <f>_xll.qlOvernightIndexedSwapFairRate(O493,AllTriggers)</f>
        <v>1.9162956205332413E-2</v>
      </c>
      <c r="S493" s="345">
        <f t="shared" si="9"/>
        <v>2.1211337005442102E-4</v>
      </c>
    </row>
    <row r="494" spans="5:19" ht="11.25" customHeight="1" x14ac:dyDescent="0.2">
      <c r="E494" s="254"/>
      <c r="F494" s="254"/>
      <c r="G494" s="39"/>
      <c r="J494" s="39"/>
      <c r="K494" s="39"/>
      <c r="M494" s="346">
        <f>_xll.qlCalendarAdvance(Calendar,M493,"1M","f",,Trigger)</f>
        <v>57293</v>
      </c>
      <c r="N494" s="344">
        <f>_xll.qlCalendarAdvance(Calendar,M494,"3M","mf",,Trigger)</f>
        <v>57385</v>
      </c>
      <c r="O494" s="40" t="str">
        <f>_xll.qlMakeDatedOIS(,M494,N494,OvernightIndex,0,,,,EvaluationDate)</f>
        <v>obj_00803#0000</v>
      </c>
      <c r="P494" s="40" t="b">
        <f>_xll.qlInstrumentSetPricingEngine(O494,OisEngine)</f>
        <v>1</v>
      </c>
      <c r="Q494" s="38">
        <f>_xll.qlIndexFixing(Currency&amp;IborType&amp;"3M",_xll.qlInterestRateIndexFixingDate(Currency&amp;IborType&amp;"3M",M494),TRUE,AllTriggers)</f>
        <v>1.9352882370369251E-2</v>
      </c>
      <c r="R494" s="38">
        <f>_xll.qlOvernightIndexedSwapFairRate(O494,AllTriggers)</f>
        <v>1.914216568439887E-2</v>
      </c>
      <c r="S494" s="345">
        <f t="shared" si="9"/>
        <v>2.1071668597038087E-4</v>
      </c>
    </row>
    <row r="495" spans="5:19" ht="11.25" customHeight="1" x14ac:dyDescent="0.2">
      <c r="E495" s="254"/>
      <c r="F495" s="254"/>
      <c r="G495" s="39"/>
      <c r="J495" s="39"/>
      <c r="K495" s="39"/>
      <c r="M495" s="346">
        <f>_xll.qlCalendarAdvance(Calendar,M494,"1M","f",,Trigger)</f>
        <v>57325</v>
      </c>
      <c r="N495" s="344">
        <f>_xll.qlCalendarAdvance(Calendar,M495,"3M","mf",,Trigger)</f>
        <v>57416</v>
      </c>
      <c r="O495" s="40" t="str">
        <f>_xll.qlMakeDatedOIS(,M495,N495,OvernightIndex,0,,,,EvaluationDate)</f>
        <v>obj_00804#0000</v>
      </c>
      <c r="P495" s="40" t="b">
        <f>_xll.qlInstrumentSetPricingEngine(O495,OisEngine)</f>
        <v>1</v>
      </c>
      <c r="Q495" s="38">
        <f>_xll.qlIndexFixing(Currency&amp;IborType&amp;"3M",_xll.qlInterestRateIndexFixingDate(Currency&amp;IborType&amp;"3M",M495),TRUE,AllTriggers)</f>
        <v>1.9330260093409855E-2</v>
      </c>
      <c r="R495" s="38">
        <f>_xll.qlOvernightIndexedSwapFairRate(O495,AllTriggers)</f>
        <v>1.9120957102945292E-2</v>
      </c>
      <c r="S495" s="345">
        <f t="shared" si="9"/>
        <v>2.0930299046456255E-4</v>
      </c>
    </row>
    <row r="496" spans="5:19" ht="11.25" customHeight="1" x14ac:dyDescent="0.2">
      <c r="E496" s="254"/>
      <c r="F496" s="254"/>
      <c r="G496" s="39"/>
      <c r="J496" s="39"/>
      <c r="K496" s="39"/>
      <c r="M496" s="346">
        <f>_xll.qlCalendarAdvance(Calendar,M495,"1M","f",,Trigger)</f>
        <v>57356</v>
      </c>
      <c r="N496" s="344">
        <f>_xll.qlCalendarAdvance(Calendar,M496,"3M","mf",,Trigger)</f>
        <v>57446</v>
      </c>
      <c r="O496" s="40" t="str">
        <f>_xll.qlMakeDatedOIS(,M496,N496,OvernightIndex,0,,,,EvaluationDate)</f>
        <v>obj_00805#0000</v>
      </c>
      <c r="P496" s="40" t="b">
        <f>_xll.qlInstrumentSetPricingEngine(O496,OisEngine)</f>
        <v>1</v>
      </c>
      <c r="Q496" s="38">
        <f>_xll.qlIndexFixing(Currency&amp;IborType&amp;"3M",_xll.qlInterestRateIndexFixingDate(Currency&amp;IborType&amp;"3M",M496),TRUE,AllTriggers)</f>
        <v>1.9308768536007825E-2</v>
      </c>
      <c r="R496" s="38">
        <f>_xll.qlOvernightIndexedSwapFairRate(O496,AllTriggers)</f>
        <v>1.9100818418985813E-2</v>
      </c>
      <c r="S496" s="345">
        <f t="shared" si="9"/>
        <v>2.0795011702201202E-4</v>
      </c>
    </row>
    <row r="497" spans="5:19" ht="11.25" customHeight="1" x14ac:dyDescent="0.2">
      <c r="E497" s="254"/>
      <c r="F497" s="254"/>
      <c r="G497" s="39"/>
      <c r="J497" s="39"/>
      <c r="K497" s="39"/>
      <c r="M497" s="346">
        <f>_xll.qlCalendarAdvance(Calendar,M496,"1M","f",,Trigger)</f>
        <v>57388</v>
      </c>
      <c r="N497" s="344">
        <f>_xll.qlCalendarAdvance(Calendar,M497,"3M","mf",,Trigger)</f>
        <v>57479</v>
      </c>
      <c r="O497" s="40" t="str">
        <f>_xll.qlMakeDatedOIS(,M497,N497,OvernightIndex,0,,,,EvaluationDate)</f>
        <v>obj_00807#0000</v>
      </c>
      <c r="P497" s="40" t="b">
        <f>_xll.qlInstrumentSetPricingEngine(O497,OisEngine)</f>
        <v>1</v>
      </c>
      <c r="Q497" s="38">
        <f>_xll.qlIndexFixing(Currency&amp;IborType&amp;"3M",_xll.qlInterestRateIndexFixingDate(Currency&amp;IborType&amp;"3M",M497),TRUE,AllTriggers)</f>
        <v>1.9287404715375881E-2</v>
      </c>
      <c r="R497" s="38">
        <f>_xll.qlOvernightIndexedSwapFairRate(O497,AllTriggers)</f>
        <v>1.9080855593505582E-2</v>
      </c>
      <c r="S497" s="345">
        <f t="shared" si="9"/>
        <v>2.0654912187029889E-4</v>
      </c>
    </row>
    <row r="498" spans="5:19" ht="11.25" customHeight="1" x14ac:dyDescent="0.2">
      <c r="E498" s="254"/>
      <c r="F498" s="254"/>
      <c r="G498" s="39"/>
      <c r="J498" s="39"/>
      <c r="K498" s="39"/>
      <c r="M498" s="346">
        <f>_xll.qlCalendarAdvance(Calendar,M497,"1M","f",,Trigger)</f>
        <v>57416</v>
      </c>
      <c r="N498" s="344">
        <f>_xll.qlCalendarAdvance(Calendar,M498,"3M","mf",,Trigger)</f>
        <v>57508</v>
      </c>
      <c r="O498" s="40" t="str">
        <f>_xll.qlMakeDatedOIS(,M498,N498,OvernightIndex,0,,,,EvaluationDate)</f>
        <v>obj_0095b#0000</v>
      </c>
      <c r="P498" s="40" t="b">
        <f>_xll.qlInstrumentSetPricingEngine(O498,OisEngine)</f>
        <v>1</v>
      </c>
      <c r="Q498" s="38">
        <f>_xll.qlIndexFixing(Currency&amp;IborType&amp;"3M",_xll.qlInterestRateIndexFixingDate(Currency&amp;IborType&amp;"3M",M498),TRUE,AllTriggers)</f>
        <v>1.9269124572418875E-2</v>
      </c>
      <c r="R498" s="38">
        <f>_xll.qlOvernightIndexedSwapFairRate(O498,AllTriggers)</f>
        <v>1.9063787968971461E-2</v>
      </c>
      <c r="S498" s="345">
        <f t="shared" si="9"/>
        <v>2.0533660344741397E-4</v>
      </c>
    </row>
    <row r="499" spans="5:19" ht="11.25" customHeight="1" x14ac:dyDescent="0.2">
      <c r="E499" s="254"/>
      <c r="F499" s="254"/>
      <c r="G499" s="39"/>
      <c r="J499" s="39"/>
      <c r="K499" s="39"/>
      <c r="M499" s="346">
        <f>_xll.qlCalendarAdvance(Calendar,M498,"1M","f",,Trigger)</f>
        <v>57447</v>
      </c>
      <c r="N499" s="344">
        <f>_xll.qlCalendarAdvance(Calendar,M499,"3M","mf",,Trigger)</f>
        <v>57538</v>
      </c>
      <c r="O499" s="40" t="str">
        <f>_xll.qlMakeDatedOIS(,M499,N499,OvernightIndex,0,,,,EvaluationDate)</f>
        <v>obj_00808#0000</v>
      </c>
      <c r="P499" s="40" t="b">
        <f>_xll.qlInstrumentSetPricingEngine(O499,OisEngine)</f>
        <v>1</v>
      </c>
      <c r="Q499" s="38">
        <f>_xll.qlIndexFixing(Currency&amp;IborType&amp;"3M",_xll.qlInterestRateIndexFixingDate(Currency&amp;IborType&amp;"3M",M499),TRUE,AllTriggers)</f>
        <v>1.924889479485661E-2</v>
      </c>
      <c r="R499" s="38">
        <f>_xll.qlOvernightIndexedSwapFairRate(O499,AllTriggers)</f>
        <v>1.9044863294620112E-2</v>
      </c>
      <c r="S499" s="345">
        <f t="shared" si="9"/>
        <v>2.0403150023649841E-4</v>
      </c>
    </row>
    <row r="500" spans="5:19" ht="11.25" customHeight="1" x14ac:dyDescent="0.2">
      <c r="E500" s="254"/>
      <c r="F500" s="254"/>
      <c r="G500" s="39"/>
      <c r="J500" s="39"/>
      <c r="K500" s="39"/>
      <c r="M500" s="346">
        <f>_xll.qlCalendarAdvance(Calendar,M499,"1M","f",,Trigger)</f>
        <v>57479</v>
      </c>
      <c r="N500" s="344">
        <f>_xll.qlCalendarAdvance(Calendar,M500,"3M","mf",,Trigger)</f>
        <v>57571</v>
      </c>
      <c r="O500" s="40" t="str">
        <f>_xll.qlMakeDatedOIS(,M500,N500,OvernightIndex,0,,,,EvaluationDate)</f>
        <v>obj_00809#0000</v>
      </c>
      <c r="P500" s="40" t="b">
        <f>_xll.qlInstrumentSetPricingEngine(O500,OisEngine)</f>
        <v>1</v>
      </c>
      <c r="Q500" s="38">
        <f>_xll.qlIndexFixing(Currency&amp;IborType&amp;"3M",_xll.qlInterestRateIndexFixingDate(Currency&amp;IborType&amp;"3M",M500),TRUE,AllTriggers)</f>
        <v>1.9228868950298794E-2</v>
      </c>
      <c r="R500" s="38">
        <f>_xll.qlOvernightIndexedSwapFairRate(O500,AllTriggers)</f>
        <v>1.9026188039198276E-2</v>
      </c>
      <c r="S500" s="345">
        <f t="shared" si="9"/>
        <v>2.0268091110051817E-4</v>
      </c>
    </row>
    <row r="501" spans="5:19" ht="11.25" customHeight="1" x14ac:dyDescent="0.2">
      <c r="E501" s="254"/>
      <c r="F501" s="254"/>
      <c r="G501" s="39"/>
      <c r="J501" s="39"/>
      <c r="K501" s="39"/>
      <c r="M501" s="346">
        <f>_xll.qlCalendarAdvance(Calendar,M500,"1M","f",,Trigger)</f>
        <v>57510</v>
      </c>
      <c r="N501" s="344">
        <f>_xll.qlCalendarAdvance(Calendar,M501,"3M","mf",,Trigger)</f>
        <v>57602</v>
      </c>
      <c r="O501" s="40" t="str">
        <f>_xll.qlMakeDatedOIS(,M501,N501,OvernightIndex,0,,,,EvaluationDate)</f>
        <v>obj_0080b#0000</v>
      </c>
      <c r="P501" s="40" t="b">
        <f>_xll.qlInstrumentSetPricingEngine(O501,OisEngine)</f>
        <v>1</v>
      </c>
      <c r="Q501" s="38">
        <f>_xll.qlIndexFixing(Currency&amp;IborType&amp;"3M",_xll.qlInterestRateIndexFixingDate(Currency&amp;IborType&amp;"3M",M501),TRUE,AllTriggers)</f>
        <v>1.920971828479583E-2</v>
      </c>
      <c r="R501" s="38">
        <f>_xll.qlOvernightIndexedSwapFairRate(O501,AllTriggers)</f>
        <v>1.9008319287622498E-2</v>
      </c>
      <c r="S501" s="345">
        <f t="shared" si="9"/>
        <v>2.0139899717333196E-4</v>
      </c>
    </row>
    <row r="502" spans="5:19" ht="11.25" customHeight="1" x14ac:dyDescent="0.2">
      <c r="E502" s="254"/>
      <c r="F502" s="254"/>
      <c r="G502" s="39"/>
      <c r="J502" s="39"/>
      <c r="K502" s="39"/>
      <c r="M502" s="346">
        <f>_xll.qlCalendarAdvance(Calendar,M501,"1M","f",,Trigger)</f>
        <v>57542</v>
      </c>
      <c r="N502" s="344">
        <f>_xll.qlCalendarAdvance(Calendar,M502,"3M","mf",,Trigger)</f>
        <v>57634</v>
      </c>
      <c r="O502" s="40" t="str">
        <f>_xll.qlMakeDatedOIS(,M502,N502,OvernightIndex,0,,,,EvaluationDate)</f>
        <v>obj_0080c#0000</v>
      </c>
      <c r="P502" s="40" t="b">
        <f>_xll.qlInstrumentSetPricingEngine(O502,OisEngine)</f>
        <v>1</v>
      </c>
      <c r="Q502" s="38">
        <f>_xll.qlIndexFixing(Currency&amp;IborType&amp;"3M",_xll.qlInterestRateIndexFixingDate(Currency&amp;IborType&amp;"3M",M502),TRUE,AllTriggers)</f>
        <v>1.9190404834991175E-2</v>
      </c>
      <c r="R502" s="38">
        <f>_xll.qlOvernightIndexedSwapFairRate(O502,AllTriggers)</f>
        <v>1.8990311909009041E-2</v>
      </c>
      <c r="S502" s="345">
        <f t="shared" si="9"/>
        <v>2.0009292598213366E-4</v>
      </c>
    </row>
    <row r="503" spans="5:19" ht="11.25" customHeight="1" x14ac:dyDescent="0.2">
      <c r="E503" s="254"/>
      <c r="F503" s="254"/>
      <c r="G503" s="39"/>
      <c r="J503" s="39"/>
      <c r="K503" s="39"/>
      <c r="M503" s="346">
        <f>_xll.qlCalendarAdvance(Calendar,M502,"1M","f",,Trigger)</f>
        <v>57573</v>
      </c>
      <c r="N503" s="344">
        <f>_xll.qlCalendarAdvance(Calendar,M503,"3M","mf",,Trigger)</f>
        <v>57665</v>
      </c>
      <c r="O503" s="40" t="str">
        <f>_xll.qlMakeDatedOIS(,M503,N503,OvernightIndex,0,,,,EvaluationDate)</f>
        <v>obj_0080d#0000</v>
      </c>
      <c r="P503" s="40" t="b">
        <f>_xll.qlInstrumentSetPricingEngine(O503,OisEngine)</f>
        <v>1</v>
      </c>
      <c r="Q503" s="38">
        <f>_xll.qlIndexFixing(Currency&amp;IborType&amp;"3M",_xll.qlInterestRateIndexFixingDate(Currency&amp;IborType&amp;"3M",M503),TRUE,AllTriggers)</f>
        <v>1.9172135685137384E-2</v>
      </c>
      <c r="R503" s="38">
        <f>_xll.qlOvernightIndexedSwapFairRate(O503,AllTriggers)</f>
        <v>1.8973291358815435E-2</v>
      </c>
      <c r="S503" s="345">
        <f t="shared" si="9"/>
        <v>1.9884432632194873E-4</v>
      </c>
    </row>
    <row r="504" spans="5:19" ht="11.25" customHeight="1" x14ac:dyDescent="0.2">
      <c r="E504" s="254"/>
      <c r="F504" s="254"/>
      <c r="G504" s="39"/>
      <c r="J504" s="39"/>
      <c r="K504" s="39"/>
      <c r="M504" s="346">
        <f>_xll.qlCalendarAdvance(Calendar,M503,"1M","f",,Trigger)</f>
        <v>57605</v>
      </c>
      <c r="N504" s="344">
        <f>_xll.qlCalendarAdvance(Calendar,M504,"3M","mf",,Trigger)</f>
        <v>57696</v>
      </c>
      <c r="O504" s="40" t="str">
        <f>_xll.qlMakeDatedOIS(,M504,N504,OvernightIndex,0,,,,EvaluationDate)</f>
        <v>obj_0080e#0000</v>
      </c>
      <c r="P504" s="40" t="b">
        <f>_xll.qlInstrumentSetPricingEngine(O504,OisEngine)</f>
        <v>1</v>
      </c>
      <c r="Q504" s="38">
        <f>_xll.qlIndexFixing(Currency&amp;IborType&amp;"3M",_xll.qlInterestRateIndexFixingDate(Currency&amp;IborType&amp;"3M",M504),TRUE,AllTriggers)</f>
        <v>1.9153504021585038E-2</v>
      </c>
      <c r="R504" s="38">
        <f>_xll.qlOvernightIndexedSwapFairRate(O504,AllTriggers)</f>
        <v>1.8955922206241954E-2</v>
      </c>
      <c r="S504" s="345">
        <f t="shared" si="9"/>
        <v>1.9758181534308347E-4</v>
      </c>
    </row>
    <row r="505" spans="5:19" ht="11.25" customHeight="1" x14ac:dyDescent="0.2">
      <c r="E505" s="254"/>
      <c r="F505" s="254"/>
      <c r="G505" s="39"/>
      <c r="J505" s="39"/>
      <c r="K505" s="39"/>
      <c r="M505" s="346">
        <f>_xll.qlCalendarAdvance(Calendar,M504,"1M","f",,Trigger)</f>
        <v>57635</v>
      </c>
      <c r="N505" s="344">
        <f>_xll.qlCalendarAdvance(Calendar,M505,"3M","mf",,Trigger)</f>
        <v>57727</v>
      </c>
      <c r="O505" s="40" t="str">
        <f>_xll.qlMakeDatedOIS(,M505,N505,OvernightIndex,0,,,,EvaluationDate)</f>
        <v>obj_0080f#0000</v>
      </c>
      <c r="P505" s="40" t="b">
        <f>_xll.qlInstrumentSetPricingEngine(O505,OisEngine)</f>
        <v>1</v>
      </c>
      <c r="Q505" s="38">
        <f>_xll.qlIndexFixing(Currency&amp;IborType&amp;"3M",_xll.qlInterestRateIndexFixingDate(Currency&amp;IborType&amp;"3M",M505),TRUE,AllTriggers)</f>
        <v>1.9136898636816443E-2</v>
      </c>
      <c r="R505" s="38">
        <f>_xll.qlOvernightIndexedSwapFairRate(O505,AllTriggers)</f>
        <v>1.8940502335090571E-2</v>
      </c>
      <c r="S505" s="345">
        <f t="shared" si="9"/>
        <v>1.9639630172587144E-4</v>
      </c>
    </row>
    <row r="506" spans="5:19" ht="11.25" customHeight="1" x14ac:dyDescent="0.2">
      <c r="E506" s="254"/>
      <c r="F506" s="254"/>
      <c r="G506" s="39"/>
      <c r="J506" s="39"/>
      <c r="K506" s="39"/>
      <c r="M506" s="346">
        <f>_xll.qlCalendarAdvance(Calendar,M505,"1M","f",,Trigger)</f>
        <v>57668</v>
      </c>
      <c r="N506" s="344">
        <f>_xll.qlCalendarAdvance(Calendar,M506,"3M","mf",,Trigger)</f>
        <v>57760</v>
      </c>
      <c r="O506" s="40" t="str">
        <f>_xll.qlMakeDatedOIS(,M506,N506,OvernightIndex,0,,,,EvaluationDate)</f>
        <v>obj_00810#0000</v>
      </c>
      <c r="P506" s="40" t="b">
        <f>_xll.qlInstrumentSetPricingEngine(O506,OisEngine)</f>
        <v>1</v>
      </c>
      <c r="Q506" s="38">
        <f>_xll.qlIndexFixing(Currency&amp;IborType&amp;"3M",_xll.qlInterestRateIndexFixingDate(Currency&amp;IborType&amp;"3M",M506),TRUE,AllTriggers)</f>
        <v>1.9118850917002172E-2</v>
      </c>
      <c r="R506" s="38">
        <f>_xll.qlOvernightIndexedSwapFairRate(O506,AllTriggers)</f>
        <v>1.8923730860937626E-2</v>
      </c>
      <c r="S506" s="345">
        <f t="shared" si="9"/>
        <v>1.9512005606454538E-4</v>
      </c>
    </row>
    <row r="507" spans="5:19" ht="11.25" customHeight="1" x14ac:dyDescent="0.2">
      <c r="E507" s="254"/>
      <c r="F507" s="254"/>
      <c r="G507" s="39"/>
      <c r="J507" s="39"/>
      <c r="K507" s="39"/>
      <c r="M507" s="346">
        <f>_xll.qlCalendarAdvance(Calendar,M506,"1M","f",,Trigger)</f>
        <v>57698</v>
      </c>
      <c r="N507" s="344">
        <f>_xll.qlCalendarAdvance(Calendar,M507,"3M","mf",,Trigger)</f>
        <v>57788</v>
      </c>
      <c r="O507" s="40" t="str">
        <f>_xll.qlMakeDatedOIS(,M507,N507,OvernightIndex,0,,,,EvaluationDate)</f>
        <v>obj_00911#0000</v>
      </c>
      <c r="P507" s="40" t="b">
        <f>_xll.qlInstrumentSetPricingEngine(O507,OisEngine)</f>
        <v>1</v>
      </c>
      <c r="Q507" s="38">
        <f>_xll.qlIndexFixing(Currency&amp;IborType&amp;"3M",_xll.qlInterestRateIndexFixingDate(Currency&amp;IborType&amp;"3M",M507),TRUE,AllTriggers)</f>
        <v>1.9102377668133386E-2</v>
      </c>
      <c r="R507" s="38">
        <f>_xll.qlOvernightIndexedSwapFairRate(O507,AllTriggers)</f>
        <v>1.8908384522681843E-2</v>
      </c>
      <c r="S507" s="345">
        <f t="shared" si="9"/>
        <v>1.9399314545154311E-4</v>
      </c>
    </row>
    <row r="508" spans="5:19" ht="11.25" customHeight="1" x14ac:dyDescent="0.2">
      <c r="E508" s="254"/>
      <c r="F508" s="254"/>
      <c r="G508" s="39"/>
      <c r="J508" s="39"/>
      <c r="K508" s="39"/>
      <c r="M508" s="346">
        <f>_xll.qlCalendarAdvance(Calendar,M507,"1M","f",,Trigger)</f>
        <v>57731</v>
      </c>
      <c r="N508" s="344">
        <f>_xll.qlCalendarAdvance(Calendar,M508,"3M","mf",,Trigger)</f>
        <v>57822</v>
      </c>
      <c r="O508" s="40" t="str">
        <f>_xll.qlMakeDatedOIS(,M508,N508,OvernightIndex,0,,,,EvaluationDate)</f>
        <v>obj_00811#0000</v>
      </c>
      <c r="P508" s="40" t="b">
        <f>_xll.qlInstrumentSetPricingEngine(O508,OisEngine)</f>
        <v>1</v>
      </c>
      <c r="Q508" s="38">
        <f>_xll.qlIndexFixing(Currency&amp;IborType&amp;"3M",_xll.qlInterestRateIndexFixingDate(Currency&amp;IborType&amp;"3M",M508),TRUE,AllTriggers)</f>
        <v>1.9085508032664782E-2</v>
      </c>
      <c r="R508" s="38">
        <f>_xll.qlOvernightIndexedSwapFairRate(O508,AllTriggers)</f>
        <v>1.8892764483029772E-2</v>
      </c>
      <c r="S508" s="345">
        <f t="shared" si="9"/>
        <v>1.9274354963500981E-4</v>
      </c>
    </row>
    <row r="509" spans="5:19" ht="11.25" customHeight="1" x14ac:dyDescent="0.2">
      <c r="E509" s="254"/>
      <c r="F509" s="254"/>
      <c r="G509" s="39"/>
      <c r="J509" s="39"/>
      <c r="K509" s="39"/>
      <c r="M509" s="346">
        <f>_xll.qlCalendarAdvance(Calendar,M508,"1M","f",,Trigger)</f>
        <v>57762</v>
      </c>
      <c r="N509" s="344">
        <f>_xll.qlCalendarAdvance(Calendar,M509,"3M","mf",,Trigger)</f>
        <v>57851</v>
      </c>
      <c r="O509" s="40" t="str">
        <f>_xll.qlMakeDatedOIS(,M509,N509,OvernightIndex,0,,,,EvaluationDate)</f>
        <v>obj_00813#0000</v>
      </c>
      <c r="P509" s="40" t="b">
        <f>_xll.qlInstrumentSetPricingEngine(O509,OisEngine)</f>
        <v>1</v>
      </c>
      <c r="Q509" s="38">
        <f>_xll.qlIndexFixing(Currency&amp;IborType&amp;"3M",_xll.qlInterestRateIndexFixingDate(Currency&amp;IborType&amp;"3M",M509),TRUE,AllTriggers)</f>
        <v>1.9069359236502142E-2</v>
      </c>
      <c r="R509" s="38">
        <f>_xll.qlOvernightIndexedSwapFairRate(O509,AllTriggers)</f>
        <v>1.8877748157246309E-2</v>
      </c>
      <c r="S509" s="345">
        <f t="shared" si="9"/>
        <v>1.9161107925583232E-4</v>
      </c>
    </row>
    <row r="510" spans="5:19" ht="11.25" customHeight="1" x14ac:dyDescent="0.2">
      <c r="E510" s="254"/>
      <c r="F510" s="254"/>
      <c r="G510" s="39"/>
      <c r="J510" s="39"/>
      <c r="K510" s="39"/>
      <c r="M510" s="346">
        <f>_xll.qlCalendarAdvance(Calendar,M509,"1M","f",,Trigger)</f>
        <v>57790</v>
      </c>
      <c r="N510" s="344">
        <f>_xll.qlCalendarAdvance(Calendar,M510,"3M","mf",,Trigger)</f>
        <v>57882</v>
      </c>
      <c r="O510" s="40" t="str">
        <f>_xll.qlMakeDatedOIS(,M510,N510,OvernightIndex,0,,,,EvaluationDate)</f>
        <v>obj_00814#0000</v>
      </c>
      <c r="P510" s="40" t="b">
        <f>_xll.qlInstrumentSetPricingEngine(O510,OisEngine)</f>
        <v>1</v>
      </c>
      <c r="Q510" s="38">
        <f>_xll.qlIndexFixing(Currency&amp;IborType&amp;"3M",_xll.qlInterestRateIndexFixingDate(Currency&amp;IborType&amp;"3M",M510),TRUE,AllTriggers)</f>
        <v>1.9056396383751041E-2</v>
      </c>
      <c r="R510" s="38">
        <f>_xll.qlOvernightIndexedSwapFairRate(O510,AllTriggers)</f>
        <v>1.8865833318900443E-2</v>
      </c>
      <c r="S510" s="345">
        <f t="shared" si="9"/>
        <v>1.9056306485059835E-4</v>
      </c>
    </row>
    <row r="511" spans="5:19" ht="11.25" customHeight="1" x14ac:dyDescent="0.2">
      <c r="E511" s="254"/>
      <c r="F511" s="254"/>
      <c r="G511" s="39"/>
      <c r="J511" s="39"/>
      <c r="K511" s="39"/>
      <c r="M511" s="346">
        <f>_xll.qlCalendarAdvance(Calendar,M510,"1M","f",,Trigger)</f>
        <v>57822</v>
      </c>
      <c r="N511" s="344">
        <f>_xll.qlCalendarAdvance(Calendar,M511,"3M","mf",,Trigger)</f>
        <v>57913</v>
      </c>
      <c r="O511" s="40" t="str">
        <f>_xll.qlMakeDatedOIS(,M511,N511,OvernightIndex,0,,,,EvaluationDate)</f>
        <v>obj_00815#0000</v>
      </c>
      <c r="P511" s="40" t="b">
        <f>_xll.qlInstrumentSetPricingEngine(O511,OisEngine)</f>
        <v>1</v>
      </c>
      <c r="Q511" s="38">
        <f>_xll.qlIndexFixing(Currency&amp;IborType&amp;"3M",_xll.qlInterestRateIndexFixingDate(Currency&amp;IborType&amp;"3M",M511),TRUE,AllTriggers)</f>
        <v>1.904085576081992E-2</v>
      </c>
      <c r="R511" s="38">
        <f>_xll.qlOvernightIndexedSwapFairRate(O511,AllTriggers)</f>
        <v>1.8851438142761655E-2</v>
      </c>
      <c r="S511" s="345">
        <f t="shared" si="9"/>
        <v>1.8941761805826504E-4</v>
      </c>
    </row>
    <row r="512" spans="5:19" ht="11.25" customHeight="1" x14ac:dyDescent="0.2">
      <c r="E512" s="254"/>
      <c r="F512" s="254"/>
      <c r="G512" s="39"/>
      <c r="J512" s="39"/>
      <c r="K512" s="39"/>
      <c r="M512" s="346">
        <f>_xll.qlCalendarAdvance(Calendar,M511,"1M","f",,Trigger)</f>
        <v>57852</v>
      </c>
      <c r="N512" s="344">
        <f>_xll.qlCalendarAdvance(Calendar,M512,"3M","mf",,Trigger)</f>
        <v>57944</v>
      </c>
      <c r="O512" s="40" t="str">
        <f>_xll.qlMakeDatedOIS(,M512,N512,OvernightIndex,0,,,,EvaluationDate)</f>
        <v>obj_00817#0000</v>
      </c>
      <c r="P512" s="40" t="b">
        <f>_xll.qlInstrumentSetPricingEngine(O512,OisEngine)</f>
        <v>1</v>
      </c>
      <c r="Q512" s="38">
        <f>_xll.qlIndexFixing(Currency&amp;IborType&amp;"3M",_xll.qlInterestRateIndexFixingDate(Currency&amp;IborType&amp;"3M",M512),TRUE,AllTriggers)</f>
        <v>1.9027231517746195E-2</v>
      </c>
      <c r="R512" s="38">
        <f>_xll.qlOvernightIndexedSwapFairRate(O512,AllTriggers)</f>
        <v>1.8838887029823854E-2</v>
      </c>
      <c r="S512" s="345">
        <f t="shared" si="9"/>
        <v>1.8834448792234143E-4</v>
      </c>
    </row>
    <row r="513" spans="5:19" ht="11.25" customHeight="1" x14ac:dyDescent="0.2">
      <c r="E513" s="254"/>
      <c r="F513" s="254"/>
      <c r="G513" s="39"/>
      <c r="J513" s="39"/>
      <c r="K513" s="39"/>
      <c r="M513" s="346">
        <f>_xll.qlCalendarAdvance(Calendar,M512,"1M","f",,Trigger)</f>
        <v>57885</v>
      </c>
      <c r="N513" s="344">
        <f>_xll.qlCalendarAdvance(Calendar,M513,"3M","mf",,Trigger)</f>
        <v>57977</v>
      </c>
      <c r="O513" s="40" t="str">
        <f>_xll.qlMakeDatedOIS(,M513,N513,OvernightIndex,0,,,,EvaluationDate)</f>
        <v>obj_00819#0000</v>
      </c>
      <c r="P513" s="40" t="b">
        <f>_xll.qlInstrumentSetPricingEngine(O513,OisEngine)</f>
        <v>1</v>
      </c>
      <c r="Q513" s="38">
        <f>_xll.qlIndexFixing(Currency&amp;IborType&amp;"3M",_xll.qlInterestRateIndexFixingDate(Currency&amp;IborType&amp;"3M",M513),TRUE,AllTriggers)</f>
        <v>1.9012415706240727E-2</v>
      </c>
      <c r="R513" s="38">
        <f>_xll.qlOvernightIndexedSwapFairRate(O513,AllTriggers)</f>
        <v>1.8825225345060387E-2</v>
      </c>
      <c r="S513" s="345">
        <f t="shared" si="9"/>
        <v>1.8719036118033938E-4</v>
      </c>
    </row>
    <row r="514" spans="5:19" ht="11.25" customHeight="1" x14ac:dyDescent="0.2">
      <c r="E514" s="254"/>
      <c r="F514" s="254"/>
      <c r="G514" s="39"/>
      <c r="J514" s="39"/>
      <c r="K514" s="39"/>
      <c r="M514" s="346">
        <f>_xll.qlCalendarAdvance(Calendar,M513,"1M","f",,Trigger)</f>
        <v>57915</v>
      </c>
      <c r="N514" s="344">
        <f>_xll.qlCalendarAdvance(Calendar,M514,"3M","mf",,Trigger)</f>
        <v>58007</v>
      </c>
      <c r="O514" s="40" t="str">
        <f>_xll.qlMakeDatedOIS(,M514,N514,OvernightIndex,0,,,,EvaluationDate)</f>
        <v>obj_0081a#0000</v>
      </c>
      <c r="P514" s="40" t="b">
        <f>_xll.qlInstrumentSetPricingEngine(O514,OisEngine)</f>
        <v>1</v>
      </c>
      <c r="Q514" s="38">
        <f>_xll.qlIndexFixing(Currency&amp;IborType&amp;"3M",_xll.qlInterestRateIndexFixingDate(Currency&amp;IborType&amp;"3M",M514),TRUE,AllTriggers)</f>
        <v>1.8999373265610624E-2</v>
      </c>
      <c r="R514" s="38">
        <f>_xll.qlOvernightIndexedSwapFairRate(O514,AllTriggers)</f>
        <v>1.8813215997285023E-2</v>
      </c>
      <c r="S514" s="345">
        <f t="shared" si="9"/>
        <v>1.8615726832560062E-4</v>
      </c>
    </row>
    <row r="515" spans="5:19" ht="11.25" customHeight="1" x14ac:dyDescent="0.2">
      <c r="E515" s="254"/>
      <c r="F515" s="254"/>
      <c r="G515" s="39"/>
      <c r="J515" s="39"/>
      <c r="K515" s="39"/>
      <c r="M515" s="346">
        <f>_xll.qlCalendarAdvance(Calendar,M514,"1M","f",,Trigger)</f>
        <v>57948</v>
      </c>
      <c r="N515" s="344">
        <f>_xll.qlCalendarAdvance(Calendar,M515,"3M","mf",,Trigger)</f>
        <v>58040</v>
      </c>
      <c r="O515" s="40" t="str">
        <f>_xll.qlMakeDatedOIS(,M515,N515,OvernightIndex,0,,,,EvaluationDate)</f>
        <v>obj_0081b#0000</v>
      </c>
      <c r="P515" s="40" t="b">
        <f>_xll.qlInstrumentSetPricingEngine(O515,OisEngine)</f>
        <v>1</v>
      </c>
      <c r="Q515" s="38">
        <f>_xll.qlIndexFixing(Currency&amp;IborType&amp;"3M",_xll.qlInterestRateIndexFixingDate(Currency&amp;IborType&amp;"3M",M515),TRUE,AllTriggers)</f>
        <v>1.8985495702752625E-2</v>
      </c>
      <c r="R515" s="38">
        <f>_xll.qlOvernightIndexedSwapFairRate(O515,AllTriggers)</f>
        <v>1.8800457112531092E-2</v>
      </c>
      <c r="S515" s="345">
        <f t="shared" ref="S515:S578" si="10">Q515-R515</f>
        <v>1.8503859022153332E-4</v>
      </c>
    </row>
    <row r="516" spans="5:19" ht="11.25" customHeight="1" x14ac:dyDescent="0.2">
      <c r="E516" s="254"/>
      <c r="F516" s="254"/>
      <c r="G516" s="39"/>
      <c r="J516" s="39"/>
      <c r="K516" s="39"/>
      <c r="M516" s="346">
        <f>_xll.qlCalendarAdvance(Calendar,M515,"1M","f",,Trigger)</f>
        <v>57979</v>
      </c>
      <c r="N516" s="344">
        <f>_xll.qlCalendarAdvance(Calendar,M516,"3M","mf",,Trigger)</f>
        <v>58071</v>
      </c>
      <c r="O516" s="40" t="str">
        <f>_xll.qlMakeDatedOIS(,M516,N516,OvernightIndex,0,,,,EvaluationDate)</f>
        <v>obj_0081c#0000</v>
      </c>
      <c r="P516" s="40" t="b">
        <f>_xll.qlInstrumentSetPricingEngine(O516,OisEngine)</f>
        <v>1</v>
      </c>
      <c r="Q516" s="38">
        <f>_xll.qlIndexFixing(Currency&amp;IborType&amp;"3M",_xll.qlInterestRateIndexFixingDate(Currency&amp;IborType&amp;"3M",M516),TRUE,AllTriggers)</f>
        <v>1.8972906885100831E-2</v>
      </c>
      <c r="R516" s="38">
        <f>_xll.qlOvernightIndexedSwapFairRate(O516,AllTriggers)</f>
        <v>1.8788902260696613E-2</v>
      </c>
      <c r="S516" s="345">
        <f t="shared" si="10"/>
        <v>1.8400462440421733E-4</v>
      </c>
    </row>
    <row r="517" spans="5:19" ht="11.25" customHeight="1" x14ac:dyDescent="0.2">
      <c r="E517" s="254"/>
      <c r="F517" s="254"/>
      <c r="G517" s="39"/>
      <c r="J517" s="39"/>
      <c r="K517" s="39"/>
      <c r="M517" s="346">
        <f>_xll.qlCalendarAdvance(Calendar,M516,"1M","f",,Trigger)</f>
        <v>58011</v>
      </c>
      <c r="N517" s="344">
        <f>_xll.qlCalendarAdvance(Calendar,M517,"3M","mf",,Trigger)</f>
        <v>58103</v>
      </c>
      <c r="O517" s="40" t="str">
        <f>_xll.qlMakeDatedOIS(,M517,N517,OvernightIndex,0,,,,EvaluationDate)</f>
        <v>obj_0081d#0000</v>
      </c>
      <c r="P517" s="40" t="b">
        <f>_xll.qlInstrumentSetPricingEngine(O517,OisEngine)</f>
        <v>1</v>
      </c>
      <c r="Q517" s="38">
        <f>_xll.qlIndexFixing(Currency&amp;IborType&amp;"3M",_xll.qlInterestRateIndexFixingDate(Currency&amp;IborType&amp;"3M",M517),TRUE,AllTriggers)</f>
        <v>1.8960366873495199E-2</v>
      </c>
      <c r="R517" s="38">
        <f>_xll.qlOvernightIndexedSwapFairRate(O517,AllTriggers)</f>
        <v>1.877741238275361E-2</v>
      </c>
      <c r="S517" s="345">
        <f t="shared" si="10"/>
        <v>1.8295449074158879E-4</v>
      </c>
    </row>
    <row r="518" spans="5:19" ht="11.25" customHeight="1" x14ac:dyDescent="0.2">
      <c r="E518" s="254"/>
      <c r="F518" s="254"/>
      <c r="G518" s="39"/>
      <c r="J518" s="39"/>
      <c r="K518" s="39"/>
      <c r="M518" s="346">
        <f>_xll.qlCalendarAdvance(Calendar,M517,"1M","f",,Trigger)</f>
        <v>58042</v>
      </c>
      <c r="N518" s="344">
        <f>_xll.qlCalendarAdvance(Calendar,M518,"3M","mf",,Trigger)</f>
        <v>58134</v>
      </c>
      <c r="O518" s="40" t="str">
        <f>_xll.qlMakeDatedOIS(,M518,N518,OvernightIndex,0,,,,EvaluationDate)</f>
        <v>obj_0081e#0000</v>
      </c>
      <c r="P518" s="40" t="b">
        <f>_xll.qlInstrumentSetPricingEngine(O518,OisEngine)</f>
        <v>1</v>
      </c>
      <c r="Q518" s="38">
        <f>_xll.qlIndexFixing(Currency&amp;IborType&amp;"3M",_xll.qlInterestRateIndexFixingDate(Currency&amp;IborType&amp;"3M",M518),TRUE,AllTriggers)</f>
        <v>1.8948659414533785E-2</v>
      </c>
      <c r="R518" s="38">
        <f>_xll.qlOvernightIndexedSwapFairRate(O518,AllTriggers)</f>
        <v>1.8766705592434058E-2</v>
      </c>
      <c r="S518" s="345">
        <f t="shared" si="10"/>
        <v>1.8195382209972716E-4</v>
      </c>
    </row>
    <row r="519" spans="5:19" ht="11.25" customHeight="1" x14ac:dyDescent="0.2">
      <c r="E519" s="254"/>
      <c r="F519" s="254"/>
      <c r="G519" s="39"/>
      <c r="J519" s="39"/>
      <c r="K519" s="39"/>
      <c r="M519" s="346">
        <f>_xll.qlCalendarAdvance(Calendar,M518,"1M","f",,Trigger)</f>
        <v>58074</v>
      </c>
      <c r="N519" s="344">
        <f>_xll.qlCalendarAdvance(Calendar,M519,"3M","mf",,Trigger)</f>
        <v>58161</v>
      </c>
      <c r="O519" s="40" t="str">
        <f>_xll.qlMakeDatedOIS(,M519,N519,OvernightIndex,0,,,,EvaluationDate)</f>
        <v>obj_0086b#0000</v>
      </c>
      <c r="P519" s="40" t="b">
        <f>_xll.qlInstrumentSetPricingEngine(O519,OisEngine)</f>
        <v>1</v>
      </c>
      <c r="Q519" s="38">
        <f>_xll.qlIndexFixing(Currency&amp;IborType&amp;"3M",_xll.qlInterestRateIndexFixingDate(Currency&amp;IborType&amp;"3M",M519),TRUE,AllTriggers)</f>
        <v>1.8935417968401116E-2</v>
      </c>
      <c r="R519" s="38">
        <f>_xll.qlOvernightIndexedSwapFairRate(O519,AllTriggers)</f>
        <v>1.8754449081940967E-2</v>
      </c>
      <c r="S519" s="345">
        <f t="shared" si="10"/>
        <v>1.8096888646014844E-4</v>
      </c>
    </row>
    <row r="520" spans="5:19" ht="11.25" customHeight="1" x14ac:dyDescent="0.2">
      <c r="E520" s="254"/>
      <c r="F520" s="254"/>
      <c r="G520" s="39"/>
      <c r="J520" s="39"/>
      <c r="K520" s="39"/>
      <c r="M520" s="346">
        <f>_xll.qlCalendarAdvance(Calendar,M519,"1M","f",,Trigger)</f>
        <v>58105</v>
      </c>
      <c r="N520" s="344">
        <f>_xll.qlCalendarAdvance(Calendar,M520,"3M","mf",,Trigger)</f>
        <v>58195</v>
      </c>
      <c r="O520" s="40" t="str">
        <f>_xll.qlMakeDatedOIS(,M520,N520,OvernightIndex,0,,,,EvaluationDate)</f>
        <v>obj_0081f#0000</v>
      </c>
      <c r="P520" s="40" t="b">
        <f>_xll.qlInstrumentSetPricingEngine(O520,OisEngine)</f>
        <v>1</v>
      </c>
      <c r="Q520" s="38">
        <f>_xll.qlIndexFixing(Currency&amp;IborType&amp;"3M",_xll.qlInterestRateIndexFixingDate(Currency&amp;IborType&amp;"3M",M520),TRUE,AllTriggers)</f>
        <v>1.892554528114232E-2</v>
      </c>
      <c r="R520" s="38">
        <f>_xll.qlOvernightIndexedSwapFairRate(O520,AllTriggers)</f>
        <v>1.874556269493155E-2</v>
      </c>
      <c r="S520" s="345">
        <f t="shared" si="10"/>
        <v>1.7998258621076957E-4</v>
      </c>
    </row>
    <row r="521" spans="5:19" ht="11.25" customHeight="1" x14ac:dyDescent="0.2">
      <c r="E521" s="254"/>
      <c r="F521" s="254"/>
      <c r="G521" s="39"/>
      <c r="J521" s="39"/>
      <c r="K521" s="39"/>
      <c r="M521" s="346">
        <f>_xll.qlCalendarAdvance(Calendar,M520,"1M","f",,Trigger)</f>
        <v>58134</v>
      </c>
      <c r="N521" s="344">
        <f>_xll.qlCalendarAdvance(Calendar,M521,"3M","mf",,Trigger)</f>
        <v>58223</v>
      </c>
      <c r="O521" s="40" t="str">
        <f>_xll.qlMakeDatedOIS(,M521,N521,OvernightIndex,0,,,,EvaluationDate)</f>
        <v>obj_009b2#0000</v>
      </c>
      <c r="P521" s="40" t="b">
        <f>_xll.qlInstrumentSetPricingEngine(O521,OisEngine)</f>
        <v>1</v>
      </c>
      <c r="Q521" s="38">
        <f>_xll.qlIndexFixing(Currency&amp;IborType&amp;"3M",_xll.qlInterestRateIndexFixingDate(Currency&amp;IborType&amp;"3M",M521),TRUE,AllTriggers)</f>
        <v>1.8916133015127297E-2</v>
      </c>
      <c r="R521" s="38">
        <f>_xll.qlOvernightIndexedSwapFairRate(O521,AllTriggers)</f>
        <v>1.8736365641296385E-2</v>
      </c>
      <c r="S521" s="345">
        <f t="shared" si="10"/>
        <v>1.7976737383091149E-4</v>
      </c>
    </row>
    <row r="522" spans="5:19" ht="11.25" customHeight="1" x14ac:dyDescent="0.2">
      <c r="E522" s="254"/>
      <c r="F522" s="254"/>
      <c r="G522" s="39"/>
      <c r="J522" s="39"/>
      <c r="K522" s="39"/>
      <c r="M522" s="346">
        <f>_xll.qlCalendarAdvance(Calendar,M521,"1M","f",,Trigger)</f>
        <v>58166</v>
      </c>
      <c r="N522" s="344">
        <f>_xll.qlCalendarAdvance(Calendar,M522,"3M","mf",,Trigger)</f>
        <v>58257</v>
      </c>
      <c r="O522" s="40" t="str">
        <f>_xll.qlMakeDatedOIS(,M522,N522,OvernightIndex,0,,,,EvaluationDate)</f>
        <v>obj_00821#0000</v>
      </c>
      <c r="P522" s="40" t="b">
        <f>_xll.qlInstrumentSetPricingEngine(O522,OisEngine)</f>
        <v>1</v>
      </c>
      <c r="Q522" s="38">
        <f>_xll.qlIndexFixing(Currency&amp;IborType&amp;"3M",_xll.qlInterestRateIndexFixingDate(Currency&amp;IborType&amp;"3M",M522),TRUE,AllTriggers)</f>
        <v>1.8905824645882498E-2</v>
      </c>
      <c r="R522" s="38">
        <f>_xll.qlOvernightIndexedSwapFairRate(O522,AllTriggers)</f>
        <v>1.8727704132109245E-2</v>
      </c>
      <c r="S522" s="345">
        <f t="shared" si="10"/>
        <v>1.7812051377325347E-4</v>
      </c>
    </row>
    <row r="523" spans="5:19" ht="11.25" customHeight="1" x14ac:dyDescent="0.2">
      <c r="E523" s="254"/>
      <c r="F523" s="254"/>
      <c r="G523" s="39"/>
      <c r="J523" s="39"/>
      <c r="K523" s="39"/>
      <c r="M523" s="346">
        <f>_xll.qlCalendarAdvance(Calendar,M522,"1M","f",,Trigger)</f>
        <v>58197</v>
      </c>
      <c r="N523" s="344">
        <f>_xll.qlCalendarAdvance(Calendar,M523,"3M","mf",,Trigger)</f>
        <v>58291</v>
      </c>
      <c r="O523" s="40" t="str">
        <f>_xll.qlMakeDatedOIS(,M523,N523,OvernightIndex,0,,,,EvaluationDate)</f>
        <v>obj_00822#0000</v>
      </c>
      <c r="P523" s="40" t="b">
        <f>_xll.qlInstrumentSetPricingEngine(O523,OisEngine)</f>
        <v>1</v>
      </c>
      <c r="Q523" s="38">
        <f>_xll.qlIndexFixing(Currency&amp;IborType&amp;"3M",_xll.qlInterestRateIndexFixingDate(Currency&amp;IborType&amp;"3M",M523),TRUE,AllTriggers)</f>
        <v>1.8897324032868375E-2</v>
      </c>
      <c r="R523" s="38">
        <f>_xll.qlOvernightIndexedSwapFairRate(O523,AllTriggers)</f>
        <v>1.8720138440720173E-2</v>
      </c>
      <c r="S523" s="345">
        <f t="shared" si="10"/>
        <v>1.7718559214820184E-4</v>
      </c>
    </row>
    <row r="524" spans="5:19" ht="11.25" customHeight="1" x14ac:dyDescent="0.2">
      <c r="E524" s="254"/>
      <c r="F524" s="254"/>
      <c r="G524" s="39"/>
      <c r="J524" s="39"/>
      <c r="K524" s="39"/>
      <c r="M524" s="346">
        <f>_xll.qlCalendarAdvance(Calendar,M523,"1M","f",,Trigger)</f>
        <v>58228</v>
      </c>
      <c r="N524" s="344">
        <f>_xll.qlCalendarAdvance(Calendar,M524,"3M","mf",,Trigger)</f>
        <v>58320</v>
      </c>
      <c r="O524" s="40" t="str">
        <f>_xll.qlMakeDatedOIS(,M524,N524,OvernightIndex,0,,,,EvaluationDate)</f>
        <v>obj_00823#0000</v>
      </c>
      <c r="P524" s="40" t="b">
        <f>_xll.qlInstrumentSetPricingEngine(O524,OisEngine)</f>
        <v>1</v>
      </c>
      <c r="Q524" s="38">
        <f>_xll.qlIndexFixing(Currency&amp;IborType&amp;"3M",_xll.qlInterestRateIndexFixingDate(Currency&amp;IborType&amp;"3M",M524),TRUE,AllTriggers)</f>
        <v>1.8887521783449098E-2</v>
      </c>
      <c r="R524" s="38">
        <f>_xll.qlOvernightIndexedSwapFairRate(O524,AllTriggers)</f>
        <v>1.8711227932868665E-2</v>
      </c>
      <c r="S524" s="345">
        <f t="shared" si="10"/>
        <v>1.7629385058043345E-4</v>
      </c>
    </row>
    <row r="525" spans="5:19" ht="11.25" customHeight="1" x14ac:dyDescent="0.2">
      <c r="E525" s="254"/>
      <c r="F525" s="254"/>
      <c r="G525" s="39"/>
      <c r="J525" s="39"/>
      <c r="K525" s="39"/>
      <c r="M525" s="346">
        <f>_xll.qlCalendarAdvance(Calendar,M524,"1M","f",,Trigger)</f>
        <v>58258</v>
      </c>
      <c r="N525" s="344">
        <f>_xll.qlCalendarAdvance(Calendar,M525,"3M","mf",,Trigger)</f>
        <v>58350</v>
      </c>
      <c r="O525" s="40" t="str">
        <f>_xll.qlMakeDatedOIS(,M525,N525,OvernightIndex,0,,,,EvaluationDate)</f>
        <v>obj_00824#0000</v>
      </c>
      <c r="P525" s="40" t="b">
        <f>_xll.qlInstrumentSetPricingEngine(O525,OisEngine)</f>
        <v>1</v>
      </c>
      <c r="Q525" s="38">
        <f>_xll.qlIndexFixing(Currency&amp;IborType&amp;"3M",_xll.qlInterestRateIndexFixingDate(Currency&amp;IborType&amp;"3M",M525),TRUE,AllTriggers)</f>
        <v>1.8879122966684425E-2</v>
      </c>
      <c r="R525" s="38">
        <f>_xll.qlOvernightIndexedSwapFairRate(O525,AllTriggers)</f>
        <v>1.8703686783901649E-2</v>
      </c>
      <c r="S525" s="345">
        <f t="shared" si="10"/>
        <v>1.7543618278277606E-4</v>
      </c>
    </row>
    <row r="526" spans="5:19" ht="11.25" customHeight="1" x14ac:dyDescent="0.2">
      <c r="E526" s="254"/>
      <c r="F526" s="254"/>
      <c r="G526" s="39"/>
      <c r="J526" s="39"/>
      <c r="K526" s="39"/>
      <c r="M526" s="346">
        <f>_xll.qlCalendarAdvance(Calendar,M525,"1M","f",,Trigger)</f>
        <v>58291</v>
      </c>
      <c r="N526" s="344">
        <f>_xll.qlCalendarAdvance(Calendar,M526,"3M","mf",,Trigger)</f>
        <v>58383</v>
      </c>
      <c r="O526" s="40" t="str">
        <f>_xll.qlMakeDatedOIS(,M526,N526,OvernightIndex,0,,,,EvaluationDate)</f>
        <v>obj_00825#0000</v>
      </c>
      <c r="P526" s="40" t="b">
        <f>_xll.qlInstrumentSetPricingEngine(O526,OisEngine)</f>
        <v>1</v>
      </c>
      <c r="Q526" s="38">
        <f>_xll.qlIndexFixing(Currency&amp;IborType&amp;"3M",_xll.qlInterestRateIndexFixingDate(Currency&amp;IborType&amp;"3M",M526),TRUE,AllTriggers)</f>
        <v>1.8870353347096521E-2</v>
      </c>
      <c r="R526" s="38">
        <f>_xll.qlOvernightIndexedSwapFairRate(O526,AllTriggers)</f>
        <v>1.8695842880169889E-2</v>
      </c>
      <c r="S526" s="345">
        <f t="shared" si="10"/>
        <v>1.7451046692663202E-4</v>
      </c>
    </row>
    <row r="527" spans="5:19" ht="11.25" customHeight="1" x14ac:dyDescent="0.2">
      <c r="E527" s="254"/>
      <c r="F527" s="254"/>
      <c r="G527" s="39"/>
      <c r="J527" s="39"/>
      <c r="K527" s="39"/>
      <c r="M527" s="346">
        <f>_xll.qlCalendarAdvance(Calendar,M526,"1M","f",,Trigger)</f>
        <v>58322</v>
      </c>
      <c r="N527" s="344">
        <f>_xll.qlCalendarAdvance(Calendar,M527,"3M","mf",,Trigger)</f>
        <v>58413</v>
      </c>
      <c r="O527" s="40" t="str">
        <f>_xll.qlMakeDatedOIS(,M527,N527,OvernightIndex,0,,,,EvaluationDate)</f>
        <v>obj_00a04#0000</v>
      </c>
      <c r="P527" s="40" t="b">
        <f>_xll.qlInstrumentSetPricingEngine(O527,OisEngine)</f>
        <v>1</v>
      </c>
      <c r="Q527" s="38">
        <f>_xll.qlIndexFixing(Currency&amp;IborType&amp;"3M",_xll.qlInterestRateIndexFixingDate(Currency&amp;IborType&amp;"3M",M527),TRUE,AllTriggers)</f>
        <v>1.8862188265612458E-2</v>
      </c>
      <c r="R527" s="38">
        <f>_xll.qlOvernightIndexedSwapFairRate(O527,AllTriggers)</f>
        <v>1.8688526044460436E-2</v>
      </c>
      <c r="S527" s="345">
        <f t="shared" si="10"/>
        <v>1.7366222115202182E-4</v>
      </c>
    </row>
    <row r="528" spans="5:19" ht="11.25" customHeight="1" x14ac:dyDescent="0.2">
      <c r="E528" s="254"/>
      <c r="F528" s="254"/>
      <c r="G528" s="39"/>
      <c r="J528" s="39"/>
      <c r="K528" s="39"/>
      <c r="M528" s="346">
        <f>_xll.qlCalendarAdvance(Calendar,M527,"1M","f",,Trigger)</f>
        <v>58354</v>
      </c>
      <c r="N528" s="344">
        <f>_xll.qlCalendarAdvance(Calendar,M528,"3M","mf",,Trigger)</f>
        <v>58446</v>
      </c>
      <c r="O528" s="40" t="str">
        <f>_xll.qlMakeDatedOIS(,M528,N528,OvernightIndex,0,,,,EvaluationDate)</f>
        <v>obj_00827#0000</v>
      </c>
      <c r="P528" s="40" t="b">
        <f>_xll.qlInstrumentSetPricingEngine(O528,OisEngine)</f>
        <v>1</v>
      </c>
      <c r="Q528" s="38">
        <f>_xll.qlIndexFixing(Currency&amp;IborType&amp;"3M",_xll.qlInterestRateIndexFixingDate(Currency&amp;IborType&amp;"3M",M528),TRUE,AllTriggers)</f>
        <v>1.8854975927634392E-2</v>
      </c>
      <c r="R528" s="38">
        <f>_xll.qlOvernightIndexedSwapFairRate(O528,AllTriggers)</f>
        <v>1.8682181192660789E-2</v>
      </c>
      <c r="S528" s="345">
        <f t="shared" si="10"/>
        <v>1.7279473497360323E-4</v>
      </c>
    </row>
    <row r="529" spans="5:19" ht="11.25" customHeight="1" x14ac:dyDescent="0.2">
      <c r="E529" s="254"/>
      <c r="F529" s="254"/>
      <c r="G529" s="39"/>
      <c r="J529" s="39"/>
      <c r="K529" s="39"/>
      <c r="M529" s="346">
        <f>_xll.qlCalendarAdvance(Calendar,M528,"1M","f",,Trigger)</f>
        <v>58385</v>
      </c>
      <c r="N529" s="344">
        <f>_xll.qlCalendarAdvance(Calendar,M529,"3M","mf",,Trigger)</f>
        <v>58477</v>
      </c>
      <c r="O529" s="40" t="str">
        <f>_xll.qlMakeDatedOIS(,M529,N529,OvernightIndex,0,,,,EvaluationDate)</f>
        <v>obj_009b1#0000</v>
      </c>
      <c r="P529" s="40" t="b">
        <f>_xll.qlInstrumentSetPricingEngine(O529,OisEngine)</f>
        <v>1</v>
      </c>
      <c r="Q529" s="38">
        <f>_xll.qlIndexFixing(Currency&amp;IborType&amp;"3M",_xll.qlInterestRateIndexFixingDate(Currency&amp;IborType&amp;"3M",M529),TRUE,AllTriggers)</f>
        <v>1.8848066727731753E-2</v>
      </c>
      <c r="R529" s="38">
        <f>_xll.qlOvernightIndexedSwapFairRate(O529,AllTriggers)</f>
        <v>1.8676091408151952E-2</v>
      </c>
      <c r="S529" s="345">
        <f t="shared" si="10"/>
        <v>1.7197531957980142E-4</v>
      </c>
    </row>
    <row r="530" spans="5:19" ht="11.25" customHeight="1" x14ac:dyDescent="0.2">
      <c r="E530" s="254"/>
      <c r="F530" s="254"/>
      <c r="G530" s="39"/>
      <c r="J530" s="39"/>
      <c r="K530" s="39"/>
      <c r="M530" s="346">
        <f>_xll.qlCalendarAdvance(Calendar,M529,"1M","f",,Trigger)</f>
        <v>58417</v>
      </c>
      <c r="N530" s="344">
        <f>_xll.qlCalendarAdvance(Calendar,M530,"3M","mf",,Trigger)</f>
        <v>58508</v>
      </c>
      <c r="O530" s="40" t="str">
        <f>_xll.qlMakeDatedOIS(,M530,N530,OvernightIndex,0,,,,EvaluationDate)</f>
        <v>obj_00829#0000</v>
      </c>
      <c r="P530" s="40" t="b">
        <f>_xll.qlInstrumentSetPricingEngine(O530,OisEngine)</f>
        <v>1</v>
      </c>
      <c r="Q530" s="38">
        <f>_xll.qlIndexFixing(Currency&amp;IborType&amp;"3M",_xll.qlInterestRateIndexFixingDate(Currency&amp;IborType&amp;"3M",M530),TRUE,AllTriggers)</f>
        <v>1.8840994581719759E-2</v>
      </c>
      <c r="R530" s="38">
        <f>_xll.qlOvernightIndexedSwapFairRate(O530,AllTriggers)</f>
        <v>1.8669844142091611E-2</v>
      </c>
      <c r="S530" s="345">
        <f t="shared" si="10"/>
        <v>1.7115043962814824E-4</v>
      </c>
    </row>
    <row r="531" spans="5:19" ht="11.25" customHeight="1" x14ac:dyDescent="0.2">
      <c r="E531" s="254"/>
      <c r="F531" s="254"/>
      <c r="G531" s="39"/>
      <c r="J531" s="39"/>
      <c r="K531" s="39"/>
      <c r="M531" s="346">
        <f>_xll.qlCalendarAdvance(Calendar,M530,"1M","f",,Trigger)</f>
        <v>58448</v>
      </c>
      <c r="N531" s="344">
        <f>_xll.qlCalendarAdvance(Calendar,M531,"3M","mf",,Trigger)</f>
        <v>58539</v>
      </c>
      <c r="O531" s="40" t="str">
        <f>_xll.qlMakeDatedOIS(,M531,N531,OvernightIndex,0,,,,EvaluationDate)</f>
        <v>obj_0082a#0000</v>
      </c>
      <c r="P531" s="40" t="b">
        <f>_xll.qlInstrumentSetPricingEngine(O531,OisEngine)</f>
        <v>1</v>
      </c>
      <c r="Q531" s="38">
        <f>_xll.qlIndexFixing(Currency&amp;IborType&amp;"3M",_xll.qlInterestRateIndexFixingDate(Currency&amp;IborType&amp;"3M",M531),TRUE,AllTriggers)</f>
        <v>1.8834959979349423E-2</v>
      </c>
      <c r="R531" s="38">
        <f>_xll.qlOvernightIndexedSwapFairRate(O531,AllTriggers)</f>
        <v>1.8664595889387972E-2</v>
      </c>
      <c r="S531" s="345">
        <f t="shared" si="10"/>
        <v>1.7036408996145072E-4</v>
      </c>
    </row>
    <row r="532" spans="5:19" ht="11.25" customHeight="1" x14ac:dyDescent="0.2">
      <c r="E532" s="254"/>
      <c r="F532" s="254"/>
      <c r="G532" s="39"/>
      <c r="J532" s="39"/>
      <c r="K532" s="39"/>
      <c r="M532" s="346">
        <f>_xll.qlCalendarAdvance(Calendar,M531,"1M","f",,Trigger)</f>
        <v>58480</v>
      </c>
      <c r="N532" s="344">
        <f>_xll.qlCalendarAdvance(Calendar,M532,"3M","mf",,Trigger)</f>
        <v>58571</v>
      </c>
      <c r="O532" s="40" t="str">
        <f>_xll.qlMakeDatedOIS(,M532,N532,OvernightIndex,0,,,,EvaluationDate)</f>
        <v>obj_0082b#0000</v>
      </c>
      <c r="P532" s="40" t="b">
        <f>_xll.qlInstrumentSetPricingEngine(O532,OisEngine)</f>
        <v>1</v>
      </c>
      <c r="Q532" s="38">
        <f>_xll.qlIndexFixing(Currency&amp;IborType&amp;"3M",_xll.qlInterestRateIndexFixingDate(Currency&amp;IborType&amp;"3M",M532),TRUE,AllTriggers)</f>
        <v>1.8829185537809989E-2</v>
      </c>
      <c r="R532" s="38">
        <f>_xll.qlOvernightIndexedSwapFairRate(O532,AllTriggers)</f>
        <v>1.8659615985223338E-2</v>
      </c>
      <c r="S532" s="345">
        <f t="shared" si="10"/>
        <v>1.6956955258665141E-4</v>
      </c>
    </row>
    <row r="533" spans="5:19" ht="11.25" customHeight="1" x14ac:dyDescent="0.2">
      <c r="E533" s="254"/>
      <c r="F533" s="254"/>
      <c r="G533" s="39"/>
      <c r="J533" s="39"/>
      <c r="K533" s="39"/>
      <c r="M533" s="346">
        <f>_xll.qlCalendarAdvance(Calendar,M532,"1M","f",,Trigger)</f>
        <v>58509</v>
      </c>
      <c r="N533" s="344">
        <f>_xll.qlCalendarAdvance(Calendar,M533,"3M","mf",,Trigger)</f>
        <v>58601</v>
      </c>
      <c r="O533" s="40" t="str">
        <f>_xll.qlMakeDatedOIS(,M533,N533,OvernightIndex,0,,,,EvaluationDate)</f>
        <v>obj_0082d#0000</v>
      </c>
      <c r="P533" s="40" t="b">
        <f>_xll.qlInstrumentSetPricingEngine(O533,OisEngine)</f>
        <v>1</v>
      </c>
      <c r="Q533" s="38">
        <f>_xll.qlIndexFixing(Currency&amp;IborType&amp;"3M",_xll.qlInterestRateIndexFixingDate(Currency&amp;IborType&amp;"3M",M533),TRUE,AllTriggers)</f>
        <v>1.8824766359454341E-2</v>
      </c>
      <c r="R533" s="38">
        <f>_xll.qlOvernightIndexedSwapFairRate(O533,AllTriggers)</f>
        <v>1.865590491295914E-2</v>
      </c>
      <c r="S533" s="345">
        <f t="shared" si="10"/>
        <v>1.6886144649520124E-4</v>
      </c>
    </row>
    <row r="534" spans="5:19" ht="11.25" customHeight="1" x14ac:dyDescent="0.2">
      <c r="E534" s="254"/>
      <c r="F534" s="254"/>
      <c r="G534" s="39"/>
      <c r="J534" s="39"/>
      <c r="K534" s="39"/>
      <c r="M534" s="346">
        <f>_xll.qlCalendarAdvance(Calendar,M533,"1M","f",,Trigger)</f>
        <v>58540</v>
      </c>
      <c r="N534" s="344">
        <f>_xll.qlCalendarAdvance(Calendar,M534,"3M","mf",,Trigger)</f>
        <v>58631</v>
      </c>
      <c r="O534" s="40" t="str">
        <f>_xll.qlMakeDatedOIS(,M534,N534,OvernightIndex,0,,,,EvaluationDate)</f>
        <v>obj_0082e#0000</v>
      </c>
      <c r="P534" s="40" t="b">
        <f>_xll.qlInstrumentSetPricingEngine(O534,OisEngine)</f>
        <v>1</v>
      </c>
      <c r="Q534" s="38">
        <f>_xll.qlIndexFixing(Currency&amp;IborType&amp;"3M",_xll.qlInterestRateIndexFixingDate(Currency&amp;IborType&amp;"3M",M534),TRUE,AllTriggers)</f>
        <v>1.881960380841502E-2</v>
      </c>
      <c r="R534" s="38">
        <f>_xll.qlOvernightIndexedSwapFairRate(O534,AllTriggers)</f>
        <v>1.8651476978449294E-2</v>
      </c>
      <c r="S534" s="345">
        <f t="shared" si="10"/>
        <v>1.681268299657257E-4</v>
      </c>
    </row>
    <row r="535" spans="5:19" ht="11.25" customHeight="1" x14ac:dyDescent="0.2">
      <c r="E535" s="254"/>
      <c r="F535" s="254"/>
      <c r="G535" s="39"/>
      <c r="J535" s="39"/>
      <c r="K535" s="39"/>
      <c r="M535" s="346">
        <f>_xll.qlCalendarAdvance(Calendar,M534,"1M","f",,Trigger)</f>
        <v>58571</v>
      </c>
      <c r="N535" s="344">
        <f>_xll.qlCalendarAdvance(Calendar,M535,"3M","mf",,Trigger)</f>
        <v>58663</v>
      </c>
      <c r="O535" s="40" t="str">
        <f>_xll.qlMakeDatedOIS(,M535,N535,OvernightIndex,0,,,,EvaluationDate)</f>
        <v>obj_0082f#0000</v>
      </c>
      <c r="P535" s="40" t="b">
        <f>_xll.qlInstrumentSetPricingEngine(O535,OisEngine)</f>
        <v>1</v>
      </c>
      <c r="Q535" s="38">
        <f>_xll.qlIndexFixing(Currency&amp;IborType&amp;"3M",_xll.qlInterestRateIndexFixingDate(Currency&amp;IborType&amp;"3M",M535),TRUE,AllTriggers)</f>
        <v>1.881571800763697E-2</v>
      </c>
      <c r="R535" s="38">
        <f>_xll.qlOvernightIndexedSwapFairRate(O535,AllTriggers)</f>
        <v>1.8648315229038669E-2</v>
      </c>
      <c r="S535" s="345">
        <f t="shared" si="10"/>
        <v>1.6740277859830094E-4</v>
      </c>
    </row>
    <row r="536" spans="5:19" ht="11.25" customHeight="1" x14ac:dyDescent="0.2">
      <c r="E536" s="254"/>
      <c r="F536" s="254"/>
      <c r="G536" s="39"/>
      <c r="J536" s="39"/>
      <c r="K536" s="39"/>
      <c r="M536" s="346">
        <f>_xll.qlCalendarAdvance(Calendar,M535,"1M","f",,Trigger)</f>
        <v>58602</v>
      </c>
      <c r="N536" s="344">
        <f>_xll.qlCalendarAdvance(Calendar,M536,"3M","mf",,Trigger)</f>
        <v>58694</v>
      </c>
      <c r="O536" s="40" t="str">
        <f>_xll.qlMakeDatedOIS(,M536,N536,OvernightIndex,0,,,,EvaluationDate)</f>
        <v>obj_00830#0000</v>
      </c>
      <c r="P536" s="40" t="b">
        <f>_xll.qlInstrumentSetPricingEngine(O536,OisEngine)</f>
        <v>1</v>
      </c>
      <c r="Q536" s="38">
        <f>_xll.qlIndexFixing(Currency&amp;IborType&amp;"3M",_xll.qlInterestRateIndexFixingDate(Currency&amp;IborType&amp;"3M",M536),TRUE,AllTriggers)</f>
        <v>1.8811844284192344E-2</v>
      </c>
      <c r="R536" s="38">
        <f>_xll.qlOvernightIndexedSwapFairRate(O536,AllTriggers)</f>
        <v>1.8645146273421623E-2</v>
      </c>
      <c r="S536" s="345">
        <f t="shared" si="10"/>
        <v>1.6669801077072097E-4</v>
      </c>
    </row>
    <row r="537" spans="5:19" ht="11.25" customHeight="1" x14ac:dyDescent="0.2">
      <c r="E537" s="254"/>
      <c r="F537" s="254"/>
      <c r="G537" s="39"/>
      <c r="J537" s="39"/>
      <c r="K537" s="39"/>
      <c r="M537" s="346">
        <f>_xll.qlCalendarAdvance(Calendar,M536,"1M","f",,Trigger)</f>
        <v>58634</v>
      </c>
      <c r="N537" s="344">
        <f>_xll.qlCalendarAdvance(Calendar,M537,"3M","mf",,Trigger)</f>
        <v>58726</v>
      </c>
      <c r="O537" s="40" t="str">
        <f>_xll.qlMakeDatedOIS(,M537,N537,OvernightIndex,0,,,,EvaluationDate)</f>
        <v>obj_00831#0000</v>
      </c>
      <c r="P537" s="40" t="b">
        <f>_xll.qlInstrumentSetPricingEngine(O537,OisEngine)</f>
        <v>1</v>
      </c>
      <c r="Q537" s="38">
        <f>_xll.qlIndexFixing(Currency&amp;IborType&amp;"3M",_xll.qlInterestRateIndexFixingDate(Currency&amp;IborType&amp;"3M",M537),TRUE,AllTriggers)</f>
        <v>1.880830044300141E-2</v>
      </c>
      <c r="R537" s="38">
        <f>_xll.qlOvernightIndexedSwapFairRate(O537,AllTriggers)</f>
        <v>1.8642312756499652E-2</v>
      </c>
      <c r="S537" s="345">
        <f t="shared" si="10"/>
        <v>1.659876865017576E-4</v>
      </c>
    </row>
    <row r="538" spans="5:19" ht="11.25" customHeight="1" x14ac:dyDescent="0.2">
      <c r="E538" s="254"/>
      <c r="F538" s="254"/>
      <c r="G538" s="39"/>
      <c r="J538" s="39"/>
      <c r="K538" s="39"/>
      <c r="M538" s="346">
        <f>_xll.qlCalendarAdvance(Calendar,M537,"1M","f",,Trigger)</f>
        <v>58665</v>
      </c>
      <c r="N538" s="344">
        <f>_xll.qlCalendarAdvance(Calendar,M538,"3M","mf",,Trigger)</f>
        <v>58757</v>
      </c>
      <c r="O538" s="40" t="str">
        <f>_xll.qlMakeDatedOIS(,M538,N538,OvernightIndex,0,,,,EvaluationDate)</f>
        <v>obj_00832#0000</v>
      </c>
      <c r="P538" s="40" t="b">
        <f>_xll.qlInstrumentSetPricingEngine(O538,OisEngine)</f>
        <v>1</v>
      </c>
      <c r="Q538" s="38">
        <f>_xll.qlIndexFixing(Currency&amp;IborType&amp;"3M",_xll.qlInterestRateIndexFixingDate(Currency&amp;IborType&amp;"3M",M538),TRUE,AllTriggers)</f>
        <v>1.8805307972972245E-2</v>
      </c>
      <c r="R538" s="38">
        <f>_xll.qlOvernightIndexedSwapFairRate(O538,AllTriggers)</f>
        <v>1.8639991772185352E-2</v>
      </c>
      <c r="S538" s="345">
        <f t="shared" si="10"/>
        <v>1.6531620078689274E-4</v>
      </c>
    </row>
    <row r="539" spans="5:19" ht="11.25" customHeight="1" x14ac:dyDescent="0.2">
      <c r="E539" s="254"/>
      <c r="F539" s="254"/>
      <c r="G539" s="39"/>
      <c r="J539" s="39"/>
      <c r="K539" s="39"/>
      <c r="M539" s="346">
        <f>_xll.qlCalendarAdvance(Calendar,M538,"1M","f",,Trigger)</f>
        <v>58697</v>
      </c>
      <c r="N539" s="344">
        <f>_xll.qlCalendarAdvance(Calendar,M539,"3M","mf",,Trigger)</f>
        <v>58788</v>
      </c>
      <c r="O539" s="40" t="str">
        <f>_xll.qlMakeDatedOIS(,M539,N539,OvernightIndex,0,,,,EvaluationDate)</f>
        <v>obj_00833#0000</v>
      </c>
      <c r="P539" s="40" t="b">
        <f>_xll.qlInstrumentSetPricingEngine(O539,OisEngine)</f>
        <v>1</v>
      </c>
      <c r="Q539" s="38">
        <f>_xll.qlIndexFixing(Currency&amp;IborType&amp;"3M",_xll.qlInterestRateIndexFixingDate(Currency&amp;IborType&amp;"3M",M539),TRUE,AllTriggers)</f>
        <v>1.8802217738030327E-2</v>
      </c>
      <c r="R539" s="38">
        <f>_xll.qlOvernightIndexedSwapFairRate(O539,AllTriggers)</f>
        <v>1.8637575749808125E-2</v>
      </c>
      <c r="S539" s="345">
        <f t="shared" si="10"/>
        <v>1.6464198822220208E-4</v>
      </c>
    </row>
    <row r="540" spans="5:19" ht="11.25" customHeight="1" x14ac:dyDescent="0.2">
      <c r="E540" s="254"/>
      <c r="F540" s="254"/>
      <c r="G540" s="39"/>
      <c r="J540" s="39"/>
      <c r="K540" s="39"/>
      <c r="M540" s="346">
        <f>_xll.qlCalendarAdvance(Calendar,M539,"1M","f",,Trigger)</f>
        <v>58727</v>
      </c>
      <c r="N540" s="344">
        <f>_xll.qlCalendarAdvance(Calendar,M540,"3M","mf",,Trigger)</f>
        <v>58819</v>
      </c>
      <c r="O540" s="40" t="str">
        <f>_xll.qlMakeDatedOIS(,M540,N540,OvernightIndex,0,,,,EvaluationDate)</f>
        <v>obj_00835#0000</v>
      </c>
      <c r="P540" s="40" t="b">
        <f>_xll.qlInstrumentSetPricingEngine(O540,OisEngine)</f>
        <v>1</v>
      </c>
      <c r="Q540" s="38">
        <f>_xll.qlIndexFixing(Currency&amp;IborType&amp;"3M",_xll.qlInterestRateIndexFixingDate(Currency&amp;IborType&amp;"3M",M540),TRUE,AllTriggers)</f>
        <v>1.8800623925236477E-2</v>
      </c>
      <c r="R540" s="38">
        <f>_xll.qlOvernightIndexedSwapFairRate(O540,AllTriggers)</f>
        <v>1.8636601566542173E-2</v>
      </c>
      <c r="S540" s="345">
        <f t="shared" si="10"/>
        <v>1.6402235869430321E-4</v>
      </c>
    </row>
    <row r="541" spans="5:19" ht="11.25" customHeight="1" x14ac:dyDescent="0.2">
      <c r="E541" s="254"/>
      <c r="F541" s="254"/>
      <c r="G541" s="39"/>
      <c r="J541" s="39"/>
      <c r="K541" s="39"/>
      <c r="M541" s="346">
        <f>_xll.qlCalendarAdvance(Calendar,M540,"1M","f",,Trigger)</f>
        <v>58760</v>
      </c>
      <c r="N541" s="344">
        <f>_xll.qlCalendarAdvance(Calendar,M541,"3M","mf",,Trigger)</f>
        <v>58852</v>
      </c>
      <c r="O541" s="40" t="str">
        <f>_xll.qlMakeDatedOIS(,M541,N541,OvernightIndex,0,,,,EvaluationDate)</f>
        <v>obj_00836#0000</v>
      </c>
      <c r="P541" s="40" t="b">
        <f>_xll.qlInstrumentSetPricingEngine(O541,OisEngine)</f>
        <v>1</v>
      </c>
      <c r="Q541" s="38">
        <f>_xll.qlIndexFixing(Currency&amp;IborType&amp;"3M",_xll.qlInterestRateIndexFixingDate(Currency&amp;IborType&amp;"3M",M541),TRUE,AllTriggers)</f>
        <v>1.8798838102326059E-2</v>
      </c>
      <c r="R541" s="38">
        <f>_xll.qlOvernightIndexedSwapFairRate(O541,AllTriggers)</f>
        <v>1.8635477690194538E-2</v>
      </c>
      <c r="S541" s="345">
        <f t="shared" si="10"/>
        <v>1.6336041213152117E-4</v>
      </c>
    </row>
    <row r="542" spans="5:19" ht="11.25" customHeight="1" x14ac:dyDescent="0.2">
      <c r="E542" s="254"/>
      <c r="F542" s="254"/>
      <c r="G542" s="39"/>
      <c r="J542" s="39"/>
      <c r="K542" s="39"/>
      <c r="M542" s="346">
        <f>_xll.qlCalendarAdvance(Calendar,M541,"1M","f",,Trigger)</f>
        <v>58790</v>
      </c>
      <c r="N542" s="344">
        <f>_xll.qlCalendarAdvance(Calendar,M542,"3M","mf",,Trigger)</f>
        <v>58880</v>
      </c>
      <c r="O542" s="40" t="str">
        <f>_xll.qlMakeDatedOIS(,M542,N542,OvernightIndex,0,,,,EvaluationDate)</f>
        <v>obj_00838#0000</v>
      </c>
      <c r="P542" s="40" t="b">
        <f>_xll.qlInstrumentSetPricingEngine(O542,OisEngine)</f>
        <v>1</v>
      </c>
      <c r="Q542" s="38">
        <f>_xll.qlIndexFixing(Currency&amp;IborType&amp;"3M",_xll.qlInterestRateIndexFixingDate(Currency&amp;IborType&amp;"3M",M542),TRUE,AllTriggers)</f>
        <v>1.8796687619890839E-2</v>
      </c>
      <c r="R542" s="38">
        <f>_xll.qlOvernightIndexedSwapFairRate(O542,AllTriggers)</f>
        <v>1.8633910743440119E-2</v>
      </c>
      <c r="S542" s="345">
        <f t="shared" si="10"/>
        <v>1.6277687645072092E-4</v>
      </c>
    </row>
    <row r="543" spans="5:19" ht="11.25" customHeight="1" x14ac:dyDescent="0.2">
      <c r="E543" s="254"/>
      <c r="F543" s="254"/>
      <c r="G543" s="39"/>
      <c r="J543" s="39"/>
      <c r="K543" s="39"/>
      <c r="M543" s="346">
        <f>_xll.qlCalendarAdvance(Calendar,M542,"1M","f",,Trigger)</f>
        <v>58823</v>
      </c>
      <c r="N543" s="344">
        <f>_xll.qlCalendarAdvance(Calendar,M543,"3M","mf",,Trigger)</f>
        <v>58914</v>
      </c>
      <c r="O543" s="40" t="str">
        <f>_xll.qlMakeDatedOIS(,M543,N543,OvernightIndex,0,,,,EvaluationDate)</f>
        <v>obj_00839#0000</v>
      </c>
      <c r="P543" s="40" t="b">
        <f>_xll.qlInstrumentSetPricingEngine(O543,OisEngine)</f>
        <v>1</v>
      </c>
      <c r="Q543" s="38">
        <f>_xll.qlIndexFixing(Currency&amp;IborType&amp;"3M",_xll.qlInterestRateIndexFixingDate(Currency&amp;IborType&amp;"3M",M543),TRUE,AllTriggers)</f>
        <v>1.8796309121466393E-2</v>
      </c>
      <c r="R543" s="38">
        <f>_xll.qlOvernightIndexedSwapFairRate(O543,AllTriggers)</f>
        <v>1.8634160081151197E-2</v>
      </c>
      <c r="S543" s="345">
        <f t="shared" si="10"/>
        <v>1.6214904031519595E-4</v>
      </c>
    </row>
    <row r="544" spans="5:19" ht="11.25" customHeight="1" x14ac:dyDescent="0.2">
      <c r="E544" s="254"/>
      <c r="F544" s="254"/>
      <c r="G544" s="39"/>
      <c r="J544" s="39"/>
      <c r="K544" s="39"/>
      <c r="M544" s="346">
        <f>_xll.qlCalendarAdvance(Calendar,M543,"1M","f",,Trigger)</f>
        <v>58854</v>
      </c>
      <c r="N544" s="344">
        <f>_xll.qlCalendarAdvance(Calendar,M544,"3M","mf",,Trigger)</f>
        <v>58943</v>
      </c>
      <c r="O544" s="40" t="str">
        <f>_xll.qlMakeDatedOIS(,M544,N544,OvernightIndex,0,,,,EvaluationDate)</f>
        <v>obj_0083a#0000</v>
      </c>
      <c r="P544" s="40" t="b">
        <f>_xll.qlInstrumentSetPricingEngine(O544,OisEngine)</f>
        <v>1</v>
      </c>
      <c r="Q544" s="38">
        <f>_xll.qlIndexFixing(Currency&amp;IborType&amp;"3M",_xll.qlInterestRateIndexFixingDate(Currency&amp;IborType&amp;"3M",M544),TRUE,AllTriggers)</f>
        <v>1.8794971584364776E-2</v>
      </c>
      <c r="R544" s="38">
        <f>_xll.qlOvernightIndexedSwapFairRate(O544,AllTriggers)</f>
        <v>1.863339324820228E-2</v>
      </c>
      <c r="S544" s="345">
        <f t="shared" si="10"/>
        <v>1.6157833616249617E-4</v>
      </c>
    </row>
    <row r="545" spans="5:19" ht="11.25" customHeight="1" x14ac:dyDescent="0.2">
      <c r="E545" s="254"/>
      <c r="F545" s="254"/>
      <c r="G545" s="39"/>
      <c r="J545" s="39"/>
      <c r="K545" s="39"/>
      <c r="M545" s="346">
        <f>_xll.qlCalendarAdvance(Calendar,M544,"1M","f",,Trigger)</f>
        <v>58882</v>
      </c>
      <c r="N545" s="344">
        <f>_xll.qlCalendarAdvance(Calendar,M545,"3M","mf",,Trigger)</f>
        <v>58974</v>
      </c>
      <c r="O545" s="40" t="str">
        <f>_xll.qlMakeDatedOIS(,M545,N545,OvernightIndex,0,,,,EvaluationDate)</f>
        <v>obj_0083b#0000</v>
      </c>
      <c r="P545" s="40" t="b">
        <f>_xll.qlInstrumentSetPricingEngine(O545,OisEngine)</f>
        <v>1</v>
      </c>
      <c r="Q545" s="38">
        <f>_xll.qlIndexFixing(Currency&amp;IborType&amp;"3M",_xll.qlInterestRateIndexFixingDate(Currency&amp;IborType&amp;"3M",M545),TRUE,AllTriggers)</f>
        <v>1.8796502314992074E-2</v>
      </c>
      <c r="R545" s="38">
        <f>_xll.qlOvernightIndexedSwapFairRate(O545,AllTriggers)</f>
        <v>1.8635427984195221E-2</v>
      </c>
      <c r="S545" s="345">
        <f t="shared" si="10"/>
        <v>1.6107433079685235E-4</v>
      </c>
    </row>
    <row r="546" spans="5:19" ht="11.25" customHeight="1" x14ac:dyDescent="0.2">
      <c r="E546" s="254"/>
      <c r="F546" s="254"/>
      <c r="G546" s="39"/>
      <c r="J546" s="39"/>
      <c r="K546" s="39"/>
      <c r="M546" s="346">
        <f>_xll.qlCalendarAdvance(Calendar,M545,"1M","f",,Trigger)</f>
        <v>58914</v>
      </c>
      <c r="N546" s="344">
        <f>_xll.qlCalendarAdvance(Calendar,M546,"3M","mf",,Trigger)</f>
        <v>59005</v>
      </c>
      <c r="O546" s="40" t="str">
        <f>_xll.qlMakeDatedOIS(,M546,N546,OvernightIndex,0,,,,EvaluationDate)</f>
        <v>obj_0083c#0000</v>
      </c>
      <c r="P546" s="40" t="b">
        <f>_xll.qlInstrumentSetPricingEngine(O546,OisEngine)</f>
        <v>1</v>
      </c>
      <c r="Q546" s="38">
        <f>_xll.qlIndexFixing(Currency&amp;IborType&amp;"3M",_xll.qlInterestRateIndexFixingDate(Currency&amp;IborType&amp;"3M",M546),TRUE,AllTriggers)</f>
        <v>1.8796496737910971E-2</v>
      </c>
      <c r="R546" s="38">
        <f>_xll.qlOvernightIndexedSwapFairRate(O546,AllTriggers)</f>
        <v>1.8635979925646962E-2</v>
      </c>
      <c r="S546" s="345">
        <f t="shared" si="10"/>
        <v>1.6051681226400896E-4</v>
      </c>
    </row>
    <row r="547" spans="5:19" ht="11.25" customHeight="1" x14ac:dyDescent="0.2">
      <c r="E547" s="254"/>
      <c r="F547" s="254"/>
      <c r="G547" s="39"/>
      <c r="J547" s="39"/>
      <c r="K547" s="39"/>
      <c r="M547" s="346">
        <f>_xll.qlCalendarAdvance(Calendar,M546,"1M","f",,Trigger)</f>
        <v>58944</v>
      </c>
      <c r="N547" s="344">
        <f>_xll.qlCalendarAdvance(Calendar,M547,"3M","mf",,Trigger)</f>
        <v>59036</v>
      </c>
      <c r="O547" s="40" t="str">
        <f>_xll.qlMakeDatedOIS(,M547,N547,OvernightIndex,0,,,,EvaluationDate)</f>
        <v>obj_0083d#0000</v>
      </c>
      <c r="P547" s="40" t="b">
        <f>_xll.qlInstrumentSetPricingEngine(O547,OisEngine)</f>
        <v>1</v>
      </c>
      <c r="Q547" s="38">
        <f>_xll.qlIndexFixing(Currency&amp;IborType&amp;"3M",_xll.qlInterestRateIndexFixingDate(Currency&amp;IborType&amp;"3M",M547),TRUE,AllTriggers)</f>
        <v>1.8797889068803857E-2</v>
      </c>
      <c r="R547" s="38">
        <f>_xll.qlOvernightIndexedSwapFairRate(O547,AllTriggers)</f>
        <v>1.8637879322394604E-2</v>
      </c>
      <c r="S547" s="345">
        <f t="shared" si="10"/>
        <v>1.60009746409253E-4</v>
      </c>
    </row>
    <row r="548" spans="5:19" ht="11.25" customHeight="1" x14ac:dyDescent="0.2">
      <c r="E548" s="254"/>
      <c r="F548" s="254"/>
      <c r="G548" s="39"/>
      <c r="J548" s="39"/>
      <c r="K548" s="39"/>
      <c r="M548" s="346">
        <f>_xll.qlCalendarAdvance(Calendar,M547,"1M","f",,Trigger)</f>
        <v>58977</v>
      </c>
      <c r="N548" s="344">
        <f>_xll.qlCalendarAdvance(Calendar,M548,"3M","mf",,Trigger)</f>
        <v>59069</v>
      </c>
      <c r="O548" s="40" t="str">
        <f>_xll.qlMakeDatedOIS(,M548,N548,OvernightIndex,0,,,,EvaluationDate)</f>
        <v>obj_0083f#0000</v>
      </c>
      <c r="P548" s="40" t="b">
        <f>_xll.qlInstrumentSetPricingEngine(O548,OisEngine)</f>
        <v>1</v>
      </c>
      <c r="Q548" s="38">
        <f>_xll.qlIndexFixing(Currency&amp;IborType&amp;"3M",_xll.qlInterestRateIndexFixingDate(Currency&amp;IborType&amp;"3M",M548),TRUE,AllTriggers)</f>
        <v>1.8799334476986562E-2</v>
      </c>
      <c r="R548" s="38">
        <f>_xll.qlOvernightIndexedSwapFairRate(O548,AllTriggers)</f>
        <v>1.8639864655058961E-2</v>
      </c>
      <c r="S548" s="345">
        <f t="shared" si="10"/>
        <v>1.5946982192760126E-4</v>
      </c>
    </row>
    <row r="549" spans="5:19" ht="11.25" customHeight="1" x14ac:dyDescent="0.2">
      <c r="E549" s="254"/>
      <c r="F549" s="254"/>
      <c r="G549" s="39"/>
      <c r="J549" s="39"/>
      <c r="K549" s="39"/>
      <c r="M549" s="346">
        <f>_xll.qlCalendarAdvance(Calendar,M548,"1M","f",,Trigger)</f>
        <v>59007</v>
      </c>
      <c r="N549" s="344">
        <f>_xll.qlCalendarAdvance(Calendar,M549,"3M","mf",,Trigger)</f>
        <v>59099</v>
      </c>
      <c r="O549" s="40" t="str">
        <f>_xll.qlMakeDatedOIS(,M549,N549,OvernightIndex,0,,,,EvaluationDate)</f>
        <v>obj_00840#0000</v>
      </c>
      <c r="P549" s="40" t="b">
        <f>_xll.qlInstrumentSetPricingEngine(O549,OisEngine)</f>
        <v>1</v>
      </c>
      <c r="Q549" s="38">
        <f>_xll.qlIndexFixing(Currency&amp;IborType&amp;"3M",_xll.qlInterestRateIndexFixingDate(Currency&amp;IborType&amp;"3M",M549),TRUE,AllTriggers)</f>
        <v>1.880107489386066E-2</v>
      </c>
      <c r="R549" s="38">
        <f>_xll.qlOvernightIndexedSwapFairRate(O549,AllTriggers)</f>
        <v>1.8642079810400721E-2</v>
      </c>
      <c r="S549" s="345">
        <f t="shared" si="10"/>
        <v>1.5899508345993893E-4</v>
      </c>
    </row>
    <row r="550" spans="5:19" ht="11.25" customHeight="1" x14ac:dyDescent="0.2">
      <c r="E550" s="254"/>
      <c r="F550" s="254"/>
      <c r="G550" s="39"/>
      <c r="J550" s="39"/>
      <c r="K550" s="39"/>
      <c r="M550" s="346">
        <f>_xll.qlCalendarAdvance(Calendar,M549,"1M","f",,Trigger)</f>
        <v>59040</v>
      </c>
      <c r="N550" s="344">
        <f>_xll.qlCalendarAdvance(Calendar,M550,"3M","mf",,Trigger)</f>
        <v>59132</v>
      </c>
      <c r="O550" s="40" t="str">
        <f>_xll.qlMakeDatedOIS(,M550,N550,OvernightIndex,0,,,,EvaluationDate)</f>
        <v>obj_00842#0000</v>
      </c>
      <c r="P550" s="40" t="b">
        <f>_xll.qlInstrumentSetPricingEngine(O550,OisEngine)</f>
        <v>1</v>
      </c>
      <c r="Q550" s="38">
        <f>_xll.qlIndexFixing(Currency&amp;IborType&amp;"3M",_xll.qlInterestRateIndexFixingDate(Currency&amp;IborType&amp;"3M",M550),TRUE,AllTriggers)</f>
        <v>1.8803458403460784E-2</v>
      </c>
      <c r="R550" s="38">
        <f>_xll.qlOvernightIndexedSwapFairRate(O550,AllTriggers)</f>
        <v>1.8644967820299774E-2</v>
      </c>
      <c r="S550" s="345">
        <f t="shared" si="10"/>
        <v>1.5849058316100978E-4</v>
      </c>
    </row>
    <row r="551" spans="5:19" ht="11.25" customHeight="1" x14ac:dyDescent="0.2">
      <c r="E551" s="254"/>
      <c r="F551" s="254"/>
      <c r="G551" s="39"/>
      <c r="J551" s="39"/>
      <c r="K551" s="39"/>
      <c r="M551" s="346">
        <f>_xll.qlCalendarAdvance(Calendar,M550,"1M","f",,Trigger)</f>
        <v>59071</v>
      </c>
      <c r="N551" s="344">
        <f>_xll.qlCalendarAdvance(Calendar,M551,"3M","mf",,Trigger)</f>
        <v>59162</v>
      </c>
      <c r="O551" s="40" t="str">
        <f>_xll.qlMakeDatedOIS(,M551,N551,OvernightIndex,0,,,,EvaluationDate)</f>
        <v>obj_00843#0000</v>
      </c>
      <c r="P551" s="40" t="b">
        <f>_xll.qlInstrumentSetPricingEngine(O551,OisEngine)</f>
        <v>1</v>
      </c>
      <c r="Q551" s="38">
        <f>_xll.qlIndexFixing(Currency&amp;IborType&amp;"3M",_xll.qlInterestRateIndexFixingDate(Currency&amp;IborType&amp;"3M",M551),TRUE,AllTriggers)</f>
        <v>1.8805604448102271E-2</v>
      </c>
      <c r="R551" s="38">
        <f>_xll.qlOvernightIndexedSwapFairRate(O551,AllTriggers)</f>
        <v>1.8647571976849853E-2</v>
      </c>
      <c r="S551" s="345">
        <f t="shared" si="10"/>
        <v>1.5803247125241796E-4</v>
      </c>
    </row>
    <row r="552" spans="5:19" ht="11.25" customHeight="1" x14ac:dyDescent="0.2">
      <c r="E552" s="254"/>
      <c r="F552" s="254"/>
      <c r="G552" s="39"/>
      <c r="J552" s="39"/>
      <c r="K552" s="39"/>
      <c r="M552" s="346">
        <f>_xll.qlCalendarAdvance(Calendar,M551,"1M","f",,Trigger)</f>
        <v>59103</v>
      </c>
      <c r="N552" s="344">
        <f>_xll.qlCalendarAdvance(Calendar,M552,"3M","mf",,Trigger)</f>
        <v>59195</v>
      </c>
      <c r="O552" s="40" t="str">
        <f>_xll.qlMakeDatedOIS(,M552,N552,OvernightIndex,0,,,,EvaluationDate)</f>
        <v>obj_00845#0000</v>
      </c>
      <c r="P552" s="40" t="b">
        <f>_xll.qlInstrumentSetPricingEngine(O552,OisEngine)</f>
        <v>1</v>
      </c>
      <c r="Q552" s="38">
        <f>_xll.qlIndexFixing(Currency&amp;IborType&amp;"3M",_xll.qlInterestRateIndexFixingDate(Currency&amp;IborType&amp;"3M",M552),TRUE,AllTriggers)</f>
        <v>1.8809373255412491E-2</v>
      </c>
      <c r="R552" s="38">
        <f>_xll.qlOvernightIndexedSwapFairRate(O552,AllTriggers)</f>
        <v>1.8651794283832488E-2</v>
      </c>
      <c r="S552" s="345">
        <f t="shared" si="10"/>
        <v>1.5757897158000245E-4</v>
      </c>
    </row>
    <row r="553" spans="5:19" ht="11.25" customHeight="1" x14ac:dyDescent="0.2">
      <c r="E553" s="254"/>
      <c r="F553" s="254"/>
      <c r="G553" s="39"/>
      <c r="J553" s="39"/>
      <c r="K553" s="39"/>
      <c r="M553" s="346">
        <f>_xll.qlCalendarAdvance(Calendar,M552,"1M","f",,Trigger)</f>
        <v>59134</v>
      </c>
      <c r="N553" s="344">
        <f>_xll.qlCalendarAdvance(Calendar,M553,"3M","mf",,Trigger)</f>
        <v>59226</v>
      </c>
      <c r="O553" s="40" t="str">
        <f>_xll.qlMakeDatedOIS(,M553,N553,OvernightIndex,0,,,,EvaluationDate)</f>
        <v>obj_00955#0000</v>
      </c>
      <c r="P553" s="40" t="b">
        <f>_xll.qlInstrumentSetPricingEngine(O553,OisEngine)</f>
        <v>1</v>
      </c>
      <c r="Q553" s="38">
        <f>_xll.qlIndexFixing(Currency&amp;IborType&amp;"3M",_xll.qlInterestRateIndexFixingDate(Currency&amp;IborType&amp;"3M",M553),TRUE,AllTriggers)</f>
        <v>1.8812941180252413E-2</v>
      </c>
      <c r="R553" s="38">
        <f>_xll.qlOvernightIndexedSwapFairRate(O553,AllTriggers)</f>
        <v>1.8655785954128527E-2</v>
      </c>
      <c r="S553" s="345">
        <f t="shared" si="10"/>
        <v>1.5715522612388608E-4</v>
      </c>
    </row>
    <row r="554" spans="5:19" ht="11.25" customHeight="1" x14ac:dyDescent="0.2">
      <c r="E554" s="254"/>
      <c r="F554" s="254"/>
      <c r="G554" s="39"/>
      <c r="J554" s="39"/>
      <c r="K554" s="39"/>
      <c r="M554" s="346">
        <f>_xll.qlCalendarAdvance(Calendar,M553,"1M","f",,Trigger)</f>
        <v>59167</v>
      </c>
      <c r="N554" s="344">
        <f>_xll.qlCalendarAdvance(Calendar,M554,"3M","mf",,Trigger)</f>
        <v>59258</v>
      </c>
      <c r="O554" s="40" t="str">
        <f>_xll.qlMakeDatedOIS(,M554,N554,OvernightIndex,0,,,,EvaluationDate)</f>
        <v>obj_0090c#0000</v>
      </c>
      <c r="P554" s="40" t="b">
        <f>_xll.qlInstrumentSetPricingEngine(O554,OisEngine)</f>
        <v>1</v>
      </c>
      <c r="Q554" s="38">
        <f>_xll.qlIndexFixing(Currency&amp;IborType&amp;"3M",_xll.qlInterestRateIndexFixingDate(Currency&amp;IborType&amp;"3M",M554),TRUE,AllTriggers)</f>
        <v>1.881665293100622E-2</v>
      </c>
      <c r="R554" s="38">
        <f>_xll.qlOvernightIndexedSwapFairRate(O554,AllTriggers)</f>
        <v>1.8659932640819145E-2</v>
      </c>
      <c r="S554" s="345">
        <f t="shared" si="10"/>
        <v>1.5672029018707484E-4</v>
      </c>
    </row>
    <row r="555" spans="5:19" ht="11.25" customHeight="1" x14ac:dyDescent="0.2">
      <c r="E555" s="254"/>
      <c r="F555" s="254"/>
      <c r="G555" s="39"/>
      <c r="J555" s="39"/>
      <c r="K555" s="39"/>
      <c r="M555" s="346">
        <f>_xll.qlCalendarAdvance(Calendar,M554,"1M","f",,Trigger)</f>
        <v>59198</v>
      </c>
      <c r="N555" s="344">
        <f>_xll.qlCalendarAdvance(Calendar,M555,"3M","mf",,Trigger)</f>
        <v>59288</v>
      </c>
      <c r="O555" s="40" t="str">
        <f>_xll.qlMakeDatedOIS(,M555,N555,OvernightIndex,0,,,,EvaluationDate)</f>
        <v>obj_00847#0000</v>
      </c>
      <c r="P555" s="40" t="b">
        <f>_xll.qlInstrumentSetPricingEngine(O555,OisEngine)</f>
        <v>1</v>
      </c>
      <c r="Q555" s="38">
        <f>_xll.qlIndexFixing(Currency&amp;IborType&amp;"3M",_xll.qlInterestRateIndexFixingDate(Currency&amp;IborType&amp;"3M",M555),TRUE,AllTriggers)</f>
        <v>1.8820538960106603E-2</v>
      </c>
      <c r="R555" s="38">
        <f>_xll.qlOvernightIndexedSwapFairRate(O555,AllTriggers)</f>
        <v>1.8664210941914838E-2</v>
      </c>
      <c r="S555" s="345">
        <f t="shared" si="10"/>
        <v>1.5632801819176478E-4</v>
      </c>
    </row>
    <row r="556" spans="5:19" ht="11.25" customHeight="1" x14ac:dyDescent="0.2">
      <c r="E556" s="254"/>
      <c r="F556" s="254"/>
      <c r="G556" s="39"/>
      <c r="J556" s="39"/>
      <c r="K556" s="39"/>
      <c r="M556" s="346">
        <f>_xll.qlCalendarAdvance(Calendar,M555,"1M","f",,Trigger)</f>
        <v>59229</v>
      </c>
      <c r="N556" s="344">
        <f>_xll.qlCalendarAdvance(Calendar,M556,"3M","mf",,Trigger)</f>
        <v>59320</v>
      </c>
      <c r="O556" s="40" t="str">
        <f>_xll.qlMakeDatedOIS(,M556,N556,OvernightIndex,0,,,,EvaluationDate)</f>
        <v>obj_00848#0000</v>
      </c>
      <c r="P556" s="40" t="b">
        <f>_xll.qlInstrumentSetPricingEngine(O556,OisEngine)</f>
        <v>1</v>
      </c>
      <c r="Q556" s="38">
        <f>_xll.qlIndexFixing(Currency&amp;IborType&amp;"3M",_xll.qlInterestRateIndexFixingDate(Currency&amp;IborType&amp;"3M",M556),TRUE,AllTriggers)</f>
        <v>1.8825998431394722E-2</v>
      </c>
      <c r="R556" s="38">
        <f>_xll.qlOvernightIndexedSwapFairRate(O556,AllTriggers)</f>
        <v>1.8670042142262595E-2</v>
      </c>
      <c r="S556" s="345">
        <f t="shared" si="10"/>
        <v>1.5595628913212672E-4</v>
      </c>
    </row>
    <row r="557" spans="5:19" ht="11.25" customHeight="1" x14ac:dyDescent="0.2">
      <c r="E557" s="254"/>
      <c r="F557" s="254"/>
      <c r="G557" s="39"/>
      <c r="J557" s="39"/>
      <c r="K557" s="39"/>
      <c r="M557" s="346">
        <f>_xll.qlCalendarAdvance(Calendar,M556,"1M","f",,Trigger)</f>
        <v>59258</v>
      </c>
      <c r="N557" s="344">
        <f>_xll.qlCalendarAdvance(Calendar,M557,"3M","mf",,Trigger)</f>
        <v>59350</v>
      </c>
      <c r="O557" s="40" t="str">
        <f>_xll.qlMakeDatedOIS(,M557,N557,OvernightIndex,0,,,,EvaluationDate)</f>
        <v>obj_00849#0000</v>
      </c>
      <c r="P557" s="40" t="b">
        <f>_xll.qlInstrumentSetPricingEngine(O557,OisEngine)</f>
        <v>1</v>
      </c>
      <c r="Q557" s="38">
        <f>_xll.qlIndexFixing(Currency&amp;IborType&amp;"3M",_xll.qlInterestRateIndexFixingDate(Currency&amp;IborType&amp;"3M",M557),TRUE,AllTriggers)</f>
        <v>1.8831549229394839E-2</v>
      </c>
      <c r="R557" s="38">
        <f>_xll.qlOvernightIndexedSwapFairRate(O557,AllTriggers)</f>
        <v>1.8675925245605619E-2</v>
      </c>
      <c r="S557" s="345">
        <f t="shared" si="10"/>
        <v>1.5562398378922079E-4</v>
      </c>
    </row>
    <row r="558" spans="5:19" ht="11.25" customHeight="1" x14ac:dyDescent="0.2">
      <c r="E558" s="254"/>
      <c r="F558" s="254"/>
      <c r="G558" s="39"/>
      <c r="J558" s="39"/>
      <c r="K558" s="39"/>
      <c r="M558" s="346">
        <f>_xll.qlCalendarAdvance(Calendar,M557,"1M","f",,Trigger)</f>
        <v>59289</v>
      </c>
      <c r="N558" s="344">
        <f>_xll.qlCalendarAdvance(Calendar,M558,"3M","mf",,Trigger)</f>
        <v>59380</v>
      </c>
      <c r="O558" s="40" t="str">
        <f>_xll.qlMakeDatedOIS(,M558,N558,OvernightIndex,0,,,,EvaluationDate)</f>
        <v>obj_009e3#0000</v>
      </c>
      <c r="P558" s="40" t="b">
        <f>_xll.qlInstrumentSetPricingEngine(O558,OisEngine)</f>
        <v>1</v>
      </c>
      <c r="Q558" s="38">
        <f>_xll.qlIndexFixing(Currency&amp;IborType&amp;"3M",_xll.qlInterestRateIndexFixingDate(Currency&amp;IborType&amp;"3M",M558),TRUE,AllTriggers)</f>
        <v>1.8838468739523061E-2</v>
      </c>
      <c r="R558" s="38">
        <f>_xll.qlOvernightIndexedSwapFairRate(O558,AllTriggers)</f>
        <v>1.8681414612783057E-2</v>
      </c>
      <c r="S558" s="345">
        <f t="shared" si="10"/>
        <v>1.5705412674000413E-4</v>
      </c>
    </row>
    <row r="559" spans="5:19" ht="11.25" customHeight="1" x14ac:dyDescent="0.2">
      <c r="E559" s="254"/>
      <c r="F559" s="254"/>
      <c r="G559" s="39"/>
      <c r="J559" s="39"/>
      <c r="K559" s="39"/>
      <c r="M559" s="346">
        <f>_xll.qlCalendarAdvance(Calendar,M558,"1M","f",,Trigger)</f>
        <v>59320</v>
      </c>
      <c r="N559" s="344">
        <f>_xll.qlCalendarAdvance(Calendar,M559,"3M","mf",,Trigger)</f>
        <v>59412</v>
      </c>
      <c r="O559" s="40" t="str">
        <f>_xll.qlMakeDatedOIS(,M559,N559,OvernightIndex,0,,,,EvaluationDate)</f>
        <v>obj_0084b#0000</v>
      </c>
      <c r="P559" s="40" t="b">
        <f>_xll.qlInstrumentSetPricingEngine(O559,OisEngine)</f>
        <v>1</v>
      </c>
      <c r="Q559" s="38">
        <f>_xll.qlIndexFixing(Currency&amp;IborType&amp;"3M",_xll.qlInterestRateIndexFixingDate(Currency&amp;IborType&amp;"3M",M559),TRUE,AllTriggers)</f>
        <v>1.8843455085885096E-2</v>
      </c>
      <c r="R559" s="38">
        <f>_xll.qlOvernightIndexedSwapFairRate(O559,AllTriggers)</f>
        <v>1.8688498480426734E-2</v>
      </c>
      <c r="S559" s="345">
        <f t="shared" si="10"/>
        <v>1.5495660545836176E-4</v>
      </c>
    </row>
    <row r="560" spans="5:19" ht="11.25" customHeight="1" x14ac:dyDescent="0.2">
      <c r="E560" s="254"/>
      <c r="F560" s="254"/>
      <c r="G560" s="39"/>
      <c r="J560" s="39"/>
      <c r="K560" s="39"/>
      <c r="M560" s="346">
        <f>_xll.qlCalendarAdvance(Calendar,M559,"1M","f",,Trigger)</f>
        <v>59351</v>
      </c>
      <c r="N560" s="344">
        <f>_xll.qlCalendarAdvance(Calendar,M560,"3M","mf",,Trigger)</f>
        <v>59443</v>
      </c>
      <c r="O560" s="40" t="str">
        <f>_xll.qlMakeDatedOIS(,M560,N560,OvernightIndex,0,,,,EvaluationDate)</f>
        <v>obj_00954#0000</v>
      </c>
      <c r="P560" s="40" t="b">
        <f>_xll.qlInstrumentSetPricingEngine(O560,OisEngine)</f>
        <v>1</v>
      </c>
      <c r="Q560" s="38">
        <f>_xll.qlIndexFixing(Currency&amp;IborType&amp;"3M",_xll.qlInterestRateIndexFixingDate(Currency&amp;IborType&amp;"3M",M560),TRUE,AllTriggers)</f>
        <v>1.8850058478626402E-2</v>
      </c>
      <c r="R560" s="38">
        <f>_xll.qlOvernightIndexedSwapFairRate(O560,AllTriggers)</f>
        <v>1.8695411001765545E-2</v>
      </c>
      <c r="S560" s="345">
        <f t="shared" si="10"/>
        <v>1.5464747686085717E-4</v>
      </c>
    </row>
    <row r="561" spans="5:19" ht="11.25" customHeight="1" x14ac:dyDescent="0.2">
      <c r="E561" s="254"/>
      <c r="F561" s="254"/>
      <c r="G561" s="39"/>
      <c r="J561" s="39"/>
      <c r="K561" s="39"/>
      <c r="M561" s="346">
        <f>_xll.qlCalendarAdvance(Calendar,M560,"1M","f",,Trigger)</f>
        <v>59383</v>
      </c>
      <c r="N561" s="344">
        <f>_xll.qlCalendarAdvance(Calendar,M561,"3M","mf",,Trigger)</f>
        <v>59475</v>
      </c>
      <c r="O561" s="40" t="str">
        <f>_xll.qlMakeDatedOIS(,M561,N561,OvernightIndex,0,,,,EvaluationDate)</f>
        <v>obj_0084d#0000</v>
      </c>
      <c r="P561" s="40" t="b">
        <f>_xll.qlInstrumentSetPricingEngine(O561,OisEngine)</f>
        <v>1</v>
      </c>
      <c r="Q561" s="38">
        <f>_xll.qlIndexFixing(Currency&amp;IborType&amp;"3M",_xll.qlInterestRateIndexFixingDate(Currency&amp;IborType&amp;"3M",M561),TRUE,AllTriggers)</f>
        <v>1.8857329738413722E-2</v>
      </c>
      <c r="R561" s="38">
        <f>_xll.qlOvernightIndexedSwapFairRate(O561,AllTriggers)</f>
        <v>1.8702984187555321E-2</v>
      </c>
      <c r="S561" s="345">
        <f t="shared" si="10"/>
        <v>1.5434555085840074E-4</v>
      </c>
    </row>
    <row r="562" spans="5:19" ht="11.25" customHeight="1" x14ac:dyDescent="0.2">
      <c r="E562" s="254"/>
      <c r="F562" s="254"/>
      <c r="G562" s="39"/>
      <c r="J562" s="39"/>
      <c r="K562" s="39"/>
      <c r="M562" s="346">
        <f>_xll.qlCalendarAdvance(Calendar,M561,"1M","f",,Trigger)</f>
        <v>59414</v>
      </c>
      <c r="N562" s="344">
        <f>_xll.qlCalendarAdvance(Calendar,M562,"3M","mf",,Trigger)</f>
        <v>59505</v>
      </c>
      <c r="O562" s="40" t="str">
        <f>_xll.qlMakeDatedOIS(,M562,N562,OvernightIndex,0,,,,EvaluationDate)</f>
        <v>obj_0084e#0000</v>
      </c>
      <c r="P562" s="40" t="b">
        <f>_xll.qlInstrumentSetPricingEngine(O562,OisEngine)</f>
        <v>1</v>
      </c>
      <c r="Q562" s="38">
        <f>_xll.qlIndexFixing(Currency&amp;IborType&amp;"3M",_xll.qlInterestRateIndexFixingDate(Currency&amp;IborType&amp;"3M",M562),TRUE,AllTriggers)</f>
        <v>1.8864193340097802E-2</v>
      </c>
      <c r="R562" s="38">
        <f>_xll.qlOvernightIndexedSwapFairRate(O562,AllTriggers)</f>
        <v>1.8710127474223612E-2</v>
      </c>
      <c r="S562" s="345">
        <f t="shared" si="10"/>
        <v>1.5406586587419016E-4</v>
      </c>
    </row>
    <row r="563" spans="5:19" ht="11.25" customHeight="1" x14ac:dyDescent="0.2">
      <c r="E563" s="254"/>
      <c r="F563" s="254"/>
      <c r="G563" s="39"/>
      <c r="J563" s="39"/>
      <c r="K563" s="39"/>
      <c r="M563" s="346">
        <f>_xll.qlCalendarAdvance(Calendar,M562,"1M","f",,Trigger)</f>
        <v>59446</v>
      </c>
      <c r="N563" s="344">
        <f>_xll.qlCalendarAdvance(Calendar,M563,"3M","mf",,Trigger)</f>
        <v>59538</v>
      </c>
      <c r="O563" s="40" t="str">
        <f>_xll.qlMakeDatedOIS(,M563,N563,OvernightIndex,0,,,,EvaluationDate)</f>
        <v>obj_0084f#0000</v>
      </c>
      <c r="P563" s="40" t="b">
        <f>_xll.qlInstrumentSetPricingEngine(O563,OisEngine)</f>
        <v>1</v>
      </c>
      <c r="Q563" s="38">
        <f>_xll.qlIndexFixing(Currency&amp;IborType&amp;"3M",_xll.qlInterestRateIndexFixingDate(Currency&amp;IborType&amp;"3M",M563),TRUE,AllTriggers)</f>
        <v>1.8872995390034862E-2</v>
      </c>
      <c r="R563" s="38">
        <f>_xll.qlOvernightIndexedSwapFairRate(O563,AllTriggers)</f>
        <v>1.8719193269261747E-2</v>
      </c>
      <c r="S563" s="345">
        <f t="shared" si="10"/>
        <v>1.5380212077311523E-4</v>
      </c>
    </row>
    <row r="564" spans="5:19" ht="11.25" customHeight="1" x14ac:dyDescent="0.2">
      <c r="E564" s="254"/>
      <c r="F564" s="254"/>
      <c r="G564" s="39"/>
      <c r="J564" s="39"/>
      <c r="K564" s="39"/>
      <c r="M564" s="346">
        <f>_xll.qlCalendarAdvance(Calendar,M563,"1M","f",,Trigger)</f>
        <v>59477</v>
      </c>
      <c r="N564" s="344">
        <f>_xll.qlCalendarAdvance(Calendar,M564,"3M","mf",,Trigger)</f>
        <v>59569</v>
      </c>
      <c r="O564" s="40" t="str">
        <f>_xll.qlMakeDatedOIS(,M564,N564,OvernightIndex,0,,,,EvaluationDate)</f>
        <v>obj_00850#0000</v>
      </c>
      <c r="P564" s="40" t="b">
        <f>_xll.qlInstrumentSetPricingEngine(O564,OisEngine)</f>
        <v>1</v>
      </c>
      <c r="Q564" s="38">
        <f>_xll.qlIndexFixing(Currency&amp;IborType&amp;"3M",_xll.qlInterestRateIndexFixingDate(Currency&amp;IborType&amp;"3M",M564),TRUE,AllTriggers)</f>
        <v>1.8881361358496329E-2</v>
      </c>
      <c r="R564" s="38">
        <f>_xll.qlOvernightIndexedSwapFairRate(O564,AllTriggers)</f>
        <v>1.8727801815189151E-2</v>
      </c>
      <c r="S564" s="345">
        <f t="shared" si="10"/>
        <v>1.5355954330717805E-4</v>
      </c>
    </row>
    <row r="565" spans="5:19" ht="11.25" customHeight="1" x14ac:dyDescent="0.2">
      <c r="E565" s="254"/>
      <c r="F565" s="254"/>
      <c r="G565" s="39"/>
      <c r="J565" s="39"/>
      <c r="K565" s="39"/>
      <c r="M565" s="346">
        <f>_xll.qlCalendarAdvance(Calendar,M564,"1M","f",,Trigger)</f>
        <v>59509</v>
      </c>
      <c r="N565" s="344">
        <f>_xll.qlCalendarAdvance(Calendar,M565,"3M","mf",,Trigger)</f>
        <v>59600</v>
      </c>
      <c r="O565" s="40" t="str">
        <f>_xll.qlMakeDatedOIS(,M565,N565,OvernightIndex,0,,,,EvaluationDate)</f>
        <v>obj_00851#0000</v>
      </c>
      <c r="P565" s="40" t="b">
        <f>_xll.qlInstrumentSetPricingEngine(O565,OisEngine)</f>
        <v>1</v>
      </c>
      <c r="Q565" s="38">
        <f>_xll.qlIndexFixing(Currency&amp;IborType&amp;"3M",_xll.qlInterestRateIndexFixingDate(Currency&amp;IborType&amp;"3M",M565),TRUE,AllTriggers)</f>
        <v>1.8889808213790698E-2</v>
      </c>
      <c r="R565" s="38">
        <f>_xll.qlOvernightIndexedSwapFairRate(O565,AllTriggers)</f>
        <v>1.8736486512027053E-2</v>
      </c>
      <c r="S565" s="345">
        <f t="shared" si="10"/>
        <v>1.5332170176364512E-4</v>
      </c>
    </row>
    <row r="566" spans="5:19" ht="11.25" customHeight="1" x14ac:dyDescent="0.2">
      <c r="E566" s="254"/>
      <c r="F566" s="254"/>
      <c r="G566" s="39"/>
      <c r="J566" s="39"/>
      <c r="K566" s="39"/>
      <c r="M566" s="346">
        <f>_xll.qlCalendarAdvance(Calendar,M565,"1M","f",,Trigger)</f>
        <v>59540</v>
      </c>
      <c r="N566" s="344">
        <f>_xll.qlCalendarAdvance(Calendar,M566,"3M","mf",,Trigger)</f>
        <v>59630</v>
      </c>
      <c r="O566" s="40" t="str">
        <f>_xll.qlMakeDatedOIS(,M566,N566,OvernightIndex,0,,,,EvaluationDate)</f>
        <v>obj_00852#0000</v>
      </c>
      <c r="P566" s="40" t="b">
        <f>_xll.qlInstrumentSetPricingEngine(O566,OisEngine)</f>
        <v>1</v>
      </c>
      <c r="Q566" s="38">
        <f>_xll.qlIndexFixing(Currency&amp;IborType&amp;"3M",_xll.qlInterestRateIndexFixingDate(Currency&amp;IborType&amp;"3M",M566),TRUE,AllTriggers)</f>
        <v>1.8898396865659528E-2</v>
      </c>
      <c r="R566" s="38">
        <f>_xll.qlOvernightIndexedSwapFairRate(O566,AllTriggers)</f>
        <v>1.8745289587544178E-2</v>
      </c>
      <c r="S566" s="345">
        <f t="shared" si="10"/>
        <v>1.5310727811534974E-4</v>
      </c>
    </row>
    <row r="567" spans="5:19" ht="11.25" customHeight="1" x14ac:dyDescent="0.2">
      <c r="E567" s="254"/>
      <c r="F567" s="254"/>
      <c r="G567" s="39"/>
      <c r="J567" s="39"/>
      <c r="K567" s="39"/>
      <c r="M567" s="346">
        <f>_xll.qlCalendarAdvance(Calendar,M566,"1M","f",,Trigger)</f>
        <v>59572</v>
      </c>
      <c r="N567" s="344">
        <f>_xll.qlCalendarAdvance(Calendar,M567,"3M","mf",,Trigger)</f>
        <v>59663</v>
      </c>
      <c r="O567" s="40" t="str">
        <f>_xll.qlMakeDatedOIS(,M567,N567,OvernightIndex,0,,,,EvaluationDate)</f>
        <v>obj_00853#0000</v>
      </c>
      <c r="P567" s="40" t="b">
        <f>_xll.qlInstrumentSetPricingEngine(O567,OisEngine)</f>
        <v>1</v>
      </c>
      <c r="Q567" s="38">
        <f>_xll.qlIndexFixing(Currency&amp;IborType&amp;"3M",_xll.qlInterestRateIndexFixingDate(Currency&amp;IborType&amp;"3M",M567),TRUE,AllTriggers)</f>
        <v>1.8909040708211474E-2</v>
      </c>
      <c r="R567" s="38">
        <f>_xll.qlOvernightIndexedSwapFairRate(O567,AllTriggers)</f>
        <v>1.8756127710663793E-2</v>
      </c>
      <c r="S567" s="345">
        <f t="shared" si="10"/>
        <v>1.5291299754768145E-4</v>
      </c>
    </row>
    <row r="568" spans="5:19" ht="11.25" customHeight="1" x14ac:dyDescent="0.2">
      <c r="E568" s="254"/>
      <c r="F568" s="254"/>
      <c r="G568" s="39"/>
      <c r="J568" s="39"/>
      <c r="K568" s="39"/>
      <c r="M568" s="346">
        <f>_xll.qlCalendarAdvance(Calendar,M567,"1M","f",,Trigger)</f>
        <v>59600</v>
      </c>
      <c r="N568" s="344">
        <f>_xll.qlCalendarAdvance(Calendar,M568,"3M","mf",,Trigger)</f>
        <v>59692</v>
      </c>
      <c r="O568" s="40" t="str">
        <f>_xll.qlMakeDatedOIS(,M568,N568,OvernightIndex,0,,,,EvaluationDate)</f>
        <v>obj_00854#0000</v>
      </c>
      <c r="P568" s="40" t="b">
        <f>_xll.qlInstrumentSetPricingEngine(O568,OisEngine)</f>
        <v>1</v>
      </c>
      <c r="Q568" s="38">
        <f>_xll.qlIndexFixing(Currency&amp;IborType&amp;"3M",_xll.qlInterestRateIndexFixingDate(Currency&amp;IborType&amp;"3M",M568),TRUE,AllTriggers)</f>
        <v>1.8918829229200611E-2</v>
      </c>
      <c r="R568" s="38">
        <f>_xll.qlOvernightIndexedSwapFairRate(O568,AllTriggers)</f>
        <v>1.8766070801240535E-2</v>
      </c>
      <c r="S568" s="345">
        <f t="shared" si="10"/>
        <v>1.5275842796007646E-4</v>
      </c>
    </row>
    <row r="569" spans="5:19" ht="11.25" customHeight="1" x14ac:dyDescent="0.2">
      <c r="E569" s="254"/>
      <c r="F569" s="254"/>
      <c r="G569" s="39"/>
      <c r="J569" s="39"/>
      <c r="K569" s="39"/>
      <c r="M569" s="346">
        <f>_xll.qlCalendarAdvance(Calendar,M568,"1M","f",,Trigger)</f>
        <v>59631</v>
      </c>
      <c r="N569" s="344">
        <f>_xll.qlCalendarAdvance(Calendar,M569,"3M","mf",,Trigger)</f>
        <v>59722</v>
      </c>
      <c r="O569" s="40" t="str">
        <f>_xll.qlMakeDatedOIS(,M569,N569,OvernightIndex,0,,,,EvaluationDate)</f>
        <v>obj_00856#0000</v>
      </c>
      <c r="P569" s="40" t="b">
        <f>_xll.qlInstrumentSetPricingEngine(O569,OisEngine)</f>
        <v>1</v>
      </c>
      <c r="Q569" s="38">
        <f>_xll.qlIndexFixing(Currency&amp;IborType&amp;"3M",_xll.qlInterestRateIndexFixingDate(Currency&amp;IborType&amp;"3M",M569),TRUE,AllTriggers)</f>
        <v>1.892867610764358E-2</v>
      </c>
      <c r="R569" s="38">
        <f>_xll.qlOvernightIndexedSwapFairRate(O569,AllTriggers)</f>
        <v>1.8776084547551898E-2</v>
      </c>
      <c r="S569" s="345">
        <f t="shared" si="10"/>
        <v>1.525915600916819E-4</v>
      </c>
    </row>
    <row r="570" spans="5:19" ht="11.25" customHeight="1" x14ac:dyDescent="0.2">
      <c r="E570" s="254"/>
      <c r="F570" s="254"/>
      <c r="G570" s="39"/>
      <c r="J570" s="39"/>
      <c r="K570" s="39"/>
      <c r="M570" s="346">
        <f>_xll.qlCalendarAdvance(Calendar,M569,"1M","f",,Trigger)</f>
        <v>59663</v>
      </c>
      <c r="N570" s="344">
        <f>_xll.qlCalendarAdvance(Calendar,M570,"3M","mf",,Trigger)</f>
        <v>59755</v>
      </c>
      <c r="O570" s="40" t="str">
        <f>_xll.qlMakeDatedOIS(,M570,N570,OvernightIndex,0,,,,EvaluationDate)</f>
        <v>obj_00953#0000</v>
      </c>
      <c r="P570" s="40" t="b">
        <f>_xll.qlInstrumentSetPricingEngine(O570,OisEngine)</f>
        <v>1</v>
      </c>
      <c r="Q570" s="38">
        <f>_xll.qlIndexFixing(Currency&amp;IborType&amp;"3M",_xll.qlInterestRateIndexFixingDate(Currency&amp;IborType&amp;"3M",M570),TRUE,AllTriggers)</f>
        <v>1.8940664056814414E-2</v>
      </c>
      <c r="R570" s="38">
        <f>_xll.qlOvernightIndexedSwapFairRate(O570,AllTriggers)</f>
        <v>1.8788216128219688E-2</v>
      </c>
      <c r="S570" s="345">
        <f t="shared" si="10"/>
        <v>1.5244792859472542E-4</v>
      </c>
    </row>
    <row r="571" spans="5:19" ht="11.25" customHeight="1" x14ac:dyDescent="0.2">
      <c r="E571" s="254"/>
      <c r="F571" s="254"/>
      <c r="G571" s="39"/>
      <c r="J571" s="39"/>
      <c r="K571" s="39"/>
      <c r="M571" s="346">
        <f>_xll.qlCalendarAdvance(Calendar,M570,"1M","f",,Trigger)</f>
        <v>59694</v>
      </c>
      <c r="N571" s="344">
        <f>_xll.qlCalendarAdvance(Calendar,M571,"3M","mf",,Trigger)</f>
        <v>59786</v>
      </c>
      <c r="O571" s="40" t="str">
        <f>_xll.qlMakeDatedOIS(,M571,N571,OvernightIndex,0,,,,EvaluationDate)</f>
        <v>obj_00858#0000</v>
      </c>
      <c r="P571" s="40" t="b">
        <f>_xll.qlInstrumentSetPricingEngine(O571,OisEngine)</f>
        <v>1</v>
      </c>
      <c r="Q571" s="38">
        <f>_xll.qlIndexFixing(Currency&amp;IborType&amp;"3M",_xll.qlInterestRateIndexFixingDate(Currency&amp;IborType&amp;"3M",M571),TRUE,AllTriggers)</f>
        <v>1.8952065684980358E-2</v>
      </c>
      <c r="R571" s="38">
        <f>_xll.qlOvernightIndexedSwapFairRate(O571,AllTriggers)</f>
        <v>1.8799745716557653E-2</v>
      </c>
      <c r="S571" s="345">
        <f t="shared" si="10"/>
        <v>1.5231996842270459E-4</v>
      </c>
    </row>
    <row r="572" spans="5:19" ht="11.25" customHeight="1" x14ac:dyDescent="0.2">
      <c r="E572" s="254"/>
      <c r="F572" s="254"/>
      <c r="G572" s="39"/>
      <c r="J572" s="39"/>
      <c r="K572" s="39"/>
      <c r="M572" s="346">
        <f>_xll.qlCalendarAdvance(Calendar,M571,"1M","f",,Trigger)</f>
        <v>59726</v>
      </c>
      <c r="N572" s="344">
        <f>_xll.qlCalendarAdvance(Calendar,M572,"3M","mf",,Trigger)</f>
        <v>59818</v>
      </c>
      <c r="O572" s="40" t="str">
        <f>_xll.qlMakeDatedOIS(,M572,N572,OvernightIndex,0,,,,EvaluationDate)</f>
        <v>obj_00859#0000</v>
      </c>
      <c r="P572" s="40" t="b">
        <f>_xll.qlInstrumentSetPricingEngine(O572,OisEngine)</f>
        <v>1</v>
      </c>
      <c r="Q572" s="38">
        <f>_xll.qlIndexFixing(Currency&amp;IborType&amp;"3M",_xll.qlInterestRateIndexFixingDate(Currency&amp;IborType&amp;"3M",M572),TRUE,AllTriggers)</f>
        <v>1.8964289997397459E-2</v>
      </c>
      <c r="R572" s="38">
        <f>_xll.qlOvernightIndexedSwapFairRate(O572,AllTriggers)</f>
        <v>1.8812084941852235E-2</v>
      </c>
      <c r="S572" s="345">
        <f t="shared" si="10"/>
        <v>1.5220505554522368E-4</v>
      </c>
    </row>
    <row r="573" spans="5:19" ht="11.25" customHeight="1" x14ac:dyDescent="0.2">
      <c r="E573" s="254"/>
      <c r="F573" s="254"/>
      <c r="G573" s="39"/>
      <c r="J573" s="39"/>
      <c r="K573" s="39"/>
      <c r="M573" s="346">
        <f>_xll.qlCalendarAdvance(Calendar,M572,"1M","f",,Trigger)</f>
        <v>59757</v>
      </c>
      <c r="N573" s="344">
        <f>_xll.qlCalendarAdvance(Calendar,M573,"3M","mf",,Trigger)</f>
        <v>59849</v>
      </c>
      <c r="O573" s="40" t="str">
        <f>_xll.qlMakeDatedOIS(,M573,N573,OvernightIndex,0,,,,EvaluationDate)</f>
        <v>obj_0085b#0000</v>
      </c>
      <c r="P573" s="40" t="b">
        <f>_xll.qlInstrumentSetPricingEngine(O573,OisEngine)</f>
        <v>1</v>
      </c>
      <c r="Q573" s="38">
        <f>_xll.qlIndexFixing(Currency&amp;IborType&amp;"3M",_xll.qlInterestRateIndexFixingDate(Currency&amp;IborType&amp;"3M",M573),TRUE,AllTriggers)</f>
        <v>1.8976572978565288E-2</v>
      </c>
      <c r="R573" s="38">
        <f>_xll.qlOvernightIndexedSwapFairRate(O573,AllTriggers)</f>
        <v>1.8824462606432477E-2</v>
      </c>
      <c r="S573" s="345">
        <f t="shared" si="10"/>
        <v>1.5211037213281112E-4</v>
      </c>
    </row>
    <row r="574" spans="5:19" ht="11.25" customHeight="1" x14ac:dyDescent="0.2">
      <c r="E574" s="254"/>
      <c r="F574" s="254"/>
      <c r="G574" s="39"/>
      <c r="J574" s="39"/>
      <c r="K574" s="39"/>
      <c r="M574" s="346">
        <f>_xll.qlCalendarAdvance(Calendar,M573,"1M","f",,Trigger)</f>
        <v>59789</v>
      </c>
      <c r="N574" s="344">
        <f>_xll.qlCalendarAdvance(Calendar,M574,"3M","mf",,Trigger)</f>
        <v>59880</v>
      </c>
      <c r="O574" s="40" t="str">
        <f>_xll.qlMakeDatedOIS(,M574,N574,OvernightIndex,0,,,,EvaluationDate)</f>
        <v>obj_0085d#0000</v>
      </c>
      <c r="P574" s="40" t="b">
        <f>_xll.qlInstrumentSetPricingEngine(O574,OisEngine)</f>
        <v>1</v>
      </c>
      <c r="Q574" s="38">
        <f>_xll.qlIndexFixing(Currency&amp;IborType&amp;"3M",_xll.qlInterestRateIndexFixingDate(Currency&amp;IborType&amp;"3M",M574),TRUE,AllTriggers)</f>
        <v>1.8988994850538118E-2</v>
      </c>
      <c r="R574" s="38">
        <f>_xll.qlOvernightIndexedSwapFairRate(O574,AllTriggers)</f>
        <v>1.8836972014010502E-2</v>
      </c>
      <c r="S574" s="345">
        <f t="shared" si="10"/>
        <v>1.520228365276162E-4</v>
      </c>
    </row>
    <row r="575" spans="5:19" ht="11.25" customHeight="1" x14ac:dyDescent="0.2">
      <c r="E575" s="254"/>
      <c r="F575" s="254"/>
      <c r="G575" s="39"/>
      <c r="J575" s="39"/>
      <c r="K575" s="39"/>
      <c r="M575" s="346">
        <f>_xll.qlCalendarAdvance(Calendar,M574,"1M","f",,Trigger)</f>
        <v>59819</v>
      </c>
      <c r="N575" s="344">
        <f>_xll.qlCalendarAdvance(Calendar,M575,"3M","mf",,Trigger)</f>
        <v>59911</v>
      </c>
      <c r="O575" s="40" t="str">
        <f>_xll.qlMakeDatedOIS(,M575,N575,OvernightIndex,0,,,,EvaluationDate)</f>
        <v>obj_0085e#0000</v>
      </c>
      <c r="P575" s="40" t="b">
        <f>_xll.qlInstrumentSetPricingEngine(O575,OisEngine)</f>
        <v>1</v>
      </c>
      <c r="Q575" s="38">
        <f>_xll.qlIndexFixing(Currency&amp;IborType&amp;"3M",_xll.qlInterestRateIndexFixingDate(Currency&amp;IborType&amp;"3M",M575),TRUE,AllTriggers)</f>
        <v>1.9002440008273915E-2</v>
      </c>
      <c r="R575" s="38">
        <f>_xll.qlOvernightIndexedSwapFairRate(O575,AllTriggers)</f>
        <v>1.8850469879455455E-2</v>
      </c>
      <c r="S575" s="345">
        <f t="shared" si="10"/>
        <v>1.5197012881846064E-4</v>
      </c>
    </row>
    <row r="576" spans="5:19" ht="11.25" customHeight="1" x14ac:dyDescent="0.2">
      <c r="E576" s="254"/>
      <c r="F576" s="254"/>
      <c r="G576" s="39"/>
      <c r="J576" s="39"/>
      <c r="K576" s="39"/>
      <c r="M576" s="346">
        <f>_xll.qlCalendarAdvance(Calendar,M575,"1M","f",,Trigger)</f>
        <v>59852</v>
      </c>
      <c r="N576" s="344">
        <f>_xll.qlCalendarAdvance(Calendar,M576,"3M","mf",,Trigger)</f>
        <v>59944</v>
      </c>
      <c r="O576" s="40" t="str">
        <f>_xll.qlMakeDatedOIS(,M576,N576,OvernightIndex,0,,,,EvaluationDate)</f>
        <v>obj_009e1#0000</v>
      </c>
      <c r="P576" s="40" t="b">
        <f>_xll.qlInstrumentSetPricingEngine(O576,OisEngine)</f>
        <v>1</v>
      </c>
      <c r="Q576" s="38">
        <f>_xll.qlIndexFixing(Currency&amp;IborType&amp;"3M",_xll.qlInterestRateIndexFixingDate(Currency&amp;IborType&amp;"3M",M576),TRUE,AllTriggers)</f>
        <v>1.9016915349057334E-2</v>
      </c>
      <c r="R576" s="38">
        <f>_xll.qlOvernightIndexedSwapFairRate(O576,AllTriggers)</f>
        <v>1.8864993156892652E-2</v>
      </c>
      <c r="S576" s="345">
        <f t="shared" si="10"/>
        <v>1.5192219216468225E-4</v>
      </c>
    </row>
    <row r="577" spans="5:19" ht="11.25" customHeight="1" x14ac:dyDescent="0.2">
      <c r="E577" s="254"/>
      <c r="F577" s="254"/>
      <c r="G577" s="39"/>
      <c r="J577" s="39"/>
      <c r="K577" s="39"/>
      <c r="M577" s="346">
        <f>_xll.qlCalendarAdvance(Calendar,M576,"1M","f",,Trigger)</f>
        <v>59882</v>
      </c>
      <c r="N577" s="344">
        <f>_xll.qlCalendarAdvance(Calendar,M577,"3M","mf",,Trigger)</f>
        <v>59973</v>
      </c>
      <c r="O577" s="40" t="str">
        <f>_xll.qlMakeDatedOIS(,M577,N577,OvernightIndex,0,,,,EvaluationDate)</f>
        <v>obj_00860#0000</v>
      </c>
      <c r="P577" s="40" t="b">
        <f>_xll.qlInstrumentSetPricingEngine(O577,OisEngine)</f>
        <v>1</v>
      </c>
      <c r="Q577" s="38">
        <f>_xll.qlIndexFixing(Currency&amp;IborType&amp;"3M",_xll.qlInterestRateIndexFixingDate(Currency&amp;IborType&amp;"3M",M577),TRUE,AllTriggers)</f>
        <v>1.9029765863947456E-2</v>
      </c>
      <c r="R577" s="38">
        <f>_xll.qlOvernightIndexedSwapFairRate(O577,AllTriggers)</f>
        <v>1.8877878923832202E-2</v>
      </c>
      <c r="S577" s="345">
        <f t="shared" si="10"/>
        <v>1.5188694011525339E-4</v>
      </c>
    </row>
    <row r="578" spans="5:19" ht="11.25" customHeight="1" x14ac:dyDescent="0.2">
      <c r="M578" s="346">
        <f>_xll.qlCalendarAdvance(Calendar,M577,"1M","f",,Trigger)</f>
        <v>59915</v>
      </c>
      <c r="N578" s="344">
        <f>_xll.qlCalendarAdvance(Calendar,M578,"3M","mf",,Trigger)</f>
        <v>60006</v>
      </c>
      <c r="O578" s="40" t="str">
        <f>_xll.qlMakeDatedOIS(,M578,N578,OvernightIndex,0,,,,EvaluationDate)</f>
        <v>obj_00861#0000</v>
      </c>
      <c r="P578" s="40" t="b">
        <f>_xll.qlInstrumentSetPricingEngine(O578,OisEngine)</f>
        <v>1</v>
      </c>
      <c r="Q578" s="38">
        <f>_xll.qlIndexFixing(Currency&amp;IborType&amp;"3M",_xll.qlInterestRateIndexFixingDate(Currency&amp;IborType&amp;"3M",M578),TRUE,AllTriggers)</f>
        <v>1.9045171206784454E-2</v>
      </c>
      <c r="R578" s="38">
        <f>_xll.qlOvernightIndexedSwapFairRate(O578,AllTriggers)</f>
        <v>1.8893297065104918E-2</v>
      </c>
      <c r="S578" s="345">
        <f t="shared" si="10"/>
        <v>1.5187414167953592E-4</v>
      </c>
    </row>
    <row r="579" spans="5:19" ht="11.25" customHeight="1" x14ac:dyDescent="0.2">
      <c r="M579" s="346">
        <f>_xll.qlCalendarAdvance(Calendar,M578,"1M","f",,Trigger)</f>
        <v>59946</v>
      </c>
      <c r="N579" s="344">
        <f>_xll.qlCalendarAdvance(Calendar,M579,"3M","mf",,Trigger)</f>
        <v>60036</v>
      </c>
      <c r="O579" s="40" t="str">
        <f>_xll.qlMakeDatedOIS(,M579,N579,OvernightIndex,0,,,,EvaluationDate)</f>
        <v>obj_00862#0000</v>
      </c>
      <c r="P579" s="40" t="b">
        <f>_xll.qlInstrumentSetPricingEngine(O579,OisEngine)</f>
        <v>1</v>
      </c>
      <c r="Q579" s="38">
        <f>_xll.qlIndexFixing(Currency&amp;IborType&amp;"3M",_xll.qlInterestRateIndexFixingDate(Currency&amp;IborType&amp;"3M",M579),TRUE,AllTriggers)</f>
        <v>1.905933935533799E-2</v>
      </c>
      <c r="R579" s="38">
        <f>_xll.qlOvernightIndexedSwapFairRate(O579,AllTriggers)</f>
        <v>1.8907468660813723E-2</v>
      </c>
      <c r="S579" s="345">
        <f t="shared" ref="S579:S581" si="11">Q579-R579</f>
        <v>1.5187069452426635E-4</v>
      </c>
    </row>
    <row r="580" spans="5:19" ht="11.25" customHeight="1" x14ac:dyDescent="0.2">
      <c r="M580" s="346">
        <f>_xll.qlCalendarAdvance(Calendar,M579,"1M","f",,Trigger)</f>
        <v>59975</v>
      </c>
      <c r="N580" s="344">
        <f>_xll.qlCalendarAdvance(Calendar,M580,"3M","mf",,Trigger)</f>
        <v>60069</v>
      </c>
      <c r="O580" s="40" t="str">
        <f>_xll.qlMakeDatedOIS(,M580,N580,OvernightIndex,0,,,,EvaluationDate)</f>
        <v>obj_00863#0000</v>
      </c>
      <c r="P580" s="40" t="b">
        <f>_xll.qlInstrumentSetPricingEngine(O580,OisEngine)</f>
        <v>1</v>
      </c>
      <c r="Q580" s="38">
        <f>_xll.qlIndexFixing(Currency&amp;IborType&amp;"3M",_xll.qlInterestRateIndexFixingDate(Currency&amp;IborType&amp;"3M",M580),TRUE,AllTriggers)</f>
        <v>1.9076716734213253E-2</v>
      </c>
      <c r="R580" s="38">
        <f>_xll.qlOvernightIndexedSwapFairRate(O580,AllTriggers)</f>
        <v>1.8924792543331174E-2</v>
      </c>
      <c r="S580" s="345">
        <f t="shared" si="11"/>
        <v>1.519241908820787E-4</v>
      </c>
    </row>
    <row r="581" spans="5:19" ht="11.25" customHeight="1" thickBot="1" x14ac:dyDescent="0.25">
      <c r="M581" s="352">
        <f>_xll.qlCalendarAdvance(Calendar,M580,"1M","f",,Trigger)</f>
        <v>60006</v>
      </c>
      <c r="N581" s="348">
        <f>_xll.qlCalendarAdvance(Calendar,M581,"3M","mf",,Trigger)</f>
        <v>60097</v>
      </c>
      <c r="O581" s="40" t="str">
        <f>_xll.qlMakeDatedOIS(,M581,N581,OvernightIndex,0,,,,EvaluationDate)</f>
        <v>obj_00909#0000</v>
      </c>
      <c r="P581" s="40" t="b">
        <f>_xll.qlInstrumentSetPricingEngine(O581,OisEngine)</f>
        <v>1</v>
      </c>
      <c r="Q581" s="38">
        <f>_xll.qlIndexFixing(Currency&amp;IborType&amp;"3M",_xll.qlInterestRateIndexFixingDate(Currency&amp;IborType&amp;"3M",M581),TRUE,AllTriggers)</f>
        <v>1.9090198787712464E-2</v>
      </c>
      <c r="R581" s="38">
        <f>_xll.qlOvernightIndexedSwapFairRate(O581,AllTriggers)</f>
        <v>1.8938263805540728E-2</v>
      </c>
      <c r="S581" s="350">
        <f t="shared" si="11"/>
        <v>1.5193498217173571E-4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5"/>
  <sheetViews>
    <sheetView showGridLines="0" workbookViewId="0">
      <selection activeCell="AE16" sqref="AE16"/>
    </sheetView>
  </sheetViews>
  <sheetFormatPr defaultRowHeight="11.25" outlineLevelCol="1" x14ac:dyDescent="0.2"/>
  <cols>
    <col min="1" max="1" width="3.5" style="36" bestFit="1" customWidth="1"/>
    <col min="2" max="2" width="2.33203125" style="36" bestFit="1" customWidth="1"/>
    <col min="3" max="3" width="3.5" style="36" customWidth="1"/>
    <col min="4" max="4" width="31.1640625" style="36" bestFit="1" customWidth="1"/>
    <col min="5" max="6" width="20.1640625" style="36" bestFit="1" customWidth="1"/>
    <col min="7" max="7" width="10.5" style="36" bestFit="1" customWidth="1"/>
    <col min="8" max="8" width="17.83203125" style="36" hidden="1" customWidth="1" outlineLevel="1"/>
    <col min="9" max="9" width="5.83203125" style="36" hidden="1" customWidth="1" outlineLevel="1"/>
    <col min="10" max="10" width="10.5" style="36" bestFit="1" customWidth="1" collapsed="1"/>
    <col min="11" max="11" width="9.33203125" style="36" bestFit="1" customWidth="1"/>
    <col min="12" max="12" width="9.33203125" style="36"/>
    <col min="13" max="14" width="20.1640625" style="36" bestFit="1" customWidth="1"/>
    <col min="15" max="15" width="17.83203125" style="36" hidden="1" customWidth="1" outlineLevel="1"/>
    <col min="16" max="16" width="5.83203125" style="36" hidden="1" customWidth="1" outlineLevel="1"/>
    <col min="17" max="17" width="9.33203125" style="36" bestFit="1" customWidth="1" collapsed="1"/>
    <col min="18" max="19" width="10.5" style="36" bestFit="1" customWidth="1"/>
    <col min="20" max="16384" width="9.33203125" style="36"/>
  </cols>
  <sheetData>
    <row r="1" spans="1:19" ht="26.25" customHeight="1" x14ac:dyDescent="0.2">
      <c r="D1" s="340" t="s">
        <v>143</v>
      </c>
      <c r="E1" s="341" t="s">
        <v>138</v>
      </c>
      <c r="F1" s="341" t="s">
        <v>139</v>
      </c>
      <c r="G1" s="341" t="s">
        <v>149</v>
      </c>
      <c r="H1" s="341" t="s">
        <v>142</v>
      </c>
      <c r="I1" s="341"/>
      <c r="J1" s="341" t="s">
        <v>150</v>
      </c>
      <c r="K1" s="342" t="s">
        <v>146</v>
      </c>
      <c r="M1" s="340" t="s">
        <v>138</v>
      </c>
      <c r="N1" s="341" t="s">
        <v>139</v>
      </c>
      <c r="O1" s="341"/>
      <c r="P1" s="341"/>
      <c r="Q1" s="341" t="s">
        <v>137</v>
      </c>
      <c r="R1" s="341" t="s">
        <v>151</v>
      </c>
      <c r="S1" s="342" t="s">
        <v>146</v>
      </c>
    </row>
    <row r="2" spans="1:19" ht="11.25" customHeight="1" x14ac:dyDescent="0.2">
      <c r="C2" s="36">
        <v>6</v>
      </c>
      <c r="D2" s="343" t="str">
        <f>PROPER(Currency&amp;IborType)&amp;"6M"&amp;"LastFixing"&amp;QuoteSuffix</f>
        <v>Euribor6MLastFixing_Quote</v>
      </c>
      <c r="E2" s="344">
        <f>SettlementDate</f>
        <v>41943</v>
      </c>
      <c r="F2" s="344">
        <f>_xll.qlCalendarAdvance(Calendar,E2,"6M","mf",,Trigger)</f>
        <v>42124</v>
      </c>
      <c r="G2" s="38">
        <f>_xll.qlQuoteValue(D2,LastFixingsTrigger)</f>
        <v>1.8799999999999999E-3</v>
      </c>
      <c r="H2" s="40" t="str">
        <f>_xll.qlMakeDatedOIS(,E2,F2,OvernightIndex,0,,,,EvaluationDate)</f>
        <v>obj_0058f#0000</v>
      </c>
      <c r="I2" s="40" t="b">
        <f>_xll.qlInstrumentSetPricingEngine(H2,OisEngine)</f>
        <v>1</v>
      </c>
      <c r="J2" s="38">
        <f>_xll.qlOvernightIndexedSwapFairRate(H2,AllTriggers)</f>
        <v>-6.0000000000216422E-5</v>
      </c>
      <c r="K2" s="345">
        <f t="shared" ref="K2:K20" si="0">G2-J2</f>
        <v>1.9400000000002163E-3</v>
      </c>
      <c r="M2" s="346">
        <f>SettlementDate</f>
        <v>41943</v>
      </c>
      <c r="N2" s="344">
        <f>_xll.qlCalendarAdvance(Calendar,M2,"3M","f",,Trigger)</f>
        <v>42037</v>
      </c>
      <c r="O2" s="40" t="str">
        <f>_xll.qlMakeDatedOIS(,M2,N2,OvernightIndex,0,,,,EvaluationDate)</f>
        <v>obj_005b2#0000</v>
      </c>
      <c r="P2" s="40" t="b">
        <f>_xll.qlInstrumentSetPricingEngine(O2,OisEngine)</f>
        <v>1</v>
      </c>
      <c r="Q2" s="38">
        <f>_xll.qlIndexFixing(Currency&amp;IborType&amp;"6M",_xll.qlInterestRateIndexFixingDate(Currency&amp;IborType&amp;"6M",M2),TRUE,AllTriggers)</f>
        <v>2.0610000000000034E-3</v>
      </c>
      <c r="R2" s="38">
        <f>_xll.qlOvernightIndexedSwapFairRate(O2,AllTriggers)</f>
        <v>4.022555950291219E-5</v>
      </c>
      <c r="S2" s="345">
        <f>Q2-R2</f>
        <v>2.020774440497091E-3</v>
      </c>
    </row>
    <row r="3" spans="1:19" ht="11.25" customHeight="1" x14ac:dyDescent="0.2">
      <c r="A3" s="36">
        <v>1</v>
      </c>
      <c r="B3" s="36" t="s">
        <v>42</v>
      </c>
      <c r="C3" s="36">
        <f>A3+6</f>
        <v>7</v>
      </c>
      <c r="D3" s="343" t="str">
        <f t="shared" ref="D3:D20" si="1">Currency&amp;A3&amp;B3&amp;C3&amp;"F"&amp;QuoteSuffix</f>
        <v>EUR1x7F_Quote</v>
      </c>
      <c r="E3" s="344">
        <f>_xll.qlCalendarAdvance("target",$E$2,A3&amp;"M","mf",,Trigger)</f>
        <v>41971</v>
      </c>
      <c r="F3" s="344">
        <f>_xll.qlCalendarAdvance(Calendar,E3,"6M","mf",,Trigger)</f>
        <v>42152</v>
      </c>
      <c r="G3" s="38">
        <f>_xll.qlQuoteValue(D3,AllTriggers)</f>
        <v>2.0400000000000001E-3</v>
      </c>
      <c r="H3" s="40" t="str">
        <f>_xll.qlMakeDatedOIS(,E3,F3,OvernightIndex,0,,,,EvaluationDate)</f>
        <v>obj_00599#0000</v>
      </c>
      <c r="I3" s="40" t="b">
        <f>_xll.qlInstrumentSetPricingEngine(H3,OisEngine)</f>
        <v>1</v>
      </c>
      <c r="J3" s="38">
        <f>_xll.qlOvernightIndexedSwapFairRate(H3,AllTriggers)</f>
        <v>-1.3857195038220556E-4</v>
      </c>
      <c r="K3" s="345">
        <f t="shared" si="0"/>
        <v>2.1785719503822059E-3</v>
      </c>
      <c r="M3" s="346">
        <f>_xll.qlCalendarAdvance(Calendar,M2,"1M","f",,Trigger)</f>
        <v>41974</v>
      </c>
      <c r="N3" s="344">
        <f>_xll.qlCalendarAdvance(Calendar,M3,"3M","f",,Trigger)</f>
        <v>42065</v>
      </c>
      <c r="O3" s="40" t="str">
        <f>_xll.qlMakeDatedOIS(,M3,N3,OvernightIndex,0,,,,EvaluationDate)</f>
        <v>obj_009a9#0000</v>
      </c>
      <c r="P3" s="40" t="b">
        <f>_xll.qlInstrumentSetPricingEngine(O3,OisEngine)</f>
        <v>1</v>
      </c>
      <c r="Q3" s="38">
        <f>_xll.qlIndexFixing(Currency&amp;IborType&amp;"6M",_xll.qlInterestRateIndexFixingDate(Currency&amp;IborType&amp;"6M",M3),TRUE,AllTriggers)</f>
        <v>2.0401629450812649E-3</v>
      </c>
      <c r="R3" s="38">
        <f>_xll.qlOvernightIndexedSwapFairRate(O3,AllTriggers)</f>
        <v>6.150826338807153E-6</v>
      </c>
      <c r="S3" s="345">
        <f t="shared" ref="S3:S66" si="2">Q3-R3</f>
        <v>2.0340121187424577E-3</v>
      </c>
    </row>
    <row r="4" spans="1:19" ht="11.25" customHeight="1" x14ac:dyDescent="0.2">
      <c r="A4" s="36">
        <v>2</v>
      </c>
      <c r="B4" s="36" t="s">
        <v>42</v>
      </c>
      <c r="C4" s="36">
        <f t="shared" ref="C4:C20" si="3">A4+6</f>
        <v>8</v>
      </c>
      <c r="D4" s="343" t="str">
        <f t="shared" si="1"/>
        <v>EUR2x8F_Quote</v>
      </c>
      <c r="E4" s="344">
        <f>_xll.qlCalendarAdvance("target",$E$2,A4&amp;"M","mf",,Trigger)</f>
        <v>42004</v>
      </c>
      <c r="F4" s="344">
        <f>_xll.qlCalendarAdvance(Calendar,E4,"6M","mf",,Trigger)</f>
        <v>42185</v>
      </c>
      <c r="G4" s="38">
        <f>_xll.qlQuoteValue(D4,AllTriggers)</f>
        <v>2.0600000000000002E-3</v>
      </c>
      <c r="H4" s="40" t="str">
        <f>_xll.qlMakeDatedOIS(,E4,F4,OvernightIndex,0,,,,EvaluationDate)</f>
        <v>obj_005ad#0000</v>
      </c>
      <c r="I4" s="40" t="b">
        <f>_xll.qlInstrumentSetPricingEngine(H4,OisEngine)</f>
        <v>1</v>
      </c>
      <c r="J4" s="38">
        <f>_xll.qlOvernightIndexedSwapFairRate(H4,AllTriggers)</f>
        <v>-2.1740147304328026E-4</v>
      </c>
      <c r="K4" s="345">
        <f t="shared" si="0"/>
        <v>2.2774014730432804E-3</v>
      </c>
      <c r="M4" s="346">
        <f>_xll.qlCalendarAdvance(Calendar,M3,"1M","f",,Trigger)</f>
        <v>42006</v>
      </c>
      <c r="N4" s="344">
        <f>_xll.qlCalendarAdvance(Calendar,M4,"3M","f",,Trigger)</f>
        <v>42096</v>
      </c>
      <c r="O4" s="40" t="str">
        <f>_xll.qlMakeDatedOIS(,M4,N4,OvernightIndex,0,,,,EvaluationDate)</f>
        <v>obj_005b5#0000</v>
      </c>
      <c r="P4" s="40" t="b">
        <f>_xll.qlInstrumentSetPricingEngine(O4,OisEngine)</f>
        <v>1</v>
      </c>
      <c r="Q4" s="38">
        <f>_xll.qlIndexFixing(Currency&amp;IborType&amp;"6M",_xll.qlInterestRateIndexFixingDate(Currency&amp;IborType&amp;"6M",M4),TRUE,AllTriggers)</f>
        <v>2.0614239225293486E-3</v>
      </c>
      <c r="R4" s="38">
        <f>_xll.qlOvernightIndexedSwapFairRate(O4,AllTriggers)</f>
        <v>1.8464785108918136E-5</v>
      </c>
      <c r="S4" s="345">
        <f t="shared" si="2"/>
        <v>2.0429591374204305E-3</v>
      </c>
    </row>
    <row r="5" spans="1:19" ht="11.25" customHeight="1" x14ac:dyDescent="0.2">
      <c r="A5" s="36">
        <f>A4+1</f>
        <v>3</v>
      </c>
      <c r="B5" s="36" t="s">
        <v>42</v>
      </c>
      <c r="C5" s="36">
        <f t="shared" si="3"/>
        <v>9</v>
      </c>
      <c r="D5" s="343" t="str">
        <f t="shared" si="1"/>
        <v>EUR3x9F_Quote</v>
      </c>
      <c r="E5" s="344">
        <f>_xll.qlCalendarAdvance("target",$E$2,A5&amp;"M","mf",,Trigger)</f>
        <v>42034</v>
      </c>
      <c r="F5" s="344">
        <f>_xll.qlCalendarAdvance(Calendar,E5,"6M","mf",,Trigger)</f>
        <v>42215</v>
      </c>
      <c r="G5" s="38">
        <f>_xll.qlQuoteValue(D5,AllTriggers)</f>
        <v>2.0700000000000002E-3</v>
      </c>
      <c r="H5" s="40" t="str">
        <f>_xll.qlMakeDatedOIS(,E5,F5,OvernightIndex,0,,,,EvaluationDate)</f>
        <v>obj_0059b#0000</v>
      </c>
      <c r="I5" s="40" t="b">
        <f>_xll.qlInstrumentSetPricingEngine(H5,OisEngine)</f>
        <v>1</v>
      </c>
      <c r="J5" s="38">
        <f>_xll.qlOvernightIndexedSwapFairRate(H5,AllTriggers)</f>
        <v>-2.7425367187813496E-4</v>
      </c>
      <c r="K5" s="345">
        <f t="shared" si="0"/>
        <v>2.3442536718781353E-3</v>
      </c>
      <c r="M5" s="346">
        <f>_xll.qlCalendarAdvance(Calendar,M4,"1M","f",,Trigger)</f>
        <v>42037</v>
      </c>
      <c r="N5" s="344">
        <f>_xll.qlCalendarAdvance(Calendar,M5,"3M","f",,Trigger)</f>
        <v>42128</v>
      </c>
      <c r="O5" s="40" t="str">
        <f>_xll.qlMakeDatedOIS(,M5,N5,OvernightIndex,0,,,,EvaluationDate)</f>
        <v>obj_00a39#0000</v>
      </c>
      <c r="P5" s="40" t="b">
        <f>_xll.qlInstrumentSetPricingEngine(O5,OisEngine)</f>
        <v>1</v>
      </c>
      <c r="Q5" s="38">
        <f>_xll.qlIndexFixing(Currency&amp;IborType&amp;"6M",_xll.qlInterestRateIndexFixingDate(Currency&amp;IborType&amp;"6M",M5),TRUE,AllTriggers)</f>
        <v>2.0701425803882766E-3</v>
      </c>
      <c r="R5" s="38">
        <f>_xll.qlOvernightIndexedSwapFairRate(O5,AllTriggers)</f>
        <v>-1.4174735847939855E-4</v>
      </c>
      <c r="S5" s="345">
        <f t="shared" si="2"/>
        <v>2.2118899388676753E-3</v>
      </c>
    </row>
    <row r="6" spans="1:19" ht="11.25" customHeight="1" x14ac:dyDescent="0.2">
      <c r="A6" s="36">
        <f t="shared" ref="A6:A20" si="4">A5+1</f>
        <v>4</v>
      </c>
      <c r="B6" s="36" t="s">
        <v>42</v>
      </c>
      <c r="C6" s="36">
        <f t="shared" si="3"/>
        <v>10</v>
      </c>
      <c r="D6" s="343" t="str">
        <f t="shared" si="1"/>
        <v>EUR4x10F_Quote</v>
      </c>
      <c r="E6" s="344">
        <f>_xll.qlCalendarAdvance("target",$E$2,A6&amp;"M","mf",,Trigger)</f>
        <v>42062</v>
      </c>
      <c r="F6" s="344">
        <f>_xll.qlCalendarAdvance(Calendar,E6,"6M","mf",,Trigger)</f>
        <v>42243</v>
      </c>
      <c r="G6" s="38">
        <f>_xll.qlQuoteValue(D6,AllTriggers)</f>
        <v>2.0700000000000002E-3</v>
      </c>
      <c r="H6" s="40" t="str">
        <f>_xll.qlMakeDatedOIS(,E6,F6,OvernightIndex,0,,,,EvaluationDate)</f>
        <v>obj_00596#0000</v>
      </c>
      <c r="I6" s="40" t="b">
        <f>_xll.qlInstrumentSetPricingEngine(H6,OisEngine)</f>
        <v>1</v>
      </c>
      <c r="J6" s="38">
        <f>_xll.qlOvernightIndexedSwapFairRate(H6,AllTriggers)</f>
        <v>-3.4006470948724641E-4</v>
      </c>
      <c r="K6" s="345">
        <f t="shared" si="0"/>
        <v>2.4100647094872467E-3</v>
      </c>
      <c r="M6" s="346">
        <f>_xll.qlCalendarAdvance(Calendar,M5,"1M","f",,Trigger)</f>
        <v>42065</v>
      </c>
      <c r="N6" s="344">
        <f>_xll.qlCalendarAdvance(Calendar,M6,"3M","f",,Trigger)</f>
        <v>42157</v>
      </c>
      <c r="O6" s="40" t="str">
        <f>_xll.qlMakeDatedOIS(,M6,N6,OvernightIndex,0,,,,EvaluationDate)</f>
        <v>obj_005b8#0000</v>
      </c>
      <c r="P6" s="40" t="b">
        <f>_xll.qlInstrumentSetPricingEngine(O6,OisEngine)</f>
        <v>1</v>
      </c>
      <c r="Q6" s="38">
        <f>_xll.qlIndexFixing(Currency&amp;IborType&amp;"6M",_xll.qlInterestRateIndexFixingDate(Currency&amp;IborType&amp;"6M",M6),TRUE,AllTriggers)</f>
        <v>2.0693514268782763E-3</v>
      </c>
      <c r="R6" s="38">
        <f>_xll.qlOvernightIndexedSwapFairRate(O6,AllTriggers)</f>
        <v>-3.2989759821563334E-4</v>
      </c>
      <c r="S6" s="345">
        <f t="shared" si="2"/>
        <v>2.3992490250939096E-3</v>
      </c>
    </row>
    <row r="7" spans="1:19" ht="11.25" customHeight="1" x14ac:dyDescent="0.2">
      <c r="A7" s="36">
        <f t="shared" si="4"/>
        <v>5</v>
      </c>
      <c r="B7" s="36" t="s">
        <v>42</v>
      </c>
      <c r="C7" s="36">
        <f t="shared" si="3"/>
        <v>11</v>
      </c>
      <c r="D7" s="343" t="str">
        <f t="shared" si="1"/>
        <v>EUR5x11F_Quote</v>
      </c>
      <c r="E7" s="344">
        <f>_xll.qlCalendarAdvance("target",$E$2,A7&amp;"M","mf",,Trigger)</f>
        <v>42094</v>
      </c>
      <c r="F7" s="344">
        <f>_xll.qlCalendarAdvance(Calendar,E7,"6M","mf",,Trigger)</f>
        <v>42277</v>
      </c>
      <c r="G7" s="38">
        <f>_xll.qlQuoteValue(D7,AllTriggers)</f>
        <v>2.0700000000000002E-3</v>
      </c>
      <c r="H7" s="40" t="str">
        <f>_xll.qlMakeDatedOIS(,E7,F7,OvernightIndex,0,,,,EvaluationDate)</f>
        <v>obj_005ac#0000</v>
      </c>
      <c r="I7" s="40" t="b">
        <f>_xll.qlInstrumentSetPricingEngine(H7,OisEngine)</f>
        <v>1</v>
      </c>
      <c r="J7" s="38">
        <f>_xll.qlOvernightIndexedSwapFairRate(H7,AllTriggers)</f>
        <v>-4.3978511007329417E-4</v>
      </c>
      <c r="K7" s="345">
        <f t="shared" si="0"/>
        <v>2.5097851100732943E-3</v>
      </c>
      <c r="M7" s="346">
        <f>_xll.qlCalendarAdvance(Calendar,M6,"1M","f",,Trigger)</f>
        <v>42096</v>
      </c>
      <c r="N7" s="344">
        <f>_xll.qlCalendarAdvance(Calendar,M7,"3M","f",,Trigger)</f>
        <v>42187</v>
      </c>
      <c r="O7" s="40" t="str">
        <f>_xll.qlMakeDatedOIS(,M7,N7,OvernightIndex,0,,,,EvaluationDate)</f>
        <v>obj_008ab#0000</v>
      </c>
      <c r="P7" s="40" t="b">
        <f>_xll.qlInstrumentSetPricingEngine(O7,OisEngine)</f>
        <v>1</v>
      </c>
      <c r="Q7" s="38">
        <f>_xll.qlIndexFixing(Currency&amp;IborType&amp;"6M",_xll.qlInterestRateIndexFixingDate(Currency&amp;IborType&amp;"6M",M7),TRUE,AllTriggers)</f>
        <v>2.0704651637979267E-3</v>
      </c>
      <c r="R7" s="38">
        <f>_xll.qlOvernightIndexedSwapFairRate(O7,AllTriggers)</f>
        <v>-4.4249951119817695E-4</v>
      </c>
      <c r="S7" s="345">
        <f t="shared" si="2"/>
        <v>2.5129646749961036E-3</v>
      </c>
    </row>
    <row r="8" spans="1:19" ht="11.25" customHeight="1" x14ac:dyDescent="0.2">
      <c r="A8" s="36">
        <f t="shared" si="4"/>
        <v>6</v>
      </c>
      <c r="B8" s="36" t="s">
        <v>42</v>
      </c>
      <c r="C8" s="36">
        <f t="shared" si="3"/>
        <v>12</v>
      </c>
      <c r="D8" s="343" t="str">
        <f t="shared" si="1"/>
        <v>EUR6x12F_Quote</v>
      </c>
      <c r="E8" s="344">
        <f>_xll.qlCalendarAdvance("target",$E$2,A8&amp;"M","mf",,Trigger)</f>
        <v>42124</v>
      </c>
      <c r="F8" s="344">
        <f>_xll.qlCalendarAdvance(Calendar,E8,"6M","mf",,Trigger)</f>
        <v>42307</v>
      </c>
      <c r="G8" s="38">
        <f>_xll.qlQuoteValue(D8,AllTriggers)</f>
        <v>2.0800000000000003E-3</v>
      </c>
      <c r="H8" s="40" t="str">
        <f>_xll.qlMakeDatedOIS(,E8,F8,OvernightIndex,0,,,,EvaluationDate)</f>
        <v>obj_005a9#0000</v>
      </c>
      <c r="I8" s="40" t="b">
        <f>_xll.qlInstrumentSetPricingEngine(H8,OisEngine)</f>
        <v>1</v>
      </c>
      <c r="J8" s="38">
        <f>_xll.qlOvernightIndexedSwapFairRate(H8,AllTriggers)</f>
        <v>-4.9189238623167247E-4</v>
      </c>
      <c r="K8" s="345">
        <f t="shared" si="0"/>
        <v>2.5718923862316726E-3</v>
      </c>
      <c r="M8" s="346">
        <f>_xll.qlCalendarAdvance(Calendar,M7,"1M","f",,Trigger)</f>
        <v>42128</v>
      </c>
      <c r="N8" s="344">
        <f>_xll.qlCalendarAdvance(Calendar,M8,"3M","f",,Trigger)</f>
        <v>42220</v>
      </c>
      <c r="O8" s="40" t="str">
        <f>_xll.qlMakeDatedOIS(,M8,N8,OvernightIndex,0,,,,EvaluationDate)</f>
        <v>obj_00943#0000</v>
      </c>
      <c r="P8" s="40" t="b">
        <f>_xll.qlInstrumentSetPricingEngine(O8,OisEngine)</f>
        <v>1</v>
      </c>
      <c r="Q8" s="38">
        <f>_xll.qlIndexFixing(Currency&amp;IborType&amp;"6M",_xll.qlInterestRateIndexFixingDate(Currency&amp;IborType&amp;"6M",M8),TRUE,AllTriggers)</f>
        <v>2.0808062927628024E-3</v>
      </c>
      <c r="R8" s="38">
        <f>_xll.qlOvernightIndexedSwapFairRate(O8,AllTriggers)</f>
        <v>-4.1500504990260833E-4</v>
      </c>
      <c r="S8" s="345">
        <f t="shared" si="2"/>
        <v>2.4958113426654109E-3</v>
      </c>
    </row>
    <row r="9" spans="1:19" ht="11.25" customHeight="1" x14ac:dyDescent="0.2">
      <c r="A9" s="36">
        <f t="shared" si="4"/>
        <v>7</v>
      </c>
      <c r="B9" s="36" t="s">
        <v>42</v>
      </c>
      <c r="C9" s="36">
        <f t="shared" si="3"/>
        <v>13</v>
      </c>
      <c r="D9" s="343" t="str">
        <f t="shared" si="1"/>
        <v>EUR7x13F_Quote</v>
      </c>
      <c r="E9" s="344">
        <f>_xll.qlCalendarAdvance("target",$E$2,A9&amp;"M","mf",,Trigger)</f>
        <v>42153</v>
      </c>
      <c r="F9" s="344">
        <f>_xll.qlCalendarAdvance(Calendar,E9,"6M","mf",,Trigger)</f>
        <v>42338</v>
      </c>
      <c r="G9" s="38">
        <f>_xll.qlQuoteValue(D9,AllTriggers)</f>
        <v>2.0900000000000003E-3</v>
      </c>
      <c r="H9" s="40" t="str">
        <f>_xll.qlMakeDatedOIS(,E9,F9,OvernightIndex,0,,,,EvaluationDate)</f>
        <v>obj_0059c#0000</v>
      </c>
      <c r="I9" s="40" t="b">
        <f>_xll.qlInstrumentSetPricingEngine(H9,OisEngine)</f>
        <v>1</v>
      </c>
      <c r="J9" s="38">
        <f>_xll.qlOvernightIndexedSwapFairRate(H9,AllTriggers)</f>
        <v>-5.0736514806962402E-4</v>
      </c>
      <c r="K9" s="345">
        <f t="shared" si="0"/>
        <v>2.5973651480696242E-3</v>
      </c>
      <c r="M9" s="346">
        <f>_xll.qlCalendarAdvance(Calendar,M8,"1M","f",,Trigger)</f>
        <v>42159</v>
      </c>
      <c r="N9" s="344">
        <f>_xll.qlCalendarAdvance(Calendar,M9,"3M","f",,Trigger)</f>
        <v>42251</v>
      </c>
      <c r="O9" s="40" t="str">
        <f>_xll.qlMakeDatedOIS(,M9,N9,OvernightIndex,0,,,,EvaluationDate)</f>
        <v>obj_0089e#0000</v>
      </c>
      <c r="P9" s="40" t="b">
        <f>_xll.qlInstrumentSetPricingEngine(O9,OisEngine)</f>
        <v>1</v>
      </c>
      <c r="Q9" s="38">
        <f>_xll.qlIndexFixing(Currency&amp;IborType&amp;"6M",_xll.qlInterestRateIndexFixingDate(Currency&amp;IborType&amp;"6M",M9),TRUE,AllTriggers)</f>
        <v>2.0917653763848783E-3</v>
      </c>
      <c r="R9" s="38">
        <f>_xll.qlOvernightIndexedSwapFairRate(O9,AllTriggers)</f>
        <v>-4.9247968966273001E-4</v>
      </c>
      <c r="S9" s="345">
        <f t="shared" si="2"/>
        <v>2.5842450660476081E-3</v>
      </c>
    </row>
    <row r="10" spans="1:19" ht="11.25" customHeight="1" x14ac:dyDescent="0.2">
      <c r="A10" s="36">
        <f t="shared" si="4"/>
        <v>8</v>
      </c>
      <c r="B10" s="36" t="s">
        <v>42</v>
      </c>
      <c r="C10" s="36">
        <f t="shared" si="3"/>
        <v>14</v>
      </c>
      <c r="D10" s="343" t="str">
        <f t="shared" si="1"/>
        <v>EUR8x14F_Quote</v>
      </c>
      <c r="E10" s="344">
        <f>_xll.qlCalendarAdvance("target",$E$2,A10&amp;"M","mf",,Trigger)</f>
        <v>42185</v>
      </c>
      <c r="F10" s="344">
        <f>_xll.qlCalendarAdvance(Calendar,E10,"6M","mf",,Trigger)</f>
        <v>42368</v>
      </c>
      <c r="G10" s="38">
        <f>_xll.qlQuoteValue(D10,AllTriggers)</f>
        <v>2.1199999999999999E-3</v>
      </c>
      <c r="H10" s="40" t="str">
        <f>_xll.qlMakeDatedOIS(,E10,F10,OvernightIndex,0,,,,EvaluationDate)</f>
        <v>obj_00593#0000</v>
      </c>
      <c r="I10" s="40" t="b">
        <f>_xll.qlInstrumentSetPricingEngine(H10,OisEngine)</f>
        <v>1</v>
      </c>
      <c r="J10" s="38">
        <f>_xll.qlOvernightIndexedSwapFairRate(H10,AllTriggers)</f>
        <v>-5.0187854657403406E-4</v>
      </c>
      <c r="K10" s="345">
        <f t="shared" si="0"/>
        <v>2.6218785465740341E-3</v>
      </c>
      <c r="M10" s="346">
        <f>_xll.qlCalendarAdvance(Calendar,M9,"1M","f",,Trigger)</f>
        <v>42191</v>
      </c>
      <c r="N10" s="344">
        <f>_xll.qlCalendarAdvance(Calendar,M10,"3M","f",,Trigger)</f>
        <v>42283</v>
      </c>
      <c r="O10" s="40" t="str">
        <f>_xll.qlMakeDatedOIS(,M10,N10,OvernightIndex,0,,,,EvaluationDate)</f>
        <v>obj_005bd#0000</v>
      </c>
      <c r="P10" s="40" t="b">
        <f>_xll.qlInstrumentSetPricingEngine(O10,OisEngine)</f>
        <v>1</v>
      </c>
      <c r="Q10" s="38">
        <f>_xll.qlIndexFixing(Currency&amp;IborType&amp;"6M",_xll.qlInterestRateIndexFixingDate(Currency&amp;IborType&amp;"6M",M10),TRUE,AllTriggers)</f>
        <v>2.1288775855839463E-3</v>
      </c>
      <c r="R10" s="38">
        <f>_xll.qlOvernightIndexedSwapFairRate(O10,AllTriggers)</f>
        <v>-5.1494183221478806E-4</v>
      </c>
      <c r="S10" s="345">
        <f t="shared" si="2"/>
        <v>2.6438194177987344E-3</v>
      </c>
    </row>
    <row r="11" spans="1:19" ht="11.25" customHeight="1" x14ac:dyDescent="0.2">
      <c r="A11" s="36">
        <f t="shared" si="4"/>
        <v>9</v>
      </c>
      <c r="B11" s="36" t="s">
        <v>42</v>
      </c>
      <c r="C11" s="36">
        <f t="shared" si="3"/>
        <v>15</v>
      </c>
      <c r="D11" s="343" t="str">
        <f t="shared" si="1"/>
        <v>EUR9x15F_Quote</v>
      </c>
      <c r="E11" s="344">
        <f>_xll.qlCalendarAdvance("target",$E$2,A11&amp;"M","mf",,Trigger)</f>
        <v>42216</v>
      </c>
      <c r="F11" s="344">
        <f>_xll.qlCalendarAdvance(Calendar,E11,"6M","mf",,Trigger)</f>
        <v>42398</v>
      </c>
      <c r="G11" s="38">
        <f>_xll.qlQuoteValue(D11,AllTriggers)</f>
        <v>2.1700000000000001E-3</v>
      </c>
      <c r="H11" s="40" t="str">
        <f>_xll.qlMakeDatedOIS(,E11,F11,OvernightIndex,0,,,,EvaluationDate)</f>
        <v>obj_005a7#0000</v>
      </c>
      <c r="I11" s="40" t="b">
        <f>_xll.qlInstrumentSetPricingEngine(H11,OisEngine)</f>
        <v>1</v>
      </c>
      <c r="J11" s="38">
        <f>_xll.qlOvernightIndexedSwapFairRate(H11,AllTriggers)</f>
        <v>-4.1501853407042798E-4</v>
      </c>
      <c r="K11" s="345">
        <f t="shared" si="0"/>
        <v>2.5850185340704282E-3</v>
      </c>
      <c r="M11" s="346">
        <f>_xll.qlCalendarAdvance(Calendar,M10,"1M","f",,Trigger)</f>
        <v>42222</v>
      </c>
      <c r="N11" s="344">
        <f>_xll.qlCalendarAdvance(Calendar,M11,"3M","f",,Trigger)</f>
        <v>42314</v>
      </c>
      <c r="O11" s="40" t="str">
        <f>_xll.qlMakeDatedOIS(,M11,N11,OvernightIndex,0,,,,EvaluationDate)</f>
        <v>obj_00a38#0000</v>
      </c>
      <c r="P11" s="40" t="b">
        <f>_xll.qlInstrumentSetPricingEngine(O11,OisEngine)</f>
        <v>1</v>
      </c>
      <c r="Q11" s="38">
        <f>_xll.qlIndexFixing(Currency&amp;IborType&amp;"6M",_xll.qlInterestRateIndexFixingDate(Currency&amp;IborType&amp;"6M",M11),TRUE,AllTriggers)</f>
        <v>2.1832237991270182E-3</v>
      </c>
      <c r="R11" s="38">
        <f>_xll.qlOvernightIndexedSwapFairRate(O11,AllTriggers)</f>
        <v>-6.145562948699164E-4</v>
      </c>
      <c r="S11" s="345">
        <f t="shared" si="2"/>
        <v>2.7977800939969345E-3</v>
      </c>
    </row>
    <row r="12" spans="1:19" ht="11.25" customHeight="1" x14ac:dyDescent="0.2">
      <c r="A12" s="36">
        <f t="shared" si="4"/>
        <v>10</v>
      </c>
      <c r="B12" s="36" t="s">
        <v>42</v>
      </c>
      <c r="C12" s="36">
        <f t="shared" si="3"/>
        <v>16</v>
      </c>
      <c r="D12" s="343" t="str">
        <f t="shared" si="1"/>
        <v>EUR10x16F_Quote</v>
      </c>
      <c r="E12" s="344">
        <f>_xll.qlCalendarAdvance("target",$E$2,A12&amp;"M","mf",,Trigger)</f>
        <v>42247</v>
      </c>
      <c r="F12" s="344">
        <f>_xll.qlCalendarAdvance(Calendar,E12,"6M","mf",,Trigger)</f>
        <v>42429</v>
      </c>
      <c r="G12" s="38">
        <f>_xll.qlQuoteValue(D12,AllTriggers)</f>
        <v>2.2200000000000002E-3</v>
      </c>
      <c r="H12" s="40" t="str">
        <f>_xll.qlMakeDatedOIS(,E12,F12,OvernightIndex,0,,,,EvaluationDate)</f>
        <v>obj_005aa#0000</v>
      </c>
      <c r="I12" s="40" t="b">
        <f>_xll.qlInstrumentSetPricingEngine(H12,OisEngine)</f>
        <v>1</v>
      </c>
      <c r="J12" s="38">
        <f>_xll.qlOvernightIndexedSwapFairRate(H12,AllTriggers)</f>
        <v>-4.1397558262478161E-4</v>
      </c>
      <c r="K12" s="345">
        <f t="shared" si="0"/>
        <v>2.633975582624782E-3</v>
      </c>
      <c r="M12" s="346">
        <f>_xll.qlCalendarAdvance(Calendar,M11,"1M","f",,Trigger)</f>
        <v>42254</v>
      </c>
      <c r="N12" s="344">
        <f>_xll.qlCalendarAdvance(Calendar,M12,"3M","f",,Trigger)</f>
        <v>42345</v>
      </c>
      <c r="O12" s="40" t="str">
        <f>_xll.qlMakeDatedOIS(,M12,N12,OvernightIndex,0,,,,EvaluationDate)</f>
        <v>obj_00908#0000</v>
      </c>
      <c r="P12" s="40" t="b">
        <f>_xll.qlInstrumentSetPricingEngine(O12,OisEngine)</f>
        <v>1</v>
      </c>
      <c r="Q12" s="38">
        <f>_xll.qlIndexFixing(Currency&amp;IborType&amp;"6M",_xll.qlInterestRateIndexFixingDate(Currency&amp;IborType&amp;"6M",M12),TRUE,AllTriggers)</f>
        <v>2.231953979231763E-3</v>
      </c>
      <c r="R12" s="38">
        <f>_xll.qlOvernightIndexedSwapFairRate(O12,AllTriggers)</f>
        <v>-5.3224703901024839E-4</v>
      </c>
      <c r="S12" s="345">
        <f t="shared" si="2"/>
        <v>2.7642010182420112E-3</v>
      </c>
    </row>
    <row r="13" spans="1:19" ht="11.25" customHeight="1" x14ac:dyDescent="0.2">
      <c r="A13" s="36">
        <f t="shared" si="4"/>
        <v>11</v>
      </c>
      <c r="B13" s="36" t="s">
        <v>42</v>
      </c>
      <c r="C13" s="36">
        <f t="shared" si="3"/>
        <v>17</v>
      </c>
      <c r="D13" s="343" t="str">
        <f t="shared" si="1"/>
        <v>EUR11x17F_Quote</v>
      </c>
      <c r="E13" s="344">
        <f>_xll.qlCalendarAdvance("target",$E$2,A13&amp;"M","mf",,Trigger)</f>
        <v>42277</v>
      </c>
      <c r="F13" s="344">
        <f>_xll.qlCalendarAdvance(Calendar,E13,"6M","mf",,Trigger)</f>
        <v>42459</v>
      </c>
      <c r="G13" s="38">
        <f>_xll.qlQuoteValue(D13,AllTriggers)</f>
        <v>2.2799999999999999E-3</v>
      </c>
      <c r="H13" s="40" t="str">
        <f>_xll.qlMakeDatedOIS(,E13,F13,OvernightIndex,0,,,,EvaluationDate)</f>
        <v>obj_005b0#0000</v>
      </c>
      <c r="I13" s="40" t="b">
        <f>_xll.qlInstrumentSetPricingEngine(H13,OisEngine)</f>
        <v>1</v>
      </c>
      <c r="J13" s="38">
        <f>_xll.qlOvernightIndexedSwapFairRate(H13,AllTriggers)</f>
        <v>-4.0551363474655532E-4</v>
      </c>
      <c r="K13" s="345">
        <f t="shared" si="0"/>
        <v>2.6855136347465553E-3</v>
      </c>
      <c r="M13" s="346">
        <f>_xll.qlCalendarAdvance(Calendar,M12,"1M","f",,Trigger)</f>
        <v>42284</v>
      </c>
      <c r="N13" s="344">
        <f>_xll.qlCalendarAdvance(Calendar,M13,"3M","f",,Trigger)</f>
        <v>42376</v>
      </c>
      <c r="O13" s="40" t="str">
        <f>_xll.qlMakeDatedOIS(,M13,N13,OvernightIndex,0,,,,EvaluationDate)</f>
        <v>obj_00949#0000</v>
      </c>
      <c r="P13" s="40" t="b">
        <f>_xll.qlInstrumentSetPricingEngine(O13,OisEngine)</f>
        <v>1</v>
      </c>
      <c r="Q13" s="38">
        <f>_xll.qlIndexFixing(Currency&amp;IborType&amp;"6M",_xll.qlInterestRateIndexFixingDate(Currency&amp;IborType&amp;"6M",M13),TRUE,AllTriggers)</f>
        <v>2.297213470164271E-3</v>
      </c>
      <c r="R13" s="38">
        <f>_xll.qlOvernightIndexedSwapFairRate(O13,AllTriggers)</f>
        <v>-3.7074468464411451E-4</v>
      </c>
      <c r="S13" s="345">
        <f t="shared" si="2"/>
        <v>2.6679581548083855E-3</v>
      </c>
    </row>
    <row r="14" spans="1:19" ht="11.25" customHeight="1" x14ac:dyDescent="0.2">
      <c r="A14" s="36">
        <f t="shared" si="4"/>
        <v>12</v>
      </c>
      <c r="B14" s="36" t="s">
        <v>42</v>
      </c>
      <c r="C14" s="36">
        <f t="shared" si="3"/>
        <v>18</v>
      </c>
      <c r="D14" s="343" t="str">
        <f t="shared" si="1"/>
        <v>EUR12x18F_Quote</v>
      </c>
      <c r="E14" s="344">
        <f>_xll.qlCalendarAdvance("target",$E$2,A14&amp;"M","mf",,Trigger)</f>
        <v>42307</v>
      </c>
      <c r="F14" s="344">
        <f>_xll.qlCalendarAdvance(Calendar,E14,"6M","mf",,Trigger)</f>
        <v>42489</v>
      </c>
      <c r="G14" s="38">
        <f>_xll.qlQuoteValue(D14,AllTriggers)</f>
        <v>2.3599999999999997E-3</v>
      </c>
      <c r="H14" s="40" t="str">
        <f>_xll.qlMakeDatedOIS(,E14,F14,OvernightIndex,0,,,,EvaluationDate)</f>
        <v>obj_0059a#0000</v>
      </c>
      <c r="I14" s="40" t="b">
        <f>_xll.qlInstrumentSetPricingEngine(H14,OisEngine)</f>
        <v>1</v>
      </c>
      <c r="J14" s="38">
        <f>_xll.qlOvernightIndexedSwapFairRate(H14,AllTriggers)</f>
        <v>-3.7573700946284073E-4</v>
      </c>
      <c r="K14" s="345">
        <f t="shared" si="0"/>
        <v>2.7357370094628405E-3</v>
      </c>
      <c r="M14" s="346">
        <f>_xll.qlCalendarAdvance(Calendar,M13,"1M","f",,Trigger)</f>
        <v>42317</v>
      </c>
      <c r="N14" s="344">
        <f>_xll.qlCalendarAdvance(Calendar,M14,"3M","f",,Trigger)</f>
        <v>42409</v>
      </c>
      <c r="O14" s="40" t="str">
        <f>_xll.qlMakeDatedOIS(,M14,N14,OvernightIndex,0,,,,EvaluationDate)</f>
        <v>obj_005c2#0000</v>
      </c>
      <c r="P14" s="40" t="b">
        <f>_xll.qlInstrumentSetPricingEngine(O14,OisEngine)</f>
        <v>1</v>
      </c>
      <c r="Q14" s="38">
        <f>_xll.qlIndexFixing(Currency&amp;IborType&amp;"6M",_xll.qlInterestRateIndexFixingDate(Currency&amp;IborType&amp;"6M",M14),TRUE,AllTriggers)</f>
        <v>2.3894002017304647E-3</v>
      </c>
      <c r="R14" s="38">
        <f>_xll.qlOvernightIndexedSwapFairRate(O14,AllTriggers)</f>
        <v>-2.7668699385163332E-4</v>
      </c>
      <c r="S14" s="345">
        <f t="shared" si="2"/>
        <v>2.666087195582098E-3</v>
      </c>
    </row>
    <row r="15" spans="1:19" ht="11.25" customHeight="1" x14ac:dyDescent="0.2">
      <c r="A15" s="36">
        <f t="shared" si="4"/>
        <v>13</v>
      </c>
      <c r="B15" s="36" t="s">
        <v>42</v>
      </c>
      <c r="C15" s="36">
        <f t="shared" si="3"/>
        <v>19</v>
      </c>
      <c r="D15" s="343" t="str">
        <f t="shared" si="1"/>
        <v>EUR13x19F_Quote</v>
      </c>
      <c r="E15" s="344">
        <f>_xll.qlCalendarAdvance("target",$E$2,A15&amp;"M","mf",,Trigger)</f>
        <v>42338</v>
      </c>
      <c r="F15" s="344">
        <f>_xll.qlCalendarAdvance(Calendar,E15,"6M","mf",,Trigger)</f>
        <v>42520</v>
      </c>
      <c r="G15" s="38">
        <f>_xll.qlQuoteValue(D15,AllTriggers)</f>
        <v>2.4499999999999999E-3</v>
      </c>
      <c r="H15" s="40" t="str">
        <f>_xll.qlMakeDatedOIS(,E15,F15,OvernightIndex,0,,,,EvaluationDate)</f>
        <v>obj_005a4#0000</v>
      </c>
      <c r="I15" s="40" t="b">
        <f>_xll.qlInstrumentSetPricingEngine(H15,OisEngine)</f>
        <v>1</v>
      </c>
      <c r="J15" s="38">
        <f>_xll.qlOvernightIndexedSwapFairRate(H15,AllTriggers)</f>
        <v>-3.2364332378581552E-4</v>
      </c>
      <c r="K15" s="345">
        <f t="shared" si="0"/>
        <v>2.7736433237858155E-3</v>
      </c>
      <c r="M15" s="346">
        <f>_xll.qlCalendarAdvance(Calendar,M14,"1M","f",,Trigger)</f>
        <v>42347</v>
      </c>
      <c r="N15" s="344">
        <f>_xll.qlCalendarAdvance(Calendar,M15,"3M","f",,Trigger)</f>
        <v>42438</v>
      </c>
      <c r="O15" s="40" t="str">
        <f>_xll.qlMakeDatedOIS(,M15,N15,OvernightIndex,0,,,,EvaluationDate)</f>
        <v>obj_008fe#0000</v>
      </c>
      <c r="P15" s="40" t="b">
        <f>_xll.qlInstrumentSetPricingEngine(O15,OisEngine)</f>
        <v>1</v>
      </c>
      <c r="Q15" s="38">
        <f>_xll.qlIndexFixing(Currency&amp;IborType&amp;"6M",_xll.qlInterestRateIndexFixingDate(Currency&amp;IborType&amp;"6M",M15),TRUE,AllTriggers)</f>
        <v>2.473705990897941E-3</v>
      </c>
      <c r="R15" s="38">
        <f>_xll.qlOvernightIndexedSwapFairRate(O15,AllTriggers)</f>
        <v>-2.8883213556478671E-4</v>
      </c>
      <c r="S15" s="345">
        <f t="shared" si="2"/>
        <v>2.7625381264627276E-3</v>
      </c>
    </row>
    <row r="16" spans="1:19" ht="11.25" customHeight="1" x14ac:dyDescent="0.2">
      <c r="A16" s="36">
        <f t="shared" si="4"/>
        <v>14</v>
      </c>
      <c r="B16" s="36" t="s">
        <v>42</v>
      </c>
      <c r="C16" s="36">
        <f t="shared" si="3"/>
        <v>20</v>
      </c>
      <c r="D16" s="343" t="str">
        <f t="shared" si="1"/>
        <v>EUR14x20F_Quote</v>
      </c>
      <c r="E16" s="344">
        <f>_xll.qlCalendarAdvance("target",$E$2,A16&amp;"M","mf",,Trigger)</f>
        <v>42369</v>
      </c>
      <c r="F16" s="344">
        <f>_xll.qlCalendarAdvance(Calendar,E16,"6M","mf",,Trigger)</f>
        <v>42551</v>
      </c>
      <c r="G16" s="38">
        <f>_xll.qlQuoteValue(D16,AllTriggers)</f>
        <v>2.5300000000000001E-3</v>
      </c>
      <c r="H16" s="40" t="str">
        <f>_xll.qlMakeDatedOIS(,E16,F16,OvernightIndex,0,,,,EvaluationDate)</f>
        <v>obj_005a8#0000</v>
      </c>
      <c r="I16" s="40" t="b">
        <f>_xll.qlInstrumentSetPricingEngine(H16,OisEngine)</f>
        <v>1</v>
      </c>
      <c r="J16" s="38">
        <f>_xll.qlOvernightIndexedSwapFairRate(H16,AllTriggers)</f>
        <v>-2.7313911592804417E-4</v>
      </c>
      <c r="K16" s="345">
        <f t="shared" si="0"/>
        <v>2.8031391159280441E-3</v>
      </c>
      <c r="M16" s="346">
        <f>_xll.qlCalendarAdvance(Calendar,M15,"1M","f",,Trigger)</f>
        <v>42380</v>
      </c>
      <c r="N16" s="344">
        <f>_xll.qlCalendarAdvance(Calendar,M16,"3M","f",,Trigger)</f>
        <v>42471</v>
      </c>
      <c r="O16" s="40" t="str">
        <f>_xll.qlMakeDatedOIS(,M16,N16,OvernightIndex,0,,,,EvaluationDate)</f>
        <v>obj_008fc#0000</v>
      </c>
      <c r="P16" s="40" t="b">
        <f>_xll.qlInstrumentSetPricingEngine(O16,OisEngine)</f>
        <v>1</v>
      </c>
      <c r="Q16" s="38">
        <f>_xll.qlIndexFixing(Currency&amp;IborType&amp;"6M",_xll.qlInterestRateIndexFixingDate(Currency&amp;IborType&amp;"6M",M16),TRUE,AllTriggers)</f>
        <v>2.5629259900170403E-3</v>
      </c>
      <c r="R16" s="38">
        <f>_xll.qlOvernightIndexedSwapFairRate(O16,AllTriggers)</f>
        <v>-4.6418760246964738E-4</v>
      </c>
      <c r="S16" s="345">
        <f t="shared" si="2"/>
        <v>3.0271135924866879E-3</v>
      </c>
    </row>
    <row r="17" spans="1:19" ht="11.25" customHeight="1" x14ac:dyDescent="0.2">
      <c r="A17" s="36">
        <f t="shared" si="4"/>
        <v>15</v>
      </c>
      <c r="B17" s="36" t="s">
        <v>42</v>
      </c>
      <c r="C17" s="36">
        <f t="shared" si="3"/>
        <v>21</v>
      </c>
      <c r="D17" s="343" t="str">
        <f t="shared" si="1"/>
        <v>EUR15x21F_Quote</v>
      </c>
      <c r="E17" s="344">
        <f>_xll.qlCalendarAdvance("target",$E$2,A17&amp;"M","mf",,Trigger)</f>
        <v>42398</v>
      </c>
      <c r="F17" s="344">
        <f>_xll.qlCalendarAdvance(Calendar,E17,"6M","mf",,Trigger)</f>
        <v>42580</v>
      </c>
      <c r="G17" s="38">
        <f>_xll.qlQuoteValue(D17,AllTriggers)</f>
        <v>2.6199999999999999E-3</v>
      </c>
      <c r="H17" s="40" t="str">
        <f>_xll.qlMakeDatedOIS(,E17,F17,OvernightIndex,0,,,,EvaluationDate)</f>
        <v>obj_00597#0000</v>
      </c>
      <c r="I17" s="40" t="b">
        <f>_xll.qlInstrumentSetPricingEngine(H17,OisEngine)</f>
        <v>1</v>
      </c>
      <c r="J17" s="38">
        <f>_xll.qlOvernightIndexedSwapFairRate(H17,AllTriggers)</f>
        <v>-2.8001981918553511E-4</v>
      </c>
      <c r="K17" s="345">
        <f t="shared" si="0"/>
        <v>2.9000198191855352E-3</v>
      </c>
      <c r="M17" s="346">
        <f>_xll.qlCalendarAdvance(Calendar,M16,"1M","f",,Trigger)</f>
        <v>42411</v>
      </c>
      <c r="N17" s="344">
        <f>_xll.qlCalendarAdvance(Calendar,M17,"3M","f",,Trigger)</f>
        <v>42501</v>
      </c>
      <c r="O17" s="40" t="str">
        <f>_xll.qlMakeDatedOIS(,M17,N17,OvernightIndex,0,,,,EvaluationDate)</f>
        <v>obj_00942#0000</v>
      </c>
      <c r="P17" s="40" t="b">
        <f>_xll.qlInstrumentSetPricingEngine(O17,OisEngine)</f>
        <v>1</v>
      </c>
      <c r="Q17" s="38">
        <f>_xll.qlIndexFixing(Currency&amp;IborType&amp;"6M",_xll.qlInterestRateIndexFixingDate(Currency&amp;IborType&amp;"6M",M17),TRUE,AllTriggers)</f>
        <v>2.6605794099942149E-3</v>
      </c>
      <c r="R17" s="38">
        <f>_xll.qlOvernightIndexedSwapFairRate(O17,AllTriggers)</f>
        <v>-4.3554382642252421E-4</v>
      </c>
      <c r="S17" s="345">
        <f t="shared" si="2"/>
        <v>3.0961232364167392E-3</v>
      </c>
    </row>
    <row r="18" spans="1:19" ht="11.25" customHeight="1" x14ac:dyDescent="0.2">
      <c r="A18" s="36">
        <f t="shared" si="4"/>
        <v>16</v>
      </c>
      <c r="B18" s="36" t="s">
        <v>42</v>
      </c>
      <c r="C18" s="36">
        <f t="shared" si="3"/>
        <v>22</v>
      </c>
      <c r="D18" s="343" t="str">
        <f t="shared" si="1"/>
        <v>EUR16x22F_Quote</v>
      </c>
      <c r="E18" s="344">
        <f>_xll.qlCalendarAdvance("target",$E$2,A18&amp;"M","mf",,Trigger)</f>
        <v>42429</v>
      </c>
      <c r="F18" s="344">
        <f>_xll.qlCalendarAdvance(Calendar,E18,"6M","mf",,Trigger)</f>
        <v>42611</v>
      </c>
      <c r="G18" s="38">
        <f>_xll.qlQuoteValue(D18,AllTriggers)</f>
        <v>2.7200000000000002E-3</v>
      </c>
      <c r="H18" s="40" t="str">
        <f>_xll.qlMakeDatedOIS(,E18,F18,OvernightIndex,0,,,,EvaluationDate)</f>
        <v>obj_00594#0000</v>
      </c>
      <c r="I18" s="40" t="b">
        <f>_xll.qlInstrumentSetPricingEngine(H18,OisEngine)</f>
        <v>1</v>
      </c>
      <c r="J18" s="38">
        <f>_xll.qlOvernightIndexedSwapFairRate(H18,AllTriggers)</f>
        <v>-1.9216887279526574E-4</v>
      </c>
      <c r="K18" s="345">
        <f t="shared" si="0"/>
        <v>2.9121688727952659E-3</v>
      </c>
      <c r="M18" s="346">
        <f>_xll.qlCalendarAdvance(Calendar,M17,"1M","f",,Trigger)</f>
        <v>42440</v>
      </c>
      <c r="N18" s="344">
        <f>_xll.qlCalendarAdvance(Calendar,M18,"3M","f",,Trigger)</f>
        <v>42534</v>
      </c>
      <c r="O18" s="40" t="str">
        <f>_xll.qlMakeDatedOIS(,M18,N18,OvernightIndex,0,,,,EvaluationDate)</f>
        <v>obj_008f0#0000</v>
      </c>
      <c r="P18" s="40" t="b">
        <f>_xll.qlInstrumentSetPricingEngine(O18,OisEngine)</f>
        <v>1</v>
      </c>
      <c r="Q18" s="38">
        <f>_xll.qlIndexFixing(Currency&amp;IborType&amp;"6M",_xll.qlInterestRateIndexFixingDate(Currency&amp;IborType&amp;"6M",M18),TRUE,AllTriggers)</f>
        <v>2.7574035673652024E-3</v>
      </c>
      <c r="R18" s="38">
        <f>_xll.qlOvernightIndexedSwapFairRate(O18,AllTriggers)</f>
        <v>-3.1332187250880043E-4</v>
      </c>
      <c r="S18" s="345">
        <f t="shared" si="2"/>
        <v>3.070725439874003E-3</v>
      </c>
    </row>
    <row r="19" spans="1:19" ht="11.25" customHeight="1" x14ac:dyDescent="0.2">
      <c r="A19" s="36">
        <f t="shared" si="4"/>
        <v>17</v>
      </c>
      <c r="B19" s="36" t="s">
        <v>42</v>
      </c>
      <c r="C19" s="36">
        <f t="shared" si="3"/>
        <v>23</v>
      </c>
      <c r="D19" s="343" t="str">
        <f t="shared" si="1"/>
        <v>EUR17x23F_Quote</v>
      </c>
      <c r="E19" s="344">
        <f>_xll.qlCalendarAdvance("target",$E$2,A19&amp;"M","mf",,Trigger)</f>
        <v>42460</v>
      </c>
      <c r="F19" s="344">
        <f>_xll.qlCalendarAdvance(Calendar,E19,"6M","mf",,Trigger)</f>
        <v>42643</v>
      </c>
      <c r="G19" s="38">
        <f>_xll.qlQuoteValue(D19,AllTriggers)</f>
        <v>2.8200000000000005E-3</v>
      </c>
      <c r="H19" s="40" t="str">
        <f>_xll.qlMakeDatedOIS(,E19,F19,OvernightIndex,0,,,,EvaluationDate)</f>
        <v>obj_005a6#0000</v>
      </c>
      <c r="I19" s="40" t="b">
        <f>_xll.qlInstrumentSetPricingEngine(H19,OisEngine)</f>
        <v>1</v>
      </c>
      <c r="J19" s="38">
        <f>_xll.qlOvernightIndexedSwapFairRate(H19,AllTriggers)</f>
        <v>-8.7740900814596958E-5</v>
      </c>
      <c r="K19" s="345">
        <f t="shared" si="0"/>
        <v>2.9077409008145972E-3</v>
      </c>
      <c r="M19" s="346">
        <f>_xll.qlCalendarAdvance(Calendar,M18,"1M","f",,Trigger)</f>
        <v>42471</v>
      </c>
      <c r="N19" s="344">
        <f>_xll.qlCalendarAdvance(Calendar,M19,"3M","f",,Trigger)</f>
        <v>42562</v>
      </c>
      <c r="O19" s="40" t="str">
        <f>_xll.qlMakeDatedOIS(,M19,N19,OvernightIndex,0,,,,EvaluationDate)</f>
        <v>obj_0089d#0000</v>
      </c>
      <c r="P19" s="40" t="b">
        <f>_xll.qlInstrumentSetPricingEngine(O19,OisEngine)</f>
        <v>1</v>
      </c>
      <c r="Q19" s="38">
        <f>_xll.qlIndexFixing(Currency&amp;IborType&amp;"6M",_xll.qlInterestRateIndexFixingDate(Currency&amp;IborType&amp;"6M",M19),TRUE,AllTriggers)</f>
        <v>2.8579832043188064E-3</v>
      </c>
      <c r="R19" s="38">
        <f>_xll.qlOvernightIndexedSwapFairRate(O19,AllTriggers)</f>
        <v>-1.7279543225685518E-4</v>
      </c>
      <c r="S19" s="345">
        <f t="shared" si="2"/>
        <v>3.0307786365756616E-3</v>
      </c>
    </row>
    <row r="20" spans="1:19" ht="11.25" customHeight="1" thickBot="1" x14ac:dyDescent="0.25">
      <c r="A20" s="36">
        <f t="shared" si="4"/>
        <v>18</v>
      </c>
      <c r="B20" s="36" t="s">
        <v>42</v>
      </c>
      <c r="C20" s="36">
        <f t="shared" si="3"/>
        <v>24</v>
      </c>
      <c r="D20" s="347" t="str">
        <f t="shared" si="1"/>
        <v>EUR18x24F_Quote</v>
      </c>
      <c r="E20" s="348">
        <f>_xll.qlCalendarAdvance("target",$E$2,A20&amp;"M","mf",,Trigger)</f>
        <v>42489</v>
      </c>
      <c r="F20" s="348">
        <f>_xll.qlCalendarAdvance(Calendar,E20,"6M","mf",,Trigger)</f>
        <v>42674</v>
      </c>
      <c r="G20" s="349">
        <f>_xll.qlQuoteValue(D20,AllTriggers)</f>
        <v>2.9300000000000003E-3</v>
      </c>
      <c r="H20" s="40" t="str">
        <f>_xll.qlMakeDatedOIS(,E20,F20,OvernightIndex,0,,,,EvaluationDate)</f>
        <v>obj_00598#0000</v>
      </c>
      <c r="I20" s="40" t="b">
        <f>_xll.qlInstrumentSetPricingEngine(H20,OisEngine)</f>
        <v>1</v>
      </c>
      <c r="J20" s="349">
        <f>_xll.qlOvernightIndexedSwapFairRate(H20,AllTriggers)</f>
        <v>6.0796525193655437E-6</v>
      </c>
      <c r="K20" s="350">
        <f t="shared" si="0"/>
        <v>2.923920347480635E-3</v>
      </c>
      <c r="M20" s="346">
        <f>_xll.qlCalendarAdvance(Calendar,M19,"1M","f",,Trigger)</f>
        <v>42501</v>
      </c>
      <c r="N20" s="344">
        <f>_xll.qlCalendarAdvance(Calendar,M20,"3M","f",,Trigger)</f>
        <v>42593</v>
      </c>
      <c r="O20" s="40" t="str">
        <f>_xll.qlMakeDatedOIS(,M20,N20,OvernightIndex,0,,,,EvaluationDate)</f>
        <v>obj_00a37#0000</v>
      </c>
      <c r="P20" s="40" t="b">
        <f>_xll.qlInstrumentSetPricingEngine(O20,OisEngine)</f>
        <v>1</v>
      </c>
      <c r="Q20" s="38">
        <f>_xll.qlIndexFixing(Currency&amp;IborType&amp;"6M",_xll.qlInterestRateIndexFixingDate(Currency&amp;IborType&amp;"6M",M20),TRUE,AllTriggers)</f>
        <v>2.9788056396894079E-3</v>
      </c>
      <c r="R20" s="38">
        <f>_xll.qlOvernightIndexedSwapFairRate(O20,AllTriggers)</f>
        <v>-6.1390859771400742E-5</v>
      </c>
      <c r="S20" s="345">
        <f t="shared" si="2"/>
        <v>3.0401964994608089E-3</v>
      </c>
    </row>
    <row r="21" spans="1:19" ht="11.25" customHeight="1" x14ac:dyDescent="0.2">
      <c r="E21" s="254"/>
      <c r="F21" s="254"/>
      <c r="G21" s="39"/>
      <c r="H21" s="351"/>
      <c r="I21" s="37"/>
      <c r="J21" s="39"/>
      <c r="K21" s="39"/>
      <c r="M21" s="346">
        <f>_xll.qlCalendarAdvance(Calendar,M20,"1M","f",,Trigger)</f>
        <v>42534</v>
      </c>
      <c r="N21" s="344">
        <f>_xll.qlCalendarAdvance(Calendar,M21,"3M","f",,Trigger)</f>
        <v>42626</v>
      </c>
      <c r="O21" s="40" t="str">
        <f>_xll.qlMakeDatedOIS(,M21,N21,OvernightIndex,0,,,,EvaluationDate)</f>
        <v>obj_008b6#0000</v>
      </c>
      <c r="P21" s="40" t="b">
        <f>_xll.qlInstrumentSetPricingEngine(O21,OisEngine)</f>
        <v>1</v>
      </c>
      <c r="Q21" s="38">
        <f>_xll.qlIndexFixing(Currency&amp;IborType&amp;"6M",_xll.qlInterestRateIndexFixingDate(Currency&amp;IborType&amp;"6M",M21),TRUE,AllTriggers)</f>
        <v>3.1071555149953878E-3</v>
      </c>
      <c r="R21" s="38">
        <f>_xll.qlOvernightIndexedSwapFairRate(O21,AllTriggers)</f>
        <v>1.5353555430508905E-5</v>
      </c>
      <c r="S21" s="345">
        <f t="shared" si="2"/>
        <v>3.0918019595648789E-3</v>
      </c>
    </row>
    <row r="22" spans="1:19" ht="11.25" customHeight="1" x14ac:dyDescent="0.2">
      <c r="E22" s="254"/>
      <c r="F22" s="254"/>
      <c r="G22" s="39"/>
      <c r="J22" s="39"/>
      <c r="K22" s="39"/>
      <c r="M22" s="346">
        <f>_xll.qlCalendarAdvance(Calendar,M21,"1M","f",,Trigger)</f>
        <v>42564</v>
      </c>
      <c r="N22" s="344">
        <f>_xll.qlCalendarAdvance(Calendar,M22,"3M","f",,Trigger)</f>
        <v>42656</v>
      </c>
      <c r="O22" s="40" t="str">
        <f>_xll.qlMakeDatedOIS(,M22,N22,OvernightIndex,0,,,,EvaluationDate)</f>
        <v>obj_009df#0000</v>
      </c>
      <c r="P22" s="40" t="b">
        <f>_xll.qlInstrumentSetPricingEngine(O22,OisEngine)</f>
        <v>1</v>
      </c>
      <c r="Q22" s="38">
        <f>_xll.qlIndexFixing(Currency&amp;IborType&amp;"6M",_xll.qlInterestRateIndexFixingDate(Currency&amp;IborType&amp;"6M",M22),TRUE,AllTriggers)</f>
        <v>3.2201791931817528E-3</v>
      </c>
      <c r="R22" s="38">
        <f>_xll.qlOvernightIndexedSwapFairRate(O22,AllTriggers)</f>
        <v>7.2381283519872426E-5</v>
      </c>
      <c r="S22" s="345">
        <f t="shared" si="2"/>
        <v>3.1477979096618805E-3</v>
      </c>
    </row>
    <row r="23" spans="1:19" ht="11.25" customHeight="1" x14ac:dyDescent="0.2">
      <c r="E23" s="254"/>
      <c r="F23" s="254"/>
      <c r="G23" s="39"/>
      <c r="J23" s="39"/>
      <c r="K23" s="39"/>
      <c r="M23" s="346">
        <f>_xll.qlCalendarAdvance(Calendar,M22,"1M","f",,Trigger)</f>
        <v>42597</v>
      </c>
      <c r="N23" s="344">
        <f>_xll.qlCalendarAdvance(Calendar,M23,"3M","f",,Trigger)</f>
        <v>42689</v>
      </c>
      <c r="O23" s="40" t="str">
        <f>_xll.qlMakeDatedOIS(,M23,N23,OvernightIndex,0,,,,EvaluationDate)</f>
        <v>obj_009a8#0000</v>
      </c>
      <c r="P23" s="40" t="b">
        <f>_xll.qlInstrumentSetPricingEngine(O23,OisEngine)</f>
        <v>1</v>
      </c>
      <c r="Q23" s="38">
        <f>_xll.qlIndexFixing(Currency&amp;IborType&amp;"6M",_xll.qlInterestRateIndexFixingDate(Currency&amp;IborType&amp;"6M",M23),TRUE,AllTriggers)</f>
        <v>3.3623041590118809E-3</v>
      </c>
      <c r="R23" s="38">
        <f>_xll.qlOvernightIndexedSwapFairRate(O23,AllTriggers)</f>
        <v>1.4769815594475034E-4</v>
      </c>
      <c r="S23" s="345">
        <f t="shared" si="2"/>
        <v>3.2146060030671304E-3</v>
      </c>
    </row>
    <row r="24" spans="1:19" ht="11.25" customHeight="1" x14ac:dyDescent="0.2">
      <c r="E24" s="254"/>
      <c r="F24" s="254"/>
      <c r="G24" s="39"/>
      <c r="J24" s="39"/>
      <c r="K24" s="39"/>
      <c r="M24" s="346">
        <f>_xll.qlCalendarAdvance(Calendar,M23,"1M","f",,Trigger)</f>
        <v>42628</v>
      </c>
      <c r="N24" s="344">
        <f>_xll.qlCalendarAdvance(Calendar,M24,"3M","f",,Trigger)</f>
        <v>42719</v>
      </c>
      <c r="O24" s="40" t="str">
        <f>_xll.qlMakeDatedOIS(,M24,N24,OvernightIndex,0,,,,EvaluationDate)</f>
        <v>obj_008aa#0000</v>
      </c>
      <c r="P24" s="40" t="b">
        <f>_xll.qlInstrumentSetPricingEngine(O24,OisEngine)</f>
        <v>1</v>
      </c>
      <c r="Q24" s="38">
        <f>_xll.qlIndexFixing(Currency&amp;IborType&amp;"6M",_xll.qlInterestRateIndexFixingDate(Currency&amp;IborType&amp;"6M",M24),TRUE,AllTriggers)</f>
        <v>3.4838411837447465E-3</v>
      </c>
      <c r="R24" s="38">
        <f>_xll.qlOvernightIndexedSwapFairRate(O24,AllTriggers)</f>
        <v>2.3282084497849428E-4</v>
      </c>
      <c r="S24" s="345">
        <f t="shared" si="2"/>
        <v>3.2510203387662523E-3</v>
      </c>
    </row>
    <row r="25" spans="1:19" ht="11.25" customHeight="1" x14ac:dyDescent="0.2">
      <c r="E25" s="254"/>
      <c r="F25" s="254"/>
      <c r="G25" s="39"/>
      <c r="J25" s="39"/>
      <c r="K25" s="39"/>
      <c r="M25" s="346">
        <f>_xll.qlCalendarAdvance(Calendar,M24,"1M","f",,Trigger)</f>
        <v>42660</v>
      </c>
      <c r="N25" s="344">
        <f>_xll.qlCalendarAdvance(Calendar,M25,"3M","f",,Trigger)</f>
        <v>42752</v>
      </c>
      <c r="O25" s="40" t="str">
        <f>_xll.qlMakeDatedOIS(,M25,N25,OvernightIndex,0,,,,EvaluationDate)</f>
        <v>obj_00941#0000</v>
      </c>
      <c r="P25" s="40" t="b">
        <f>_xll.qlInstrumentSetPricingEngine(O25,OisEngine)</f>
        <v>1</v>
      </c>
      <c r="Q25" s="38">
        <f>_xll.qlIndexFixing(Currency&amp;IborType&amp;"6M",_xll.qlInterestRateIndexFixingDate(Currency&amp;IborType&amp;"6M",M25),TRUE,AllTriggers)</f>
        <v>3.6175780114721862E-3</v>
      </c>
      <c r="R25" s="38">
        <f>_xll.qlOvernightIndexedSwapFairRate(O25,AllTriggers)</f>
        <v>3.3798832727365664E-4</v>
      </c>
      <c r="S25" s="345">
        <f t="shared" si="2"/>
        <v>3.2795896841985297E-3</v>
      </c>
    </row>
    <row r="26" spans="1:19" ht="11.25" customHeight="1" x14ac:dyDescent="0.2">
      <c r="E26" s="254"/>
      <c r="F26" s="254"/>
      <c r="G26" s="39"/>
      <c r="J26" s="39"/>
      <c r="K26" s="39"/>
      <c r="M26" s="346">
        <f>_xll.qlCalendarAdvance(Calendar,M25,"1M","f",,Trigger)</f>
        <v>42691</v>
      </c>
      <c r="N26" s="344">
        <f>_xll.qlCalendarAdvance(Calendar,M26,"3M","f",,Trigger)</f>
        <v>42783</v>
      </c>
      <c r="O26" s="40" t="str">
        <f>_xll.qlMakeDatedOIS(,M26,N26,OvernightIndex,0,,,,EvaluationDate)</f>
        <v>obj_008ef#0000</v>
      </c>
      <c r="P26" s="40" t="b">
        <f>_xll.qlInstrumentSetPricingEngine(O26,OisEngine)</f>
        <v>1</v>
      </c>
      <c r="Q26" s="38">
        <f>_xll.qlIndexFixing(Currency&amp;IborType&amp;"6M",_xll.qlInterestRateIndexFixingDate(Currency&amp;IborType&amp;"6M",M26),TRUE,AllTriggers)</f>
        <v>3.7447230441217151E-3</v>
      </c>
      <c r="R26" s="38">
        <f>_xll.qlOvernightIndexedSwapFairRate(O26,AllTriggers)</f>
        <v>4.4953136847371354E-4</v>
      </c>
      <c r="S26" s="345">
        <f t="shared" si="2"/>
        <v>3.2951916756480014E-3</v>
      </c>
    </row>
    <row r="27" spans="1:19" ht="11.25" customHeight="1" x14ac:dyDescent="0.2">
      <c r="E27" s="254"/>
      <c r="F27" s="254"/>
      <c r="G27" s="39"/>
      <c r="J27" s="39"/>
      <c r="K27" s="39"/>
      <c r="M27" s="346">
        <f>_xll.qlCalendarAdvance(Calendar,M26,"1M","f",,Trigger)</f>
        <v>42723</v>
      </c>
      <c r="N27" s="344">
        <f>_xll.qlCalendarAdvance(Calendar,M27,"3M","f",,Trigger)</f>
        <v>42814</v>
      </c>
      <c r="O27" s="40" t="str">
        <f>_xll.qlMakeDatedOIS(,M27,N27,OvernightIndex,0,,,,EvaluationDate)</f>
        <v>obj_0089c#0000</v>
      </c>
      <c r="P27" s="40" t="b">
        <f>_xll.qlInstrumentSetPricingEngine(O27,OisEngine)</f>
        <v>1</v>
      </c>
      <c r="Q27" s="38">
        <f>_xll.qlIndexFixing(Currency&amp;IborType&amp;"6M",_xll.qlInterestRateIndexFixingDate(Currency&amp;IborType&amp;"6M",M27),TRUE,AllTriggers)</f>
        <v>3.8901160580723055E-3</v>
      </c>
      <c r="R27" s="38">
        <f>_xll.qlOvernightIndexedSwapFairRate(O27,AllTriggers)</f>
        <v>5.695992355960964E-4</v>
      </c>
      <c r="S27" s="345">
        <f t="shared" si="2"/>
        <v>3.320516822476209E-3</v>
      </c>
    </row>
    <row r="28" spans="1:19" ht="11.25" customHeight="1" x14ac:dyDescent="0.2">
      <c r="E28" s="254"/>
      <c r="F28" s="254"/>
      <c r="G28" s="39"/>
      <c r="J28" s="39"/>
      <c r="K28" s="39"/>
      <c r="M28" s="346">
        <f>_xll.qlCalendarAdvance(Calendar,M27,"1M","f",,Trigger)</f>
        <v>42754</v>
      </c>
      <c r="N28" s="344">
        <f>_xll.qlCalendarAdvance(Calendar,M28,"3M","f",,Trigger)</f>
        <v>42844</v>
      </c>
      <c r="O28" s="40" t="str">
        <f>_xll.qlMakeDatedOIS(,M28,N28,OvernightIndex,0,,,,EvaluationDate)</f>
        <v>obj_00a36#0000</v>
      </c>
      <c r="P28" s="40" t="b">
        <f>_xll.qlInstrumentSetPricingEngine(O28,OisEngine)</f>
        <v>1</v>
      </c>
      <c r="Q28" s="38">
        <f>_xll.qlIndexFixing(Currency&amp;IborType&amp;"6M",_xll.qlInterestRateIndexFixingDate(Currency&amp;IborType&amp;"6M",M28),TRUE,AllTriggers)</f>
        <v>4.0331848745999961E-3</v>
      </c>
      <c r="R28" s="38">
        <f>_xll.qlOvernightIndexedSwapFairRate(O28,AllTriggers)</f>
        <v>6.9184506100494758E-4</v>
      </c>
      <c r="S28" s="345">
        <f t="shared" si="2"/>
        <v>3.3413398135950486E-3</v>
      </c>
    </row>
    <row r="29" spans="1:19" ht="11.25" customHeight="1" x14ac:dyDescent="0.2">
      <c r="E29" s="254"/>
      <c r="F29" s="254"/>
      <c r="G29" s="39"/>
      <c r="J29" s="39"/>
      <c r="K29" s="39"/>
      <c r="M29" s="346">
        <f>_xll.qlCalendarAdvance(Calendar,M28,"1M","f",,Trigger)</f>
        <v>42786</v>
      </c>
      <c r="N29" s="344">
        <f>_xll.qlCalendarAdvance(Calendar,M29,"3M","f",,Trigger)</f>
        <v>42877</v>
      </c>
      <c r="O29" s="40" t="str">
        <f>_xll.qlMakeDatedOIS(,M29,N29,OvernightIndex,0,,,,EvaluationDate)</f>
        <v>obj_00951#0000</v>
      </c>
      <c r="P29" s="40" t="b">
        <f>_xll.qlInstrumentSetPricingEngine(O29,OisEngine)</f>
        <v>1</v>
      </c>
      <c r="Q29" s="38">
        <f>_xll.qlIndexFixing(Currency&amp;IborType&amp;"6M",_xll.qlInterestRateIndexFixingDate(Currency&amp;IborType&amp;"6M",M29),TRUE,AllTriggers)</f>
        <v>4.1932308020420726E-3</v>
      </c>
      <c r="R29" s="38">
        <f>_xll.qlOvernightIndexedSwapFairRate(O29,AllTriggers)</f>
        <v>8.2869450900885681E-4</v>
      </c>
      <c r="S29" s="345">
        <f t="shared" si="2"/>
        <v>3.3645362930332158E-3</v>
      </c>
    </row>
    <row r="30" spans="1:19" ht="11.25" customHeight="1" x14ac:dyDescent="0.2">
      <c r="E30" s="254"/>
      <c r="F30" s="254"/>
      <c r="G30" s="39"/>
      <c r="J30" s="39"/>
      <c r="K30" s="39"/>
      <c r="M30" s="346">
        <f>_xll.qlCalendarAdvance(Calendar,M29,"1M","f",,Trigger)</f>
        <v>42814</v>
      </c>
      <c r="N30" s="344">
        <f>_xll.qlCalendarAdvance(Calendar,M30,"3M","f",,Trigger)</f>
        <v>42906</v>
      </c>
      <c r="O30" s="40" t="str">
        <f>_xll.qlMakeDatedOIS(,M30,N30,OvernightIndex,0,,,,EvaluationDate)</f>
        <v>obj_005d3#0000</v>
      </c>
      <c r="P30" s="40" t="b">
        <f>_xll.qlInstrumentSetPricingEngine(O30,OisEngine)</f>
        <v>1</v>
      </c>
      <c r="Q30" s="38">
        <f>_xll.qlIndexFixing(Currency&amp;IborType&amp;"6M",_xll.qlInterestRateIndexFixingDate(Currency&amp;IborType&amp;"6M",M30),TRUE,AllTriggers)</f>
        <v>4.3425773367236275E-3</v>
      </c>
      <c r="R30" s="38">
        <f>_xll.qlOvernightIndexedSwapFairRate(O30,AllTriggers)</f>
        <v>9.5421699107647493E-4</v>
      </c>
      <c r="S30" s="345">
        <f t="shared" si="2"/>
        <v>3.3883603456471524E-3</v>
      </c>
    </row>
    <row r="31" spans="1:19" ht="11.25" customHeight="1" x14ac:dyDescent="0.2">
      <c r="E31" s="254"/>
      <c r="F31" s="254"/>
      <c r="G31" s="39"/>
      <c r="J31" s="39"/>
      <c r="K31" s="39"/>
      <c r="M31" s="346">
        <f>_xll.qlCalendarAdvance(Calendar,M30,"1M","f",,Trigger)</f>
        <v>42845</v>
      </c>
      <c r="N31" s="344">
        <f>_xll.qlCalendarAdvance(Calendar,M31,"3M","f",,Trigger)</f>
        <v>42936</v>
      </c>
      <c r="O31" s="40" t="str">
        <f>_xll.qlMakeDatedOIS(,M31,N31,OvernightIndex,0,,,,EvaluationDate)</f>
        <v>obj_009de#0000</v>
      </c>
      <c r="P31" s="40" t="b">
        <f>_xll.qlInstrumentSetPricingEngine(O31,OisEngine)</f>
        <v>1</v>
      </c>
      <c r="Q31" s="38">
        <f>_xll.qlIndexFixing(Currency&amp;IborType&amp;"6M",_xll.qlInterestRateIndexFixingDate(Currency&amp;IborType&amp;"6M",M31),TRUE,AllTriggers)</f>
        <v>4.5057270120471065E-3</v>
      </c>
      <c r="R31" s="38">
        <f>_xll.qlOvernightIndexedSwapFairRate(O31,AllTriggers)</f>
        <v>1.0941483106512756E-3</v>
      </c>
      <c r="S31" s="345">
        <f t="shared" si="2"/>
        <v>3.4115787013958309E-3</v>
      </c>
    </row>
    <row r="32" spans="1:19" ht="11.25" customHeight="1" x14ac:dyDescent="0.2">
      <c r="E32" s="254"/>
      <c r="F32" s="254"/>
      <c r="G32" s="39"/>
      <c r="J32" s="39"/>
      <c r="K32" s="39"/>
      <c r="M32" s="346">
        <f>_xll.qlCalendarAdvance(Calendar,M31,"1M","f",,Trigger)</f>
        <v>42877</v>
      </c>
      <c r="N32" s="344">
        <f>_xll.qlCalendarAdvance(Calendar,M32,"3M","f",,Trigger)</f>
        <v>42969</v>
      </c>
      <c r="O32" s="40" t="str">
        <f>_xll.qlMakeDatedOIS(,M32,N32,OvernightIndex,0,,,,EvaluationDate)</f>
        <v>obj_005d6#0000</v>
      </c>
      <c r="P32" s="40" t="b">
        <f>_xll.qlInstrumentSetPricingEngine(O32,OisEngine)</f>
        <v>1</v>
      </c>
      <c r="Q32" s="38">
        <f>_xll.qlIndexFixing(Currency&amp;IborType&amp;"6M",_xll.qlInterestRateIndexFixingDate(Currency&amp;IborType&amp;"6M",M32),TRUE,AllTriggers)</f>
        <v>4.687161123787773E-3</v>
      </c>
      <c r="R32" s="38">
        <f>_xll.qlOvernightIndexedSwapFairRate(O32,AllTriggers)</f>
        <v>1.2498481810481767E-3</v>
      </c>
      <c r="S32" s="345">
        <f t="shared" si="2"/>
        <v>3.4373129427395961E-3</v>
      </c>
    </row>
    <row r="33" spans="5:19" ht="11.25" customHeight="1" x14ac:dyDescent="0.2">
      <c r="E33" s="254"/>
      <c r="F33" s="254"/>
      <c r="G33" s="39"/>
      <c r="J33" s="39"/>
      <c r="K33" s="39"/>
      <c r="M33" s="346">
        <f>_xll.qlCalendarAdvance(Calendar,M32,"1M","f",,Trigger)</f>
        <v>42908</v>
      </c>
      <c r="N33" s="344">
        <f>_xll.qlCalendarAdvance(Calendar,M33,"3M","f",,Trigger)</f>
        <v>43000</v>
      </c>
      <c r="O33" s="40" t="str">
        <f>_xll.qlMakeDatedOIS(,M33,N33,OvernightIndex,0,,,,EvaluationDate)</f>
        <v>obj_008ad#0000</v>
      </c>
      <c r="P33" s="40" t="b">
        <f>_xll.qlInstrumentSetPricingEngine(O33,OisEngine)</f>
        <v>1</v>
      </c>
      <c r="Q33" s="38">
        <f>_xll.qlIndexFixing(Currency&amp;IborType&amp;"6M",_xll.qlInterestRateIndexFixingDate(Currency&amp;IborType&amp;"6M",M33),TRUE,AllTriggers)</f>
        <v>4.8637106594610928E-3</v>
      </c>
      <c r="R33" s="38">
        <f>_xll.qlOvernightIndexedSwapFairRate(O33,AllTriggers)</f>
        <v>1.4045541238324418E-3</v>
      </c>
      <c r="S33" s="345">
        <f t="shared" si="2"/>
        <v>3.4591565356286509E-3</v>
      </c>
    </row>
    <row r="34" spans="5:19" ht="11.25" customHeight="1" x14ac:dyDescent="0.2">
      <c r="E34" s="254"/>
      <c r="F34" s="254"/>
      <c r="G34" s="39"/>
      <c r="J34" s="39"/>
      <c r="K34" s="39"/>
      <c r="M34" s="346">
        <f>_xll.qlCalendarAdvance(Calendar,M33,"1M","f",,Trigger)</f>
        <v>42940</v>
      </c>
      <c r="N34" s="344">
        <f>_xll.qlCalendarAdvance(Calendar,M34,"3M","f",,Trigger)</f>
        <v>43032</v>
      </c>
      <c r="O34" s="40" t="str">
        <f>_xll.qlMakeDatedOIS(,M34,N34,OvernightIndex,0,,,,EvaluationDate)</f>
        <v>obj_005d9#0000</v>
      </c>
      <c r="P34" s="40" t="b">
        <f>_xll.qlInstrumentSetPricingEngine(O34,OisEngine)</f>
        <v>1</v>
      </c>
      <c r="Q34" s="38">
        <f>_xll.qlIndexFixing(Currency&amp;IborType&amp;"6M",_xll.qlInterestRateIndexFixingDate(Currency&amp;IborType&amp;"6M",M34),TRUE,AllTriggers)</f>
        <v>5.0585538196821983E-3</v>
      </c>
      <c r="R34" s="38">
        <f>_xll.qlOvernightIndexedSwapFairRate(O34,AllTriggers)</f>
        <v>1.5706417958384201E-3</v>
      </c>
      <c r="S34" s="345">
        <f t="shared" si="2"/>
        <v>3.4879120238437782E-3</v>
      </c>
    </row>
    <row r="35" spans="5:19" ht="11.25" customHeight="1" x14ac:dyDescent="0.2">
      <c r="E35" s="254"/>
      <c r="F35" s="254"/>
      <c r="G35" s="39"/>
      <c r="J35" s="39"/>
      <c r="K35" s="39"/>
      <c r="M35" s="346">
        <f>_xll.qlCalendarAdvance(Calendar,M34,"1M","f",,Trigger)</f>
        <v>42971</v>
      </c>
      <c r="N35" s="344">
        <f>_xll.qlCalendarAdvance(Calendar,M35,"3M","f",,Trigger)</f>
        <v>43063</v>
      </c>
      <c r="O35" s="40" t="str">
        <f>_xll.qlMakeDatedOIS(,M35,N35,OvernightIndex,0,,,,EvaluationDate)</f>
        <v>obj_008fb#0000</v>
      </c>
      <c r="P35" s="40" t="b">
        <f>_xll.qlInstrumentSetPricingEngine(O35,OisEngine)</f>
        <v>1</v>
      </c>
      <c r="Q35" s="38">
        <f>_xll.qlIndexFixing(Currency&amp;IborType&amp;"6M",_xll.qlInterestRateIndexFixingDate(Currency&amp;IborType&amp;"6M",M35),TRUE,AllTriggers)</f>
        <v>5.2564596968658122E-3</v>
      </c>
      <c r="R35" s="38">
        <f>_xll.qlOvernightIndexedSwapFairRate(O35,AllTriggers)</f>
        <v>1.7376304084595533E-3</v>
      </c>
      <c r="S35" s="345">
        <f t="shared" si="2"/>
        <v>3.5188292884062592E-3</v>
      </c>
    </row>
    <row r="36" spans="5:19" ht="11.25" customHeight="1" x14ac:dyDescent="0.2">
      <c r="E36" s="254"/>
      <c r="F36" s="254"/>
      <c r="G36" s="39"/>
      <c r="J36" s="39"/>
      <c r="K36" s="39"/>
      <c r="M36" s="346">
        <f>_xll.qlCalendarAdvance(Calendar,M35,"1M","f",,Trigger)</f>
        <v>43003</v>
      </c>
      <c r="N36" s="344">
        <f>_xll.qlCalendarAdvance(Calendar,M36,"3M","f",,Trigger)</f>
        <v>43096</v>
      </c>
      <c r="O36" s="40" t="str">
        <f>_xll.qlMakeDatedOIS(,M36,N36,OvernightIndex,0,,,,EvaluationDate)</f>
        <v>obj_00940#0000</v>
      </c>
      <c r="P36" s="40" t="b">
        <f>_xll.qlInstrumentSetPricingEngine(O36,OisEngine)</f>
        <v>1</v>
      </c>
      <c r="Q36" s="38">
        <f>_xll.qlIndexFixing(Currency&amp;IborType&amp;"6M",_xll.qlInterestRateIndexFixingDate(Currency&amp;IborType&amp;"6M",M36),TRUE,AllTriggers)</f>
        <v>5.4462197847887214E-3</v>
      </c>
      <c r="R36" s="38">
        <f>_xll.qlOvernightIndexedSwapFairRate(O36,AllTriggers)</f>
        <v>1.9181647532954867E-3</v>
      </c>
      <c r="S36" s="345">
        <f t="shared" si="2"/>
        <v>3.5280550314932347E-3</v>
      </c>
    </row>
    <row r="37" spans="5:19" ht="11.25" customHeight="1" x14ac:dyDescent="0.2">
      <c r="E37" s="254"/>
      <c r="F37" s="254"/>
      <c r="G37" s="39"/>
      <c r="J37" s="39"/>
      <c r="K37" s="39"/>
      <c r="M37" s="346">
        <f>_xll.qlCalendarAdvance(Calendar,M36,"1M","f",,Trigger)</f>
        <v>43033</v>
      </c>
      <c r="N37" s="344">
        <f>_xll.qlCalendarAdvance(Calendar,M37,"3M","f",,Trigger)</f>
        <v>43125</v>
      </c>
      <c r="O37" s="40" t="str">
        <f>_xll.qlMakeDatedOIS(,M37,N37,OvernightIndex,0,,,,EvaluationDate)</f>
        <v>obj_008ee#0000</v>
      </c>
      <c r="P37" s="40" t="b">
        <f>_xll.qlInstrumentSetPricingEngine(O37,OisEngine)</f>
        <v>1</v>
      </c>
      <c r="Q37" s="38">
        <f>_xll.qlIndexFixing(Currency&amp;IborType&amp;"6M",_xll.qlInterestRateIndexFixingDate(Currency&amp;IborType&amp;"6M",M37),TRUE,AllTriggers)</f>
        <v>5.6407142530193344E-3</v>
      </c>
      <c r="R37" s="38">
        <f>_xll.qlOvernightIndexedSwapFairRate(O37,AllTriggers)</f>
        <v>2.0855447391993319E-3</v>
      </c>
      <c r="S37" s="345">
        <f t="shared" si="2"/>
        <v>3.5551695138200026E-3</v>
      </c>
    </row>
    <row r="38" spans="5:19" ht="11.25" customHeight="1" x14ac:dyDescent="0.2">
      <c r="E38" s="254"/>
      <c r="F38" s="254"/>
      <c r="G38" s="39"/>
      <c r="J38" s="39"/>
      <c r="K38" s="39"/>
      <c r="M38" s="346">
        <f>_xll.qlCalendarAdvance(Calendar,M37,"1M","f",,Trigger)</f>
        <v>43066</v>
      </c>
      <c r="N38" s="344">
        <f>_xll.qlCalendarAdvance(Calendar,M38,"3M","f",,Trigger)</f>
        <v>43158</v>
      </c>
      <c r="O38" s="40" t="str">
        <f>_xll.qlMakeDatedOIS(,M38,N38,OvernightIndex,0,,,,EvaluationDate)</f>
        <v>obj_0089b#0000</v>
      </c>
      <c r="P38" s="40" t="b">
        <f>_xll.qlInstrumentSetPricingEngine(O38,OisEngine)</f>
        <v>1</v>
      </c>
      <c r="Q38" s="38">
        <f>_xll.qlIndexFixing(Currency&amp;IborType&amp;"6M",_xll.qlInterestRateIndexFixingDate(Currency&amp;IborType&amp;"6M",M38),TRUE,AllTriggers)</f>
        <v>5.8591133680486731E-3</v>
      </c>
      <c r="R38" s="38">
        <f>_xll.qlOvernightIndexedSwapFairRate(O38,AllTriggers)</f>
        <v>2.2755619627586347E-3</v>
      </c>
      <c r="S38" s="345">
        <f t="shared" si="2"/>
        <v>3.5835514052900384E-3</v>
      </c>
    </row>
    <row r="39" spans="5:19" ht="11.25" customHeight="1" x14ac:dyDescent="0.2">
      <c r="E39" s="254"/>
      <c r="F39" s="254"/>
      <c r="G39" s="39"/>
      <c r="J39" s="39"/>
      <c r="K39" s="39"/>
      <c r="M39" s="346">
        <f>_xll.qlCalendarAdvance(Calendar,M38,"1M","f",,Trigger)</f>
        <v>43096</v>
      </c>
      <c r="N39" s="344">
        <f>_xll.qlCalendarAdvance(Calendar,M39,"3M","f",,Trigger)</f>
        <v>43186</v>
      </c>
      <c r="O39" s="40" t="str">
        <f>_xll.qlMakeDatedOIS(,M39,N39,OvernightIndex,0,,,,EvaluationDate)</f>
        <v>obj_00a35#0000</v>
      </c>
      <c r="P39" s="40" t="b">
        <f>_xll.qlInstrumentSetPricingEngine(O39,OisEngine)</f>
        <v>1</v>
      </c>
      <c r="Q39" s="38">
        <f>_xll.qlIndexFixing(Currency&amp;IborType&amp;"6M",_xll.qlInterestRateIndexFixingDate(Currency&amp;IborType&amp;"6M",M39),TRUE,AllTriggers)</f>
        <v>6.0615820360711966E-3</v>
      </c>
      <c r="R39" s="38">
        <f>_xll.qlOvernightIndexedSwapFairRate(O39,AllTriggers)</f>
        <v>2.4445708038030038E-3</v>
      </c>
      <c r="S39" s="345">
        <f t="shared" si="2"/>
        <v>3.6170112322681928E-3</v>
      </c>
    </row>
    <row r="40" spans="5:19" ht="11.25" customHeight="1" x14ac:dyDescent="0.2">
      <c r="E40" s="254"/>
      <c r="F40" s="254"/>
      <c r="G40" s="39"/>
      <c r="J40" s="39"/>
      <c r="K40" s="39"/>
      <c r="M40" s="346">
        <f>_xll.qlCalendarAdvance(Calendar,M39,"1M","f",,Trigger)</f>
        <v>43129</v>
      </c>
      <c r="N40" s="344">
        <f>_xll.qlCalendarAdvance(Calendar,M40,"3M","f",,Trigger)</f>
        <v>43220</v>
      </c>
      <c r="O40" s="40" t="str">
        <f>_xll.qlMakeDatedOIS(,M40,N40,OvernightIndex,0,,,,EvaluationDate)</f>
        <v>obj_00907#0000</v>
      </c>
      <c r="P40" s="40" t="b">
        <f>_xll.qlInstrumentSetPricingEngine(O40,OisEngine)</f>
        <v>1</v>
      </c>
      <c r="Q40" s="38">
        <f>_xll.qlIndexFixing(Currency&amp;IborType&amp;"6M",_xll.qlInterestRateIndexFixingDate(Currency&amp;IborType&amp;"6M",M40),TRUE,AllTriggers)</f>
        <v>6.2886147975629034E-3</v>
      </c>
      <c r="R40" s="38">
        <f>_xll.qlOvernightIndexedSwapFairRate(O40,AllTriggers)</f>
        <v>2.6423044185804306E-3</v>
      </c>
      <c r="S40" s="345">
        <f t="shared" si="2"/>
        <v>3.6463103789824728E-3</v>
      </c>
    </row>
    <row r="41" spans="5:19" ht="11.25" customHeight="1" x14ac:dyDescent="0.2">
      <c r="E41" s="254"/>
      <c r="F41" s="254"/>
      <c r="G41" s="39"/>
      <c r="J41" s="39"/>
      <c r="K41" s="39"/>
      <c r="M41" s="346">
        <f>_xll.qlCalendarAdvance(Calendar,M40,"1M","f",,Trigger)</f>
        <v>43159</v>
      </c>
      <c r="N41" s="344">
        <f>_xll.qlCalendarAdvance(Calendar,M41,"3M","f",,Trigger)</f>
        <v>43248</v>
      </c>
      <c r="O41" s="40" t="str">
        <f>_xll.qlMakeDatedOIS(,M41,N41,OvernightIndex,0,,,,EvaluationDate)</f>
        <v>obj_009dd#0000</v>
      </c>
      <c r="P41" s="40" t="b">
        <f>_xll.qlInstrumentSetPricingEngine(O41,OisEngine)</f>
        <v>1</v>
      </c>
      <c r="Q41" s="38">
        <f>_xll.qlIndexFixing(Currency&amp;IborType&amp;"6M",_xll.qlInterestRateIndexFixingDate(Currency&amp;IborType&amp;"6M",M41),TRUE,AllTriggers)</f>
        <v>6.5062527276491342E-3</v>
      </c>
      <c r="R41" s="38">
        <f>_xll.qlOvernightIndexedSwapFairRate(O41,AllTriggers)</f>
        <v>2.8154894003245431E-3</v>
      </c>
      <c r="S41" s="345">
        <f t="shared" si="2"/>
        <v>3.6907633273245912E-3</v>
      </c>
    </row>
    <row r="42" spans="5:19" ht="11.25" customHeight="1" x14ac:dyDescent="0.2">
      <c r="E42" s="254"/>
      <c r="F42" s="254"/>
      <c r="G42" s="39"/>
      <c r="J42" s="39"/>
      <c r="K42" s="39"/>
      <c r="M42" s="346">
        <f>_xll.qlCalendarAdvance(Calendar,M41,"1M","f",,Trigger)</f>
        <v>43187</v>
      </c>
      <c r="N42" s="344">
        <f>_xll.qlCalendarAdvance(Calendar,M42,"3M","f",,Trigger)</f>
        <v>43279</v>
      </c>
      <c r="O42" s="40" t="str">
        <f>_xll.qlMakeDatedOIS(,M42,N42,OvernightIndex,0,,,,EvaluationDate)</f>
        <v>obj_005e2#0000</v>
      </c>
      <c r="P42" s="40" t="b">
        <f>_xll.qlInstrumentSetPricingEngine(O42,OisEngine)</f>
        <v>1</v>
      </c>
      <c r="Q42" s="38">
        <f>_xll.qlIndexFixing(Currency&amp;IborType&amp;"6M",_xll.qlInterestRateIndexFixingDate(Currency&amp;IborType&amp;"6M",M42),TRUE,AllTriggers)</f>
        <v>6.7060491215584581E-3</v>
      </c>
      <c r="R42" s="38">
        <f>_xll.qlOvernightIndexedSwapFairRate(O42,AllTriggers)</f>
        <v>2.9937957404744062E-3</v>
      </c>
      <c r="S42" s="345">
        <f t="shared" si="2"/>
        <v>3.7122533810840519E-3</v>
      </c>
    </row>
    <row r="43" spans="5:19" ht="11.25" customHeight="1" x14ac:dyDescent="0.2">
      <c r="E43" s="254"/>
      <c r="F43" s="254"/>
      <c r="G43" s="39"/>
      <c r="J43" s="39"/>
      <c r="K43" s="39"/>
      <c r="M43" s="346">
        <f>_xll.qlCalendarAdvance(Calendar,M42,"1M","f",,Trigger)</f>
        <v>43220</v>
      </c>
      <c r="N43" s="344">
        <f>_xll.qlCalendarAdvance(Calendar,M43,"3M","f",,Trigger)</f>
        <v>43311</v>
      </c>
      <c r="O43" s="40" t="str">
        <f>_xll.qlMakeDatedOIS(,M43,N43,OvernightIndex,0,,,,EvaluationDate)</f>
        <v>obj_009a7#0000</v>
      </c>
      <c r="P43" s="40" t="b">
        <f>_xll.qlInstrumentSetPricingEngine(O43,OisEngine)</f>
        <v>1</v>
      </c>
      <c r="Q43" s="38">
        <f>_xll.qlIndexFixing(Currency&amp;IborType&amp;"6M",_xll.qlInterestRateIndexFixingDate(Currency&amp;IborType&amp;"6M",M43),TRUE,AllTriggers)</f>
        <v>6.9457081493637272E-3</v>
      </c>
      <c r="R43" s="38">
        <f>_xll.qlOvernightIndexedSwapFairRate(O43,AllTriggers)</f>
        <v>3.1924352662830832E-3</v>
      </c>
      <c r="S43" s="345">
        <f t="shared" si="2"/>
        <v>3.753272883080644E-3</v>
      </c>
    </row>
    <row r="44" spans="5:19" ht="11.25" customHeight="1" x14ac:dyDescent="0.2">
      <c r="E44" s="254"/>
      <c r="F44" s="254"/>
      <c r="G44" s="39"/>
      <c r="J44" s="39"/>
      <c r="K44" s="39"/>
      <c r="M44" s="346">
        <f>_xll.qlCalendarAdvance(Calendar,M43,"1M","f",,Trigger)</f>
        <v>43250</v>
      </c>
      <c r="N44" s="344">
        <f>_xll.qlCalendarAdvance(Calendar,M44,"3M","f",,Trigger)</f>
        <v>43342</v>
      </c>
      <c r="O44" s="40" t="str">
        <f>_xll.qlMakeDatedOIS(,M44,N44,OvernightIndex,0,,,,EvaluationDate)</f>
        <v>obj_00946#0000</v>
      </c>
      <c r="P44" s="40" t="b">
        <f>_xll.qlInstrumentSetPricingEngine(O44,OisEngine)</f>
        <v>1</v>
      </c>
      <c r="Q44" s="38">
        <f>_xll.qlIndexFixing(Currency&amp;IborType&amp;"6M",_xll.qlInterestRateIndexFixingDate(Currency&amp;IborType&amp;"6M",M44),TRUE,AllTriggers)</f>
        <v>7.1673830779213658E-3</v>
      </c>
      <c r="R44" s="38">
        <f>_xll.qlOvernightIndexedSwapFairRate(O44,AllTriggers)</f>
        <v>3.381130336984086E-3</v>
      </c>
      <c r="S44" s="345">
        <f t="shared" si="2"/>
        <v>3.7862527409372798E-3</v>
      </c>
    </row>
    <row r="45" spans="5:19" ht="11.25" customHeight="1" x14ac:dyDescent="0.2">
      <c r="E45" s="254"/>
      <c r="F45" s="254"/>
      <c r="G45" s="39"/>
      <c r="J45" s="39"/>
      <c r="K45" s="39"/>
      <c r="M45" s="346">
        <f>_xll.qlCalendarAdvance(Calendar,M44,"1M","f",,Trigger)</f>
        <v>43283</v>
      </c>
      <c r="N45" s="344">
        <f>_xll.qlCalendarAdvance(Calendar,M45,"3M","f",,Trigger)</f>
        <v>43375</v>
      </c>
      <c r="O45" s="40" t="str">
        <f>_xll.qlMakeDatedOIS(,M45,N45,OvernightIndex,0,,,,EvaluationDate)</f>
        <v>obj_0093f#0000</v>
      </c>
      <c r="P45" s="40" t="b">
        <f>_xll.qlInstrumentSetPricingEngine(O45,OisEngine)</f>
        <v>1</v>
      </c>
      <c r="Q45" s="38">
        <f>_xll.qlIndexFixing(Currency&amp;IborType&amp;"6M",_xll.qlInterestRateIndexFixingDate(Currency&amp;IborType&amp;"6M",M45),TRUE,AllTriggers)</f>
        <v>7.414639090570883E-3</v>
      </c>
      <c r="R45" s="38">
        <f>_xll.qlOvernightIndexedSwapFairRate(O45,AllTriggers)</f>
        <v>3.5876772645784933E-3</v>
      </c>
      <c r="S45" s="345">
        <f t="shared" si="2"/>
        <v>3.8269618259923898E-3</v>
      </c>
    </row>
    <row r="46" spans="5:19" ht="11.25" customHeight="1" x14ac:dyDescent="0.2">
      <c r="E46" s="254"/>
      <c r="F46" s="254"/>
      <c r="G46" s="39"/>
      <c r="J46" s="39"/>
      <c r="K46" s="39"/>
      <c r="M46" s="346">
        <f>_xll.qlCalendarAdvance(Calendar,M45,"1M","f",,Trigger)</f>
        <v>43314</v>
      </c>
      <c r="N46" s="344">
        <f>_xll.qlCalendarAdvance(Calendar,M46,"3M","f",,Trigger)</f>
        <v>43406</v>
      </c>
      <c r="O46" s="40" t="str">
        <f>_xll.qlMakeDatedOIS(,M46,N46,OvernightIndex,0,,,,EvaluationDate)</f>
        <v>obj_008ed#0000</v>
      </c>
      <c r="P46" s="40" t="b">
        <f>_xll.qlInstrumentSetPricingEngine(O46,OisEngine)</f>
        <v>1</v>
      </c>
      <c r="Q46" s="38">
        <f>_xll.qlIndexFixing(Currency&amp;IborType&amp;"6M",_xll.qlInterestRateIndexFixingDate(Currency&amp;IborType&amp;"6M",M46),TRUE,AllTriggers)</f>
        <v>7.6570934690702429E-3</v>
      </c>
      <c r="R46" s="38">
        <f>_xll.qlOvernightIndexedSwapFairRate(O46,AllTriggers)</f>
        <v>3.7839971915830332E-3</v>
      </c>
      <c r="S46" s="345">
        <f t="shared" si="2"/>
        <v>3.8730962774872098E-3</v>
      </c>
    </row>
    <row r="47" spans="5:19" ht="11.25" customHeight="1" x14ac:dyDescent="0.2">
      <c r="E47" s="254"/>
      <c r="F47" s="254"/>
      <c r="G47" s="39"/>
      <c r="J47" s="39"/>
      <c r="K47" s="39"/>
      <c r="M47" s="346">
        <f>_xll.qlCalendarAdvance(Calendar,M46,"1M","f",,Trigger)</f>
        <v>43346</v>
      </c>
      <c r="N47" s="344">
        <f>_xll.qlCalendarAdvance(Calendar,M47,"3M","f",,Trigger)</f>
        <v>43437</v>
      </c>
      <c r="O47" s="40" t="str">
        <f>_xll.qlMakeDatedOIS(,M47,N47,OvernightIndex,0,,,,EvaluationDate)</f>
        <v>obj_0089a#0000</v>
      </c>
      <c r="P47" s="40" t="b">
        <f>_xll.qlInstrumentSetPricingEngine(O47,OisEngine)</f>
        <v>1</v>
      </c>
      <c r="Q47" s="38">
        <f>_xll.qlIndexFixing(Currency&amp;IborType&amp;"6M",_xll.qlInterestRateIndexFixingDate(Currency&amp;IborType&amp;"6M",M47),TRUE,AllTriggers)</f>
        <v>7.8852072422831414E-3</v>
      </c>
      <c r="R47" s="38">
        <f>_xll.qlOvernightIndexedSwapFairRate(O47,AllTriggers)</f>
        <v>3.9859639553585643E-3</v>
      </c>
      <c r="S47" s="345">
        <f t="shared" si="2"/>
        <v>3.8992432869245771E-3</v>
      </c>
    </row>
    <row r="48" spans="5:19" ht="11.25" customHeight="1" x14ac:dyDescent="0.2">
      <c r="E48" s="254"/>
      <c r="F48" s="254"/>
      <c r="G48" s="39"/>
      <c r="J48" s="39"/>
      <c r="K48" s="39"/>
      <c r="M48" s="346">
        <f>_xll.qlCalendarAdvance(Calendar,M47,"1M","f",,Trigger)</f>
        <v>43376</v>
      </c>
      <c r="N48" s="344">
        <f>_xll.qlCalendarAdvance(Calendar,M48,"3M","f",,Trigger)</f>
        <v>43468</v>
      </c>
      <c r="O48" s="40" t="str">
        <f>_xll.qlMakeDatedOIS(,M48,N48,OvernightIndex,0,,,,EvaluationDate)</f>
        <v>obj_00a34#0000</v>
      </c>
      <c r="P48" s="40" t="b">
        <f>_xll.qlInstrumentSetPricingEngine(O48,OisEngine)</f>
        <v>1</v>
      </c>
      <c r="Q48" s="38">
        <f>_xll.qlIndexFixing(Currency&amp;IborType&amp;"6M",_xll.qlInterestRateIndexFixingDate(Currency&amp;IborType&amp;"6M",M48),TRUE,AllTriggers)</f>
        <v>8.1142876760408825E-3</v>
      </c>
      <c r="R48" s="38">
        <f>_xll.qlOvernightIndexedSwapFairRate(O48,AllTriggers)</f>
        <v>4.18507426790596E-3</v>
      </c>
      <c r="S48" s="345">
        <f t="shared" si="2"/>
        <v>3.9292134081349225E-3</v>
      </c>
    </row>
    <row r="49" spans="5:19" ht="11.25" customHeight="1" x14ac:dyDescent="0.2">
      <c r="E49" s="254"/>
      <c r="F49" s="254"/>
      <c r="G49" s="39"/>
      <c r="J49" s="39"/>
      <c r="K49" s="39"/>
      <c r="M49" s="346">
        <f>_xll.qlCalendarAdvance(Calendar,M48,"1M","f",,Trigger)</f>
        <v>43409</v>
      </c>
      <c r="N49" s="344">
        <f>_xll.qlCalendarAdvance(Calendar,M49,"3M","f",,Trigger)</f>
        <v>43501</v>
      </c>
      <c r="O49" s="40" t="str">
        <f>_xll.qlMakeDatedOIS(,M49,N49,OvernightIndex,0,,,,EvaluationDate)</f>
        <v>obj_008b5#0000</v>
      </c>
      <c r="P49" s="40" t="b">
        <f>_xll.qlInstrumentSetPricingEngine(O49,OisEngine)</f>
        <v>1</v>
      </c>
      <c r="Q49" s="38">
        <f>_xll.qlIndexFixing(Currency&amp;IborType&amp;"6M",_xll.qlInterestRateIndexFixingDate(Currency&amp;IborType&amp;"6M",M49),TRUE,AllTriggers)</f>
        <v>8.3659965914365496E-3</v>
      </c>
      <c r="R49" s="38">
        <f>_xll.qlOvernightIndexedSwapFairRate(O49,AllTriggers)</f>
        <v>4.4056376417926828E-3</v>
      </c>
      <c r="S49" s="345">
        <f t="shared" si="2"/>
        <v>3.9603589496438668E-3</v>
      </c>
    </row>
    <row r="50" spans="5:19" ht="11.25" customHeight="1" x14ac:dyDescent="0.2">
      <c r="E50" s="254"/>
      <c r="F50" s="254"/>
      <c r="G50" s="39"/>
      <c r="J50" s="39"/>
      <c r="K50" s="39"/>
      <c r="M50" s="346">
        <f>_xll.qlCalendarAdvance(Calendar,M49,"1M","f",,Trigger)</f>
        <v>43439</v>
      </c>
      <c r="N50" s="344">
        <f>_xll.qlCalendarAdvance(Calendar,M50,"3M","f",,Trigger)</f>
        <v>43529</v>
      </c>
      <c r="O50" s="40" t="str">
        <f>_xll.qlMakeDatedOIS(,M50,N50,OvernightIndex,0,,,,EvaluationDate)</f>
        <v>obj_009aa#0000</v>
      </c>
      <c r="P50" s="40" t="b">
        <f>_xll.qlInstrumentSetPricingEngine(O50,OisEngine)</f>
        <v>1</v>
      </c>
      <c r="Q50" s="38">
        <f>_xll.qlIndexFixing(Currency&amp;IborType&amp;"6M",_xll.qlInterestRateIndexFixingDate(Currency&amp;IborType&amp;"6M",M50),TRUE,AllTriggers)</f>
        <v>8.5939333554608671E-3</v>
      </c>
      <c r="R50" s="38">
        <f>_xll.qlOvernightIndexedSwapFairRate(O50,AllTriggers)</f>
        <v>4.6046286618270926E-3</v>
      </c>
      <c r="S50" s="345">
        <f t="shared" si="2"/>
        <v>3.9893046936337745E-3</v>
      </c>
    </row>
    <row r="51" spans="5:19" ht="11.25" customHeight="1" x14ac:dyDescent="0.2">
      <c r="E51" s="254"/>
      <c r="F51" s="254"/>
      <c r="G51" s="39"/>
      <c r="J51" s="39"/>
      <c r="K51" s="39"/>
      <c r="M51" s="346">
        <f>_xll.qlCalendarAdvance(Calendar,M50,"1M","f",,Trigger)</f>
        <v>43472</v>
      </c>
      <c r="N51" s="344">
        <f>_xll.qlCalendarAdvance(Calendar,M51,"3M","f",,Trigger)</f>
        <v>43563</v>
      </c>
      <c r="O51" s="40" t="str">
        <f>_xll.qlMakeDatedOIS(,M51,N51,OvernightIndex,0,,,,EvaluationDate)</f>
        <v>obj_009a6#0000</v>
      </c>
      <c r="P51" s="40" t="b">
        <f>_xll.qlInstrumentSetPricingEngine(O51,OisEngine)</f>
        <v>1</v>
      </c>
      <c r="Q51" s="38">
        <f>_xll.qlIndexFixing(Currency&amp;IborType&amp;"6M",_xll.qlInterestRateIndexFixingDate(Currency&amp;IborType&amp;"6M",M51),TRUE,AllTriggers)</f>
        <v>8.8435802812748161E-3</v>
      </c>
      <c r="R51" s="38">
        <f>_xll.qlOvernightIndexedSwapFairRate(O51,AllTriggers)</f>
        <v>4.8410839406466876E-3</v>
      </c>
      <c r="S51" s="345">
        <f t="shared" si="2"/>
        <v>4.0024963406281285E-3</v>
      </c>
    </row>
    <row r="52" spans="5:19" ht="11.25" customHeight="1" x14ac:dyDescent="0.2">
      <c r="E52" s="254"/>
      <c r="F52" s="254"/>
      <c r="G52" s="39"/>
      <c r="J52" s="39"/>
      <c r="K52" s="39"/>
      <c r="M52" s="346">
        <f>_xll.qlCalendarAdvance(Calendar,M51,"1M","f",,Trigger)</f>
        <v>43503</v>
      </c>
      <c r="N52" s="344">
        <f>_xll.qlCalendarAdvance(Calendar,M52,"3M","f",,Trigger)</f>
        <v>43592</v>
      </c>
      <c r="O52" s="40" t="str">
        <f>_xll.qlMakeDatedOIS(,M52,N52,OvernightIndex,0,,,,EvaluationDate)</f>
        <v>obj_005ed#0000</v>
      </c>
      <c r="P52" s="40" t="b">
        <f>_xll.qlInstrumentSetPricingEngine(O52,OisEngine)</f>
        <v>1</v>
      </c>
      <c r="Q52" s="38">
        <f>_xll.qlIndexFixing(Currency&amp;IborType&amp;"6M",_xll.qlInterestRateIndexFixingDate(Currency&amp;IborType&amp;"6M",M52),TRUE,AllTriggers)</f>
        <v>9.0732068588664089E-3</v>
      </c>
      <c r="R52" s="38">
        <f>_xll.qlOvernightIndexedSwapFairRate(O52,AllTriggers)</f>
        <v>5.0583757091416069E-3</v>
      </c>
      <c r="S52" s="345">
        <f t="shared" si="2"/>
        <v>4.014831149724802E-3</v>
      </c>
    </row>
    <row r="53" spans="5:19" ht="11.25" customHeight="1" x14ac:dyDescent="0.2">
      <c r="E53" s="254"/>
      <c r="F53" s="254"/>
      <c r="G53" s="39"/>
      <c r="J53" s="39"/>
      <c r="K53" s="39"/>
      <c r="M53" s="346">
        <f>_xll.qlCalendarAdvance(Calendar,M52,"1M","f",,Trigger)</f>
        <v>43531</v>
      </c>
      <c r="N53" s="344">
        <f>_xll.qlCalendarAdvance(Calendar,M53,"3M","f",,Trigger)</f>
        <v>43623</v>
      </c>
      <c r="O53" s="40" t="str">
        <f>_xll.qlMakeDatedOIS(,M53,N53,OvernightIndex,0,,,,EvaluationDate)</f>
        <v>obj_005ef#0000</v>
      </c>
      <c r="P53" s="40" t="b">
        <f>_xll.qlInstrumentSetPricingEngine(O53,OisEngine)</f>
        <v>1</v>
      </c>
      <c r="Q53" s="38">
        <f>_xll.qlIndexFixing(Currency&amp;IborType&amp;"6M",_xll.qlInterestRateIndexFixingDate(Currency&amp;IborType&amp;"6M",M53),TRUE,AllTriggers)</f>
        <v>9.3024732533641599E-3</v>
      </c>
      <c r="R53" s="38">
        <f>_xll.qlOvernightIndexedSwapFairRate(O53,AllTriggers)</f>
        <v>5.2777684833506316E-3</v>
      </c>
      <c r="S53" s="345">
        <f t="shared" si="2"/>
        <v>4.0247047700135282E-3</v>
      </c>
    </row>
    <row r="54" spans="5:19" ht="11.25" customHeight="1" x14ac:dyDescent="0.2">
      <c r="E54" s="254"/>
      <c r="F54" s="254"/>
      <c r="G54" s="39"/>
      <c r="J54" s="39"/>
      <c r="K54" s="39"/>
      <c r="M54" s="346">
        <f>_xll.qlCalendarAdvance(Calendar,M53,"1M","f",,Trigger)</f>
        <v>43563</v>
      </c>
      <c r="N54" s="344">
        <f>_xll.qlCalendarAdvance(Calendar,M54,"3M","f",,Trigger)</f>
        <v>43654</v>
      </c>
      <c r="O54" s="40" t="str">
        <f>_xll.qlMakeDatedOIS(,M54,N54,OvernightIndex,0,,,,EvaluationDate)</f>
        <v>obj_008a9#0000</v>
      </c>
      <c r="P54" s="40" t="b">
        <f>_xll.qlInstrumentSetPricingEngine(O54,OisEngine)</f>
        <v>1</v>
      </c>
      <c r="Q54" s="38">
        <f>_xll.qlIndexFixing(Currency&amp;IborType&amp;"6M",_xll.qlInterestRateIndexFixingDate(Currency&amp;IborType&amp;"6M",M54),TRUE,AllTriggers)</f>
        <v>9.5299521550451516E-3</v>
      </c>
      <c r="R54" s="38">
        <f>_xll.qlOvernightIndexedSwapFairRate(O54,AllTriggers)</f>
        <v>5.5175090134246324E-3</v>
      </c>
      <c r="S54" s="345">
        <f t="shared" si="2"/>
        <v>4.0124431416205192E-3</v>
      </c>
    </row>
    <row r="55" spans="5:19" ht="11.25" customHeight="1" x14ac:dyDescent="0.2">
      <c r="E55" s="254"/>
      <c r="F55" s="254"/>
      <c r="G55" s="39"/>
      <c r="J55" s="39"/>
      <c r="K55" s="39"/>
      <c r="M55" s="346">
        <f>_xll.qlCalendarAdvance(Calendar,M54,"1M","f",,Trigger)</f>
        <v>43593</v>
      </c>
      <c r="N55" s="344">
        <f>_xll.qlCalendarAdvance(Calendar,M55,"3M","f",,Trigger)</f>
        <v>43685</v>
      </c>
      <c r="O55" s="40" t="str">
        <f>_xll.qlMakeDatedOIS(,M55,N55,OvernightIndex,0,,,,EvaluationDate)</f>
        <v>obj_0093e#0000</v>
      </c>
      <c r="P55" s="40" t="b">
        <f>_xll.qlInstrumentSetPricingEngine(O55,OisEngine)</f>
        <v>1</v>
      </c>
      <c r="Q55" s="38">
        <f>_xll.qlIndexFixing(Currency&amp;IborType&amp;"6M",_xll.qlInterestRateIndexFixingDate(Currency&amp;IborType&amp;"6M",M55),TRUE,AllTriggers)</f>
        <v>9.756889761545642E-3</v>
      </c>
      <c r="R55" s="38">
        <f>_xll.qlOvernightIndexedSwapFairRate(O55,AllTriggers)</f>
        <v>5.7555431189302581E-3</v>
      </c>
      <c r="S55" s="345">
        <f t="shared" si="2"/>
        <v>4.0013466426153839E-3</v>
      </c>
    </row>
    <row r="56" spans="5:19" ht="11.25" customHeight="1" x14ac:dyDescent="0.2">
      <c r="E56" s="254"/>
      <c r="F56" s="254"/>
      <c r="G56" s="39"/>
      <c r="J56" s="39"/>
      <c r="K56" s="39"/>
      <c r="M56" s="346">
        <f>_xll.qlCalendarAdvance(Calendar,M55,"1M","f",,Trigger)</f>
        <v>43626</v>
      </c>
      <c r="N56" s="344">
        <f>_xll.qlCalendarAdvance(Calendar,M56,"3M","f",,Trigger)</f>
        <v>43718</v>
      </c>
      <c r="O56" s="40" t="str">
        <f>_xll.qlMakeDatedOIS(,M56,N56,OvernightIndex,0,,,,EvaluationDate)</f>
        <v>obj_008ec#0000</v>
      </c>
      <c r="P56" s="40" t="b">
        <f>_xll.qlInstrumentSetPricingEngine(O56,OisEngine)</f>
        <v>1</v>
      </c>
      <c r="Q56" s="38">
        <f>_xll.qlIndexFixing(Currency&amp;IborType&amp;"6M",_xll.qlInterestRateIndexFixingDate(Currency&amp;IborType&amp;"6M",M56),TRUE,AllTriggers)</f>
        <v>9.997828019817398E-3</v>
      </c>
      <c r="R56" s="38">
        <f>_xll.qlOvernightIndexedSwapFairRate(O56,AllTriggers)</f>
        <v>6.0193439986752518E-3</v>
      </c>
      <c r="S56" s="345">
        <f t="shared" si="2"/>
        <v>3.9784840211421462E-3</v>
      </c>
    </row>
    <row r="57" spans="5:19" ht="11.25" customHeight="1" x14ac:dyDescent="0.2">
      <c r="E57" s="254"/>
      <c r="F57" s="254"/>
      <c r="G57" s="39"/>
      <c r="J57" s="39"/>
      <c r="K57" s="39"/>
      <c r="M57" s="346">
        <f>_xll.qlCalendarAdvance(Calendar,M56,"1M","f",,Trigger)</f>
        <v>43656</v>
      </c>
      <c r="N57" s="344">
        <f>_xll.qlCalendarAdvance(Calendar,M57,"3M","f",,Trigger)</f>
        <v>43748</v>
      </c>
      <c r="O57" s="40" t="str">
        <f>_xll.qlMakeDatedOIS(,M57,N57,OvernightIndex,0,,,,EvaluationDate)</f>
        <v>obj_00899#0000</v>
      </c>
      <c r="P57" s="40" t="b">
        <f>_xll.qlInstrumentSetPricingEngine(O57,OisEngine)</f>
        <v>1</v>
      </c>
      <c r="Q57" s="38">
        <f>_xll.qlIndexFixing(Currency&amp;IborType&amp;"6M",_xll.qlInterestRateIndexFixingDate(Currency&amp;IborType&amp;"6M",M57),TRUE,AllTriggers)</f>
        <v>1.0224750110588746E-2</v>
      </c>
      <c r="R57" s="38">
        <f>_xll.qlOvernightIndexedSwapFairRate(O57,AllTriggers)</f>
        <v>6.2648925927034985E-3</v>
      </c>
      <c r="S57" s="345">
        <f t="shared" si="2"/>
        <v>3.9598575178852475E-3</v>
      </c>
    </row>
    <row r="58" spans="5:19" ht="11.25" customHeight="1" x14ac:dyDescent="0.2">
      <c r="E58" s="254"/>
      <c r="F58" s="254"/>
      <c r="G58" s="39"/>
      <c r="J58" s="39"/>
      <c r="K58" s="39"/>
      <c r="M58" s="346">
        <f>_xll.qlCalendarAdvance(Calendar,M57,"1M","f",,Trigger)</f>
        <v>43689</v>
      </c>
      <c r="N58" s="344">
        <f>_xll.qlCalendarAdvance(Calendar,M58,"3M","f",,Trigger)</f>
        <v>43781</v>
      </c>
      <c r="O58" s="40" t="str">
        <f>_xll.qlMakeDatedOIS(,M58,N58,OvernightIndex,0,,,,EvaluationDate)</f>
        <v>obj_00a33#0000</v>
      </c>
      <c r="P58" s="40" t="b">
        <f>_xll.qlInstrumentSetPricingEngine(O58,OisEngine)</f>
        <v>1</v>
      </c>
      <c r="Q58" s="38">
        <f>_xll.qlIndexFixing(Currency&amp;IborType&amp;"6M",_xll.qlInterestRateIndexFixingDate(Currency&amp;IborType&amp;"6M",M58),TRUE,AllTriggers)</f>
        <v>1.0472079444674577E-2</v>
      </c>
      <c r="R58" s="38">
        <f>_xll.qlOvernightIndexedSwapFairRate(O58,AllTriggers)</f>
        <v>6.5412900432384163E-3</v>
      </c>
      <c r="S58" s="345">
        <f t="shared" si="2"/>
        <v>3.9307894014361609E-3</v>
      </c>
    </row>
    <row r="59" spans="5:19" ht="11.25" customHeight="1" x14ac:dyDescent="0.2">
      <c r="E59" s="254"/>
      <c r="F59" s="254"/>
      <c r="G59" s="39"/>
      <c r="J59" s="39"/>
      <c r="K59" s="39"/>
      <c r="M59" s="346">
        <f>_xll.qlCalendarAdvance(Calendar,M58,"1M","f",,Trigger)</f>
        <v>43720</v>
      </c>
      <c r="N59" s="344">
        <f>_xll.qlCalendarAdvance(Calendar,M59,"3M","f",,Trigger)</f>
        <v>43811</v>
      </c>
      <c r="O59" s="40" t="str">
        <f>_xll.qlMakeDatedOIS(,M59,N59,OvernightIndex,0,,,,EvaluationDate)</f>
        <v>obj_00950#0000</v>
      </c>
      <c r="P59" s="40" t="b">
        <f>_xll.qlInstrumentSetPricingEngine(O59,OisEngine)</f>
        <v>1</v>
      </c>
      <c r="Q59" s="38">
        <f>_xll.qlIndexFixing(Currency&amp;IborType&amp;"6M",_xll.qlInterestRateIndexFixingDate(Currency&amp;IborType&amp;"6M",M59),TRUE,AllTriggers)</f>
        <v>1.0699409693210881E-2</v>
      </c>
      <c r="R59" s="38">
        <f>_xll.qlOvernightIndexedSwapFairRate(O59,AllTriggers)</f>
        <v>6.8021041032772954E-3</v>
      </c>
      <c r="S59" s="345">
        <f t="shared" si="2"/>
        <v>3.8973055899335857E-3</v>
      </c>
    </row>
    <row r="60" spans="5:19" ht="11.25" customHeight="1" x14ac:dyDescent="0.2">
      <c r="E60" s="254"/>
      <c r="F60" s="254"/>
      <c r="G60" s="39"/>
      <c r="J60" s="39"/>
      <c r="K60" s="39"/>
      <c r="M60" s="346">
        <f>_xll.qlCalendarAdvance(Calendar,M59,"1M","f",,Trigger)</f>
        <v>43752</v>
      </c>
      <c r="N60" s="344">
        <f>_xll.qlCalendarAdvance(Calendar,M60,"3M","f",,Trigger)</f>
        <v>43844</v>
      </c>
      <c r="O60" s="40" t="str">
        <f>_xll.qlMakeDatedOIS(,M60,N60,OvernightIndex,0,,,,EvaluationDate)</f>
        <v>obj_00972#0000</v>
      </c>
      <c r="P60" s="40" t="b">
        <f>_xll.qlInstrumentSetPricingEngine(O60,OisEngine)</f>
        <v>1</v>
      </c>
      <c r="Q60" s="38">
        <f>_xll.qlIndexFixing(Currency&amp;IborType&amp;"6M",_xll.qlInterestRateIndexFixingDate(Currency&amp;IborType&amp;"6M",M60),TRUE,AllTriggers)</f>
        <v>1.0950893260127277E-2</v>
      </c>
      <c r="R60" s="38">
        <f>_xll.qlOvernightIndexedSwapFairRate(O60,AllTriggers)</f>
        <v>7.0849277369115487E-3</v>
      </c>
      <c r="S60" s="345">
        <f t="shared" si="2"/>
        <v>3.8659655232157284E-3</v>
      </c>
    </row>
    <row r="61" spans="5:19" ht="11.25" customHeight="1" x14ac:dyDescent="0.2">
      <c r="E61" s="254"/>
      <c r="F61" s="254"/>
      <c r="G61" s="39"/>
      <c r="J61" s="39"/>
      <c r="K61" s="39"/>
      <c r="M61" s="346">
        <f>_xll.qlCalendarAdvance(Calendar,M60,"1M","f",,Trigger)</f>
        <v>43783</v>
      </c>
      <c r="N61" s="344">
        <f>_xll.qlCalendarAdvance(Calendar,M61,"3M","f",,Trigger)</f>
        <v>43875</v>
      </c>
      <c r="O61" s="40" t="str">
        <f>_xll.qlMakeDatedOIS(,M61,N61,OvernightIndex,0,,,,EvaluationDate)</f>
        <v>obj_009a5#0000</v>
      </c>
      <c r="P61" s="40" t="b">
        <f>_xll.qlInstrumentSetPricingEngine(O61,OisEngine)</f>
        <v>1</v>
      </c>
      <c r="Q61" s="38">
        <f>_xll.qlIndexFixing(Currency&amp;IborType&amp;"6M",_xll.qlInterestRateIndexFixingDate(Currency&amp;IborType&amp;"6M",M61),TRUE,AllTriggers)</f>
        <v>1.1191862324454741E-2</v>
      </c>
      <c r="R61" s="38">
        <f>_xll.qlOvernightIndexedSwapFairRate(O61,AllTriggers)</f>
        <v>7.3580853524096972E-3</v>
      </c>
      <c r="S61" s="345">
        <f t="shared" si="2"/>
        <v>3.833776972045044E-3</v>
      </c>
    </row>
    <row r="62" spans="5:19" ht="11.25" customHeight="1" x14ac:dyDescent="0.2">
      <c r="E62" s="254"/>
      <c r="F62" s="254"/>
      <c r="G62" s="39"/>
      <c r="J62" s="39"/>
      <c r="K62" s="39"/>
      <c r="M62" s="346">
        <f>_xll.qlCalendarAdvance(Calendar,M61,"1M","f",,Trigger)</f>
        <v>43815</v>
      </c>
      <c r="N62" s="344">
        <f>_xll.qlCalendarAdvance(Calendar,M62,"3M","f",,Trigger)</f>
        <v>43906</v>
      </c>
      <c r="O62" s="40" t="str">
        <f>_xll.qlMakeDatedOIS(,M62,N62,OvernightIndex,0,,,,EvaluationDate)</f>
        <v>obj_008fa#0000</v>
      </c>
      <c r="P62" s="40" t="b">
        <f>_xll.qlInstrumentSetPricingEngine(O62,OisEngine)</f>
        <v>1</v>
      </c>
      <c r="Q62" s="38">
        <f>_xll.qlIndexFixing(Currency&amp;IborType&amp;"6M",_xll.qlInterestRateIndexFixingDate(Currency&amp;IborType&amp;"6M",M62),TRUE,AllTriggers)</f>
        <v>1.1455723887088884E-2</v>
      </c>
      <c r="R62" s="38">
        <f>_xll.qlOvernightIndexedSwapFairRate(O62,AllTriggers)</f>
        <v>7.6384534734486769E-3</v>
      </c>
      <c r="S62" s="345">
        <f t="shared" si="2"/>
        <v>3.8172704136402074E-3</v>
      </c>
    </row>
    <row r="63" spans="5:19" ht="11.25" customHeight="1" x14ac:dyDescent="0.2">
      <c r="E63" s="254"/>
      <c r="F63" s="254"/>
      <c r="G63" s="39"/>
      <c r="J63" s="39"/>
      <c r="K63" s="39"/>
      <c r="M63" s="346">
        <f>_xll.qlCalendarAdvance(Calendar,M62,"1M","f",,Trigger)</f>
        <v>43846</v>
      </c>
      <c r="N63" s="344">
        <f>_xll.qlCalendarAdvance(Calendar,M63,"3M","f",,Trigger)</f>
        <v>43937</v>
      </c>
      <c r="O63" s="40" t="str">
        <f>_xll.qlMakeDatedOIS(,M63,N63,OvernightIndex,0,,,,EvaluationDate)</f>
        <v>obj_005fa#0000</v>
      </c>
      <c r="P63" s="40" t="b">
        <f>_xll.qlInstrumentSetPricingEngine(O63,OisEngine)</f>
        <v>1</v>
      </c>
      <c r="Q63" s="38">
        <f>_xll.qlIndexFixing(Currency&amp;IborType&amp;"6M",_xll.qlInterestRateIndexFixingDate(Currency&amp;IborType&amp;"6M",M63),TRUE,AllTriggers)</f>
        <v>1.1708972420585197E-2</v>
      </c>
      <c r="R63" s="38">
        <f>_xll.qlOvernightIndexedSwapFairRate(O63,AllTriggers)</f>
        <v>7.9173011300630296E-3</v>
      </c>
      <c r="S63" s="345">
        <f t="shared" si="2"/>
        <v>3.791671290522167E-3</v>
      </c>
    </row>
    <row r="64" spans="5:19" ht="11.25" customHeight="1" x14ac:dyDescent="0.2">
      <c r="E64" s="254"/>
      <c r="F64" s="254"/>
      <c r="G64" s="39"/>
      <c r="J64" s="39"/>
      <c r="K64" s="39"/>
      <c r="M64" s="346">
        <f>_xll.qlCalendarAdvance(Calendar,M63,"1M","f",,Trigger)</f>
        <v>43878</v>
      </c>
      <c r="N64" s="344">
        <f>_xll.qlCalendarAdvance(Calendar,M64,"3M","f",,Trigger)</f>
        <v>43969</v>
      </c>
      <c r="O64" s="40" t="str">
        <f>_xll.qlMakeDatedOIS(,M64,N64,OvernightIndex,0,,,,EvaluationDate)</f>
        <v>obj_0093d#0000</v>
      </c>
      <c r="P64" s="40" t="b">
        <f>_xll.qlInstrumentSetPricingEngine(O64,OisEngine)</f>
        <v>1</v>
      </c>
      <c r="Q64" s="38">
        <f>_xll.qlIndexFixing(Currency&amp;IborType&amp;"6M",_xll.qlInterestRateIndexFixingDate(Currency&amp;IborType&amp;"6M",M64),TRUE,AllTriggers)</f>
        <v>1.1981388361958275E-2</v>
      </c>
      <c r="R64" s="38">
        <f>_xll.qlOvernightIndexedSwapFairRate(O64,AllTriggers)</f>
        <v>8.2080933949776388E-3</v>
      </c>
      <c r="S64" s="345">
        <f t="shared" si="2"/>
        <v>3.7732949669806361E-3</v>
      </c>
    </row>
    <row r="65" spans="5:19" ht="11.25" customHeight="1" x14ac:dyDescent="0.2">
      <c r="E65" s="254"/>
      <c r="F65" s="254"/>
      <c r="G65" s="39"/>
      <c r="J65" s="39"/>
      <c r="K65" s="39"/>
      <c r="M65" s="346">
        <f>_xll.qlCalendarAdvance(Calendar,M64,"1M","f",,Trigger)</f>
        <v>43907</v>
      </c>
      <c r="N65" s="344">
        <f>_xll.qlCalendarAdvance(Calendar,M65,"3M","f",,Trigger)</f>
        <v>43999</v>
      </c>
      <c r="O65" s="40" t="str">
        <f>_xll.qlMakeDatedOIS(,M65,N65,OvernightIndex,0,,,,EvaluationDate)</f>
        <v>obj_005fd#0000</v>
      </c>
      <c r="P65" s="40" t="b">
        <f>_xll.qlInstrumentSetPricingEngine(O65,OisEngine)</f>
        <v>1</v>
      </c>
      <c r="Q65" s="38">
        <f>_xll.qlIndexFixing(Currency&amp;IborType&amp;"6M",_xll.qlInterestRateIndexFixingDate(Currency&amp;IborType&amp;"6M",M65),TRUE,AllTriggers)</f>
        <v>1.2243361402324826E-2</v>
      </c>
      <c r="R65" s="38">
        <f>_xll.qlOvernightIndexedSwapFairRate(O65,AllTriggers)</f>
        <v>8.4789443605967525E-3</v>
      </c>
      <c r="S65" s="345">
        <f t="shared" si="2"/>
        <v>3.7644170417280732E-3</v>
      </c>
    </row>
    <row r="66" spans="5:19" ht="11.25" customHeight="1" x14ac:dyDescent="0.2">
      <c r="E66" s="254"/>
      <c r="F66" s="254"/>
      <c r="G66" s="39"/>
      <c r="J66" s="39"/>
      <c r="K66" s="39"/>
      <c r="M66" s="346">
        <f>_xll.qlCalendarAdvance(Calendar,M65,"1M","f",,Trigger)</f>
        <v>43938</v>
      </c>
      <c r="N66" s="344">
        <f>_xll.qlCalendarAdvance(Calendar,M66,"3M","f",,Trigger)</f>
        <v>44029</v>
      </c>
      <c r="O66" s="40" t="str">
        <f>_xll.qlMakeDatedOIS(,M66,N66,OvernightIndex,0,,,,EvaluationDate)</f>
        <v>obj_005ff#0000</v>
      </c>
      <c r="P66" s="40" t="b">
        <f>_xll.qlInstrumentSetPricingEngine(O66,OisEngine)</f>
        <v>1</v>
      </c>
      <c r="Q66" s="38">
        <f>_xll.qlIndexFixing(Currency&amp;IborType&amp;"6M",_xll.qlInterestRateIndexFixingDate(Currency&amp;IborType&amp;"6M",M66),TRUE,AllTriggers)</f>
        <v>1.2524350578490688E-2</v>
      </c>
      <c r="R66" s="38">
        <f>_xll.qlOvernightIndexedSwapFairRate(O66,AllTriggers)</f>
        <v>8.7614072373955638E-3</v>
      </c>
      <c r="S66" s="345">
        <f t="shared" si="2"/>
        <v>3.7629433410951239E-3</v>
      </c>
    </row>
    <row r="67" spans="5:19" ht="11.25" customHeight="1" x14ac:dyDescent="0.2">
      <c r="E67" s="254"/>
      <c r="F67" s="254"/>
      <c r="G67" s="39"/>
      <c r="J67" s="39"/>
      <c r="K67" s="39"/>
      <c r="M67" s="346">
        <f>_xll.qlCalendarAdvance(Calendar,M66,"1M","f",,Trigger)</f>
        <v>43969</v>
      </c>
      <c r="N67" s="344">
        <f>_xll.qlCalendarAdvance(Calendar,M67,"3M","f",,Trigger)</f>
        <v>44061</v>
      </c>
      <c r="O67" s="40" t="str">
        <f>_xll.qlMakeDatedOIS(,M67,N67,OvernightIndex,0,,,,EvaluationDate)</f>
        <v>obj_008eb#0000</v>
      </c>
      <c r="P67" s="40" t="b">
        <f>_xll.qlInstrumentSetPricingEngine(O67,OisEngine)</f>
        <v>1</v>
      </c>
      <c r="Q67" s="38">
        <f>_xll.qlIndexFixing(Currency&amp;IborType&amp;"6M",_xll.qlInterestRateIndexFixingDate(Currency&amp;IborType&amp;"6M",M67),TRUE,AllTriggers)</f>
        <v>1.2801801782927216E-2</v>
      </c>
      <c r="R67" s="38">
        <f>_xll.qlOvernightIndexedSwapFairRate(O67,AllTriggers)</f>
        <v>9.0562522751673653E-3</v>
      </c>
      <c r="S67" s="345">
        <f t="shared" ref="S67:S130" si="5">Q67-R67</f>
        <v>3.7455495077598506E-3</v>
      </c>
    </row>
    <row r="68" spans="5:19" ht="11.25" customHeight="1" x14ac:dyDescent="0.2">
      <c r="E68" s="254"/>
      <c r="F68" s="254"/>
      <c r="G68" s="39"/>
      <c r="J68" s="39"/>
      <c r="K68" s="39"/>
      <c r="M68" s="346">
        <f>_xll.qlCalendarAdvance(Calendar,M67,"1M","f",,Trigger)</f>
        <v>44000</v>
      </c>
      <c r="N68" s="344">
        <f>_xll.qlCalendarAdvance(Calendar,M68,"3M","f",,Trigger)</f>
        <v>44092</v>
      </c>
      <c r="O68" s="40" t="str">
        <f>_xll.qlMakeDatedOIS(,M68,N68,OvernightIndex,0,,,,EvaluationDate)</f>
        <v>obj_00602#0000</v>
      </c>
      <c r="P68" s="40" t="b">
        <f>_xll.qlInstrumentSetPricingEngine(O68,OisEngine)</f>
        <v>1</v>
      </c>
      <c r="Q68" s="38">
        <f>_xll.qlIndexFixing(Currency&amp;IborType&amp;"6M",_xll.qlInterestRateIndexFixingDate(Currency&amp;IborType&amp;"6M",M68),TRUE,AllTriggers)</f>
        <v>1.3084077598563315E-2</v>
      </c>
      <c r="R68" s="38">
        <f>_xll.qlOvernightIndexedSwapFairRate(O68,AllTriggers)</f>
        <v>9.3491279830226776E-3</v>
      </c>
      <c r="S68" s="345">
        <f t="shared" si="5"/>
        <v>3.7349496155406371E-3</v>
      </c>
    </row>
    <row r="69" spans="5:19" ht="11.25" customHeight="1" x14ac:dyDescent="0.2">
      <c r="E69" s="254"/>
      <c r="F69" s="254"/>
      <c r="G69" s="39"/>
      <c r="J69" s="39"/>
      <c r="K69" s="39"/>
      <c r="M69" s="346">
        <f>_xll.qlCalendarAdvance(Calendar,M68,"1M","f",,Trigger)</f>
        <v>44032</v>
      </c>
      <c r="N69" s="344">
        <f>_xll.qlCalendarAdvance(Calendar,M69,"3M","f",,Trigger)</f>
        <v>44124</v>
      </c>
      <c r="O69" s="40" t="str">
        <f>_xll.qlMakeDatedOIS(,M69,N69,OvernightIndex,0,,,,EvaluationDate)</f>
        <v>obj_00898#0000</v>
      </c>
      <c r="P69" s="40" t="b">
        <f>_xll.qlInstrumentSetPricingEngine(O69,OisEngine)</f>
        <v>1</v>
      </c>
      <c r="Q69" s="38">
        <f>_xll.qlIndexFixing(Currency&amp;IborType&amp;"6M",_xll.qlInterestRateIndexFixingDate(Currency&amp;IborType&amp;"6M",M69),TRUE,AllTriggers)</f>
        <v>1.338871834455454E-2</v>
      </c>
      <c r="R69" s="38">
        <f>_xll.qlOvernightIndexedSwapFairRate(O69,AllTriggers)</f>
        <v>9.6544043269577162E-3</v>
      </c>
      <c r="S69" s="345">
        <f t="shared" si="5"/>
        <v>3.734314017596824E-3</v>
      </c>
    </row>
    <row r="70" spans="5:19" ht="11.25" customHeight="1" x14ac:dyDescent="0.2">
      <c r="E70" s="254"/>
      <c r="F70" s="254"/>
      <c r="G70" s="39"/>
      <c r="J70" s="39"/>
      <c r="K70" s="39"/>
      <c r="M70" s="346">
        <f>_xll.qlCalendarAdvance(Calendar,M69,"1M","f",,Trigger)</f>
        <v>44063</v>
      </c>
      <c r="N70" s="344">
        <f>_xll.qlCalendarAdvance(Calendar,M70,"3M","f",,Trigger)</f>
        <v>44155</v>
      </c>
      <c r="O70" s="40" t="str">
        <f>_xll.qlMakeDatedOIS(,M70,N70,OvernightIndex,0,,,,EvaluationDate)</f>
        <v>obj_00a32#0000</v>
      </c>
      <c r="P70" s="40" t="b">
        <f>_xll.qlInstrumentSetPricingEngine(O70,OisEngine)</f>
        <v>1</v>
      </c>
      <c r="Q70" s="38">
        <f>_xll.qlIndexFixing(Currency&amp;IborType&amp;"6M",_xll.qlInterestRateIndexFixingDate(Currency&amp;IborType&amp;"6M",M70),TRUE,AllTriggers)</f>
        <v>1.3689963060414237E-2</v>
      </c>
      <c r="R70" s="38">
        <f>_xll.qlOvernightIndexedSwapFairRate(O70,AllTriggers)</f>
        <v>9.9529165060271395E-3</v>
      </c>
      <c r="S70" s="345">
        <f t="shared" si="5"/>
        <v>3.7370465543870978E-3</v>
      </c>
    </row>
    <row r="71" spans="5:19" ht="11.25" customHeight="1" x14ac:dyDescent="0.2">
      <c r="E71" s="254"/>
      <c r="F71" s="254"/>
      <c r="G71" s="39"/>
      <c r="J71" s="39"/>
      <c r="K71" s="39"/>
      <c r="M71" s="346">
        <f>_xll.qlCalendarAdvance(Calendar,M70,"1M","f",,Trigger)</f>
        <v>44095</v>
      </c>
      <c r="N71" s="344">
        <f>_xll.qlCalendarAdvance(Calendar,M71,"3M","f",,Trigger)</f>
        <v>44186</v>
      </c>
      <c r="O71" s="40" t="str">
        <f>_xll.qlMakeDatedOIS(,M71,N71,OvernightIndex,0,,,,EvaluationDate)</f>
        <v>obj_00606#0000</v>
      </c>
      <c r="P71" s="40" t="b">
        <f>_xll.qlInstrumentSetPricingEngine(O71,OisEngine)</f>
        <v>1</v>
      </c>
      <c r="Q71" s="38">
        <f>_xll.qlIndexFixing(Currency&amp;IborType&amp;"6M",_xll.qlInterestRateIndexFixingDate(Currency&amp;IborType&amp;"6M",M71),TRUE,AllTriggers)</f>
        <v>1.3970160923782992E-2</v>
      </c>
      <c r="R71" s="38">
        <f>_xll.qlOvernightIndexedSwapFairRate(O71,AllTriggers)</f>
        <v>1.0257817834165262E-2</v>
      </c>
      <c r="S71" s="345">
        <f t="shared" si="5"/>
        <v>3.7123430896177298E-3</v>
      </c>
    </row>
    <row r="72" spans="5:19" ht="11.25" customHeight="1" x14ac:dyDescent="0.2">
      <c r="E72" s="254"/>
      <c r="F72" s="254"/>
      <c r="G72" s="39"/>
      <c r="J72" s="39"/>
      <c r="K72" s="39"/>
      <c r="M72" s="346">
        <f>_xll.qlCalendarAdvance(Calendar,M71,"1M","f",,Trigger)</f>
        <v>44125</v>
      </c>
      <c r="N72" s="344">
        <f>_xll.qlCalendarAdvance(Calendar,M72,"3M","f",,Trigger)</f>
        <v>44217</v>
      </c>
      <c r="O72" s="40" t="str">
        <f>_xll.qlMakeDatedOIS(,M72,N72,OvernightIndex,0,,,,EvaluationDate)</f>
        <v>obj_00906#0000</v>
      </c>
      <c r="P72" s="40" t="b">
        <f>_xll.qlInstrumentSetPricingEngine(O72,OisEngine)</f>
        <v>1</v>
      </c>
      <c r="Q72" s="38">
        <f>_xll.qlIndexFixing(Currency&amp;IborType&amp;"6M",_xll.qlInterestRateIndexFixingDate(Currency&amp;IborType&amp;"6M",M72),TRUE,AllTriggers)</f>
        <v>1.4248578579684507E-2</v>
      </c>
      <c r="R72" s="38">
        <f>_xll.qlOvernightIndexedSwapFairRate(O72,AllTriggers)</f>
        <v>1.0553357615074274E-2</v>
      </c>
      <c r="S72" s="345">
        <f t="shared" si="5"/>
        <v>3.6952209646102328E-3</v>
      </c>
    </row>
    <row r="73" spans="5:19" ht="11.25" customHeight="1" x14ac:dyDescent="0.2">
      <c r="E73" s="254"/>
      <c r="F73" s="254"/>
      <c r="G73" s="39"/>
      <c r="J73" s="39"/>
      <c r="K73" s="39"/>
      <c r="M73" s="346">
        <f>_xll.qlCalendarAdvance(Calendar,M72,"1M","f",,Trigger)</f>
        <v>44158</v>
      </c>
      <c r="N73" s="344">
        <f>_xll.qlCalendarAdvance(Calendar,M73,"3M","f",,Trigger)</f>
        <v>44250</v>
      </c>
      <c r="O73" s="40" t="str">
        <f>_xll.qlMakeDatedOIS(,M73,N73,OvernightIndex,0,,,,EvaluationDate)</f>
        <v>obj_009dc#0000</v>
      </c>
      <c r="P73" s="40" t="b">
        <f>_xll.qlInstrumentSetPricingEngine(O73,OisEngine)</f>
        <v>1</v>
      </c>
      <c r="Q73" s="38">
        <f>_xll.qlIndexFixing(Currency&amp;IborType&amp;"6M",_xll.qlInterestRateIndexFixingDate(Currency&amp;IborType&amp;"6M",M73),TRUE,AllTriggers)</f>
        <v>1.4549726225749489E-2</v>
      </c>
      <c r="R73" s="38">
        <f>_xll.qlOvernightIndexedSwapFairRate(O73,AllTriggers)</f>
        <v>1.0871288124174594E-2</v>
      </c>
      <c r="S73" s="345">
        <f t="shared" si="5"/>
        <v>3.6784381015748952E-3</v>
      </c>
    </row>
    <row r="74" spans="5:19" ht="11.25" customHeight="1" x14ac:dyDescent="0.2">
      <c r="E74" s="254"/>
      <c r="F74" s="254"/>
      <c r="G74" s="39"/>
      <c r="J74" s="39"/>
      <c r="K74" s="39"/>
      <c r="M74" s="346">
        <f>_xll.qlCalendarAdvance(Calendar,M73,"1M","f",,Trigger)</f>
        <v>44188</v>
      </c>
      <c r="N74" s="344">
        <f>_xll.qlCalendarAdvance(Calendar,M74,"3M","f",,Trigger)</f>
        <v>44278</v>
      </c>
      <c r="O74" s="40" t="str">
        <f>_xll.qlMakeDatedOIS(,M74,N74,OvernightIndex,0,,,,EvaluationDate)</f>
        <v>obj_009a4#0000</v>
      </c>
      <c r="P74" s="40" t="b">
        <f>_xll.qlInstrumentSetPricingEngine(O74,OisEngine)</f>
        <v>1</v>
      </c>
      <c r="Q74" s="38">
        <f>_xll.qlIndexFixing(Currency&amp;IborType&amp;"6M",_xll.qlInterestRateIndexFixingDate(Currency&amp;IborType&amp;"6M",M74),TRUE,AllTriggers)</f>
        <v>1.4818216846271789E-2</v>
      </c>
      <c r="R74" s="38">
        <f>_xll.qlOvernightIndexedSwapFairRate(O74,AllTriggers)</f>
        <v>1.1148418945803762E-2</v>
      </c>
      <c r="S74" s="345">
        <f t="shared" si="5"/>
        <v>3.6697979004680272E-3</v>
      </c>
    </row>
    <row r="75" spans="5:19" ht="11.25" customHeight="1" x14ac:dyDescent="0.2">
      <c r="E75" s="254"/>
      <c r="F75" s="254"/>
      <c r="G75" s="39"/>
      <c r="J75" s="39"/>
      <c r="K75" s="39"/>
      <c r="M75" s="346">
        <f>_xll.qlCalendarAdvance(Calendar,M74,"1M","f",,Trigger)</f>
        <v>44221</v>
      </c>
      <c r="N75" s="344">
        <f>_xll.qlCalendarAdvance(Calendar,M75,"3M","f",,Trigger)</f>
        <v>44312</v>
      </c>
      <c r="O75" s="40" t="str">
        <f>_xll.qlMakeDatedOIS(,M75,N75,OvernightIndex,0,,,,EvaluationDate)</f>
        <v>obj_0060b#0000</v>
      </c>
      <c r="P75" s="40" t="b">
        <f>_xll.qlInstrumentSetPricingEngine(O75,OisEngine)</f>
        <v>1</v>
      </c>
      <c r="Q75" s="38">
        <f>_xll.qlIndexFixing(Currency&amp;IborType&amp;"6M",_xll.qlInterestRateIndexFixingDate(Currency&amp;IborType&amp;"6M",M75),TRUE,AllTriggers)</f>
        <v>1.5107738015796136E-2</v>
      </c>
      <c r="R75" s="38">
        <f>_xll.qlOvernightIndexedSwapFairRate(O75,AllTriggers)</f>
        <v>1.146677913989346E-2</v>
      </c>
      <c r="S75" s="345">
        <f t="shared" si="5"/>
        <v>3.6409588759026765E-3</v>
      </c>
    </row>
    <row r="76" spans="5:19" ht="11.25" customHeight="1" x14ac:dyDescent="0.2">
      <c r="E76" s="254"/>
      <c r="F76" s="254"/>
      <c r="G76" s="39"/>
      <c r="J76" s="39"/>
      <c r="K76" s="39"/>
      <c r="M76" s="346">
        <f>_xll.qlCalendarAdvance(Calendar,M75,"1M","f",,Trigger)</f>
        <v>44252</v>
      </c>
      <c r="N76" s="344">
        <f>_xll.qlCalendarAdvance(Calendar,M76,"3M","f",,Trigger)</f>
        <v>44341</v>
      </c>
      <c r="O76" s="40" t="str">
        <f>_xll.qlMakeDatedOIS(,M76,N76,OvernightIndex,0,,,,EvaluationDate)</f>
        <v>obj_00971#0000</v>
      </c>
      <c r="P76" s="40" t="b">
        <f>_xll.qlInstrumentSetPricingEngine(O76,OisEngine)</f>
        <v>1</v>
      </c>
      <c r="Q76" s="38">
        <f>_xll.qlIndexFixing(Currency&amp;IborType&amp;"6M",_xll.qlInterestRateIndexFixingDate(Currency&amp;IborType&amp;"6M",M76),TRUE,AllTriggers)</f>
        <v>1.536966114979065E-2</v>
      </c>
      <c r="R76" s="38">
        <f>_xll.qlOvernightIndexedSwapFairRate(O76,AllTriggers)</f>
        <v>1.1749313532762748E-2</v>
      </c>
      <c r="S76" s="345">
        <f t="shared" si="5"/>
        <v>3.6203476170279022E-3</v>
      </c>
    </row>
    <row r="77" spans="5:19" ht="11.25" customHeight="1" x14ac:dyDescent="0.2">
      <c r="E77" s="254"/>
      <c r="F77" s="254"/>
      <c r="G77" s="39"/>
      <c r="J77" s="39"/>
      <c r="K77" s="39"/>
      <c r="M77" s="346">
        <f>_xll.qlCalendarAdvance(Calendar,M76,"1M","f",,Trigger)</f>
        <v>44280</v>
      </c>
      <c r="N77" s="344">
        <f>_xll.qlCalendarAdvance(Calendar,M77,"3M","f",,Trigger)</f>
        <v>44372</v>
      </c>
      <c r="O77" s="40" t="str">
        <f>_xll.qlMakeDatedOIS(,M77,N77,OvernightIndex,0,,,,EvaluationDate)</f>
        <v>obj_0093c#0000</v>
      </c>
      <c r="P77" s="40" t="b">
        <f>_xll.qlInstrumentSetPricingEngine(O77,OisEngine)</f>
        <v>1</v>
      </c>
      <c r="Q77" s="38">
        <f>_xll.qlIndexFixing(Currency&amp;IborType&amp;"6M",_xll.qlInterestRateIndexFixingDate(Currency&amp;IborType&amp;"6M",M77),TRUE,AllTriggers)</f>
        <v>1.5627864218815211E-2</v>
      </c>
      <c r="R77" s="38">
        <f>_xll.qlOvernightIndexedSwapFairRate(O77,AllTriggers)</f>
        <v>1.2026105279992025E-2</v>
      </c>
      <c r="S77" s="345">
        <f t="shared" si="5"/>
        <v>3.6017589388231859E-3</v>
      </c>
    </row>
    <row r="78" spans="5:19" ht="11.25" customHeight="1" x14ac:dyDescent="0.2">
      <c r="E78" s="254"/>
      <c r="F78" s="254"/>
      <c r="G78" s="39"/>
      <c r="J78" s="39"/>
      <c r="K78" s="39"/>
      <c r="M78" s="346">
        <f>_xll.qlCalendarAdvance(Calendar,M77,"1M","f",,Trigger)</f>
        <v>44312</v>
      </c>
      <c r="N78" s="344">
        <f>_xll.qlCalendarAdvance(Calendar,M78,"3M","f",,Trigger)</f>
        <v>44403</v>
      </c>
      <c r="O78" s="40" t="str">
        <f>_xll.qlMakeDatedOIS(,M78,N78,OvernightIndex,0,,,,EvaluationDate)</f>
        <v>obj_008ea#0000</v>
      </c>
      <c r="P78" s="40" t="b">
        <f>_xll.qlInstrumentSetPricingEngine(O78,OisEngine)</f>
        <v>1</v>
      </c>
      <c r="Q78" s="38">
        <f>_xll.qlIndexFixing(Currency&amp;IborType&amp;"6M",_xll.qlInterestRateIndexFixingDate(Currency&amp;IborType&amp;"6M",M78),TRUE,AllTriggers)</f>
        <v>1.5878860982948207E-2</v>
      </c>
      <c r="R78" s="38">
        <f>_xll.qlOvernightIndexedSwapFairRate(O78,AllTriggers)</f>
        <v>1.2318815012993093E-2</v>
      </c>
      <c r="S78" s="345">
        <f t="shared" si="5"/>
        <v>3.560045969955114E-3</v>
      </c>
    </row>
    <row r="79" spans="5:19" ht="11.25" customHeight="1" x14ac:dyDescent="0.2">
      <c r="E79" s="254"/>
      <c r="F79" s="254"/>
      <c r="G79" s="39"/>
      <c r="J79" s="39"/>
      <c r="K79" s="39"/>
      <c r="M79" s="346">
        <f>_xll.qlCalendarAdvance(Calendar,M78,"1M","f",,Trigger)</f>
        <v>44342</v>
      </c>
      <c r="N79" s="344">
        <f>_xll.qlCalendarAdvance(Calendar,M79,"3M","f",,Trigger)</f>
        <v>44434</v>
      </c>
      <c r="O79" s="40" t="str">
        <f>_xll.qlMakeDatedOIS(,M79,N79,OvernightIndex,0,,,,EvaluationDate)</f>
        <v>obj_00897#0000</v>
      </c>
      <c r="P79" s="40" t="b">
        <f>_xll.qlInstrumentSetPricingEngine(O79,OisEngine)</f>
        <v>1</v>
      </c>
      <c r="Q79" s="38">
        <f>_xll.qlIndexFixing(Currency&amp;IborType&amp;"6M",_xll.qlInterestRateIndexFixingDate(Currency&amp;IborType&amp;"6M",M79),TRUE,AllTriggers)</f>
        <v>1.612572468814652E-2</v>
      </c>
      <c r="R79" s="38">
        <f>_xll.qlOvernightIndexedSwapFairRate(O79,AllTriggers)</f>
        <v>1.2600553192534393E-2</v>
      </c>
      <c r="S79" s="345">
        <f t="shared" si="5"/>
        <v>3.5251714956121265E-3</v>
      </c>
    </row>
    <row r="80" spans="5:19" ht="11.25" customHeight="1" x14ac:dyDescent="0.2">
      <c r="E80" s="254"/>
      <c r="F80" s="254"/>
      <c r="G80" s="39"/>
      <c r="J80" s="39"/>
      <c r="K80" s="39"/>
      <c r="M80" s="346">
        <f>_xll.qlCalendarAdvance(Calendar,M79,"1M","f",,Trigger)</f>
        <v>44375</v>
      </c>
      <c r="N80" s="344">
        <f>_xll.qlCalendarAdvance(Calendar,M80,"3M","f",,Trigger)</f>
        <v>44467</v>
      </c>
      <c r="O80" s="40" t="str">
        <f>_xll.qlMakeDatedOIS(,M80,N80,OvernightIndex,0,,,,EvaluationDate)</f>
        <v>obj_00a31#0000</v>
      </c>
      <c r="P80" s="40" t="b">
        <f>_xll.qlInstrumentSetPricingEngine(O80,OisEngine)</f>
        <v>1</v>
      </c>
      <c r="Q80" s="38">
        <f>_xll.qlIndexFixing(Currency&amp;IborType&amp;"6M",_xll.qlInterestRateIndexFixingDate(Currency&amp;IborType&amp;"6M",M80),TRUE,AllTriggers)</f>
        <v>1.6382888463863533E-2</v>
      </c>
      <c r="R80" s="38">
        <f>_xll.qlOvernightIndexedSwapFairRate(O80,AllTriggers)</f>
        <v>1.290289109799689E-2</v>
      </c>
      <c r="S80" s="345">
        <f t="shared" si="5"/>
        <v>3.4799973658666428E-3</v>
      </c>
    </row>
    <row r="81" spans="5:19" ht="11.25" customHeight="1" x14ac:dyDescent="0.2">
      <c r="E81" s="254"/>
      <c r="F81" s="254"/>
      <c r="G81" s="39"/>
      <c r="J81" s="39"/>
      <c r="K81" s="39"/>
      <c r="M81" s="346">
        <f>_xll.qlCalendarAdvance(Calendar,M80,"1M","f",,Trigger)</f>
        <v>44405</v>
      </c>
      <c r="N81" s="344">
        <f>_xll.qlCalendarAdvance(Calendar,M81,"3M","f",,Trigger)</f>
        <v>44497</v>
      </c>
      <c r="O81" s="40" t="str">
        <f>_xll.qlMakeDatedOIS(,M81,N81,OvernightIndex,0,,,,EvaluationDate)</f>
        <v>obj_008b4#0000</v>
      </c>
      <c r="P81" s="40" t="b">
        <f>_xll.qlInstrumentSetPricingEngine(O81,OisEngine)</f>
        <v>1</v>
      </c>
      <c r="Q81" s="38">
        <f>_xll.qlIndexFixing(Currency&amp;IborType&amp;"6M",_xll.qlInterestRateIndexFixingDate(Currency&amp;IborType&amp;"6M",M81),TRUE,AllTriggers)</f>
        <v>1.6620252733453484E-2</v>
      </c>
      <c r="R81" s="38">
        <f>_xll.qlOvernightIndexedSwapFairRate(O81,AllTriggers)</f>
        <v>1.3175683347587071E-2</v>
      </c>
      <c r="S81" s="345">
        <f t="shared" si="5"/>
        <v>3.4445693858664132E-3</v>
      </c>
    </row>
    <row r="82" spans="5:19" ht="11.25" customHeight="1" x14ac:dyDescent="0.2">
      <c r="E82" s="254"/>
      <c r="F82" s="254"/>
      <c r="G82" s="39"/>
      <c r="J82" s="39"/>
      <c r="K82" s="39"/>
      <c r="M82" s="346">
        <f>_xll.qlCalendarAdvance(Calendar,M81,"1M","f",,Trigger)</f>
        <v>44438</v>
      </c>
      <c r="N82" s="344">
        <f>_xll.qlCalendarAdvance(Calendar,M82,"3M","f",,Trigger)</f>
        <v>44530</v>
      </c>
      <c r="O82" s="40" t="str">
        <f>_xll.qlMakeDatedOIS(,M82,N82,OvernightIndex,0,,,,EvaluationDate)</f>
        <v>obj_00948#0000</v>
      </c>
      <c r="P82" s="40" t="b">
        <f>_xll.qlInstrumentSetPricingEngine(O82,OisEngine)</f>
        <v>1</v>
      </c>
      <c r="Q82" s="38">
        <f>_xll.qlIndexFixing(Currency&amp;IborType&amp;"6M",_xll.qlInterestRateIndexFixingDate(Currency&amp;IborType&amp;"6M",M82),TRUE,AllTriggers)</f>
        <v>1.6864032391963057E-2</v>
      </c>
      <c r="R82" s="38">
        <f>_xll.qlOvernightIndexedSwapFairRate(O82,AllTriggers)</f>
        <v>1.3473155180718403E-2</v>
      </c>
      <c r="S82" s="345">
        <f t="shared" si="5"/>
        <v>3.3908772112446542E-3</v>
      </c>
    </row>
    <row r="83" spans="5:19" ht="11.25" customHeight="1" x14ac:dyDescent="0.2">
      <c r="E83" s="254"/>
      <c r="F83" s="254"/>
      <c r="G83" s="39"/>
      <c r="J83" s="39"/>
      <c r="K83" s="39"/>
      <c r="M83" s="346">
        <f>_xll.qlCalendarAdvance(Calendar,M82,"1M","f",,Trigger)</f>
        <v>44469</v>
      </c>
      <c r="N83" s="344">
        <f>_xll.qlCalendarAdvance(Calendar,M83,"3M","f",,Trigger)</f>
        <v>44560</v>
      </c>
      <c r="O83" s="40" t="str">
        <f>_xll.qlMakeDatedOIS(,M83,N83,OvernightIndex,0,,,,EvaluationDate)</f>
        <v>obj_009a3#0000</v>
      </c>
      <c r="P83" s="40" t="b">
        <f>_xll.qlInstrumentSetPricingEngine(O83,OisEngine)</f>
        <v>1</v>
      </c>
      <c r="Q83" s="38">
        <f>_xll.qlIndexFixing(Currency&amp;IborType&amp;"6M",_xll.qlInterestRateIndexFixingDate(Currency&amp;IborType&amp;"6M",M83),TRUE,AllTriggers)</f>
        <v>1.7097086737274027E-2</v>
      </c>
      <c r="R83" s="38">
        <f>_xll.qlOvernightIndexedSwapFairRate(O83,AllTriggers)</f>
        <v>1.3743927344165369E-2</v>
      </c>
      <c r="S83" s="345">
        <f t="shared" si="5"/>
        <v>3.3531593931086581E-3</v>
      </c>
    </row>
    <row r="84" spans="5:19" ht="11.25" customHeight="1" x14ac:dyDescent="0.2">
      <c r="E84" s="254"/>
      <c r="F84" s="254"/>
      <c r="G84" s="39"/>
      <c r="J84" s="39"/>
      <c r="K84" s="39"/>
      <c r="M84" s="346">
        <f>_xll.qlCalendarAdvance(Calendar,M83,"1M","f",,Trigger)</f>
        <v>44501</v>
      </c>
      <c r="N84" s="344">
        <f>_xll.qlCalendarAdvance(Calendar,M84,"3M","f",,Trigger)</f>
        <v>44593</v>
      </c>
      <c r="O84" s="40" t="str">
        <f>_xll.qlMakeDatedOIS(,M84,N84,OvernightIndex,0,,,,EvaluationDate)</f>
        <v>obj_008a8#0000</v>
      </c>
      <c r="P84" s="40" t="b">
        <f>_xll.qlInstrumentSetPricingEngine(O84,OisEngine)</f>
        <v>1</v>
      </c>
      <c r="Q84" s="38">
        <f>_xll.qlIndexFixing(Currency&amp;IborType&amp;"6M",_xll.qlInterestRateIndexFixingDate(Currency&amp;IborType&amp;"6M",M84),TRUE,AllTriggers)</f>
        <v>1.7334289801395689E-2</v>
      </c>
      <c r="R84" s="38">
        <f>_xll.qlOvernightIndexedSwapFairRate(O84,AllTriggers)</f>
        <v>1.4026721023220673E-2</v>
      </c>
      <c r="S84" s="345">
        <f t="shared" si="5"/>
        <v>3.3075687781750161E-3</v>
      </c>
    </row>
    <row r="85" spans="5:19" ht="11.25" customHeight="1" x14ac:dyDescent="0.2">
      <c r="E85" s="254"/>
      <c r="F85" s="254"/>
      <c r="G85" s="39"/>
      <c r="J85" s="39"/>
      <c r="K85" s="39"/>
      <c r="M85" s="346">
        <f>_xll.qlCalendarAdvance(Calendar,M84,"1M","f",,Trigger)</f>
        <v>44531</v>
      </c>
      <c r="N85" s="344">
        <f>_xll.qlCalendarAdvance(Calendar,M85,"3M","f",,Trigger)</f>
        <v>44621</v>
      </c>
      <c r="O85" s="40" t="str">
        <f>_xll.qlMakeDatedOIS(,M85,N85,OvernightIndex,0,,,,EvaluationDate)</f>
        <v>obj_0093b#0000</v>
      </c>
      <c r="P85" s="40" t="b">
        <f>_xll.qlInstrumentSetPricingEngine(O85,OisEngine)</f>
        <v>1</v>
      </c>
      <c r="Q85" s="38">
        <f>_xll.qlIndexFixing(Currency&amp;IborType&amp;"6M",_xll.qlInterestRateIndexFixingDate(Currency&amp;IborType&amp;"6M",M85),TRUE,AllTriggers)</f>
        <v>1.7553896985409653E-2</v>
      </c>
      <c r="R85" s="38">
        <f>_xll.qlOvernightIndexedSwapFairRate(O85,AllTriggers)</f>
        <v>1.4271710334702092E-2</v>
      </c>
      <c r="S85" s="345">
        <f t="shared" si="5"/>
        <v>3.2821866507075602E-3</v>
      </c>
    </row>
    <row r="86" spans="5:19" ht="11.25" customHeight="1" x14ac:dyDescent="0.2">
      <c r="E86" s="254"/>
      <c r="F86" s="254"/>
      <c r="G86" s="39"/>
      <c r="J86" s="39"/>
      <c r="K86" s="39"/>
      <c r="M86" s="346">
        <f>_xll.qlCalendarAdvance(Calendar,M85,"1M","f",,Trigger)</f>
        <v>44564</v>
      </c>
      <c r="N86" s="344">
        <f>_xll.qlCalendarAdvance(Calendar,M86,"3M","f",,Trigger)</f>
        <v>44655</v>
      </c>
      <c r="O86" s="40" t="str">
        <f>_xll.qlMakeDatedOIS(,M86,N86,OvernightIndex,0,,,,EvaluationDate)</f>
        <v>obj_008e9#0000</v>
      </c>
      <c r="P86" s="40" t="b">
        <f>_xll.qlInstrumentSetPricingEngine(O86,OisEngine)</f>
        <v>1</v>
      </c>
      <c r="Q86" s="38">
        <f>_xll.qlIndexFixing(Currency&amp;IborType&amp;"6M",_xll.qlInterestRateIndexFixingDate(Currency&amp;IborType&amp;"6M",M86),TRUE,AllTriggers)</f>
        <v>1.7792430049654535E-2</v>
      </c>
      <c r="R86" s="38">
        <f>_xll.qlOvernightIndexedSwapFairRate(O86,AllTriggers)</f>
        <v>1.4547288370641377E-2</v>
      </c>
      <c r="S86" s="345">
        <f t="shared" si="5"/>
        <v>3.2451416790131582E-3</v>
      </c>
    </row>
    <row r="87" spans="5:19" ht="11.25" customHeight="1" x14ac:dyDescent="0.2">
      <c r="E87" s="254"/>
      <c r="F87" s="254"/>
      <c r="G87" s="39"/>
      <c r="J87" s="39"/>
      <c r="K87" s="39"/>
      <c r="M87" s="346">
        <f>_xll.qlCalendarAdvance(Calendar,M86,"1M","f",,Trigger)</f>
        <v>44595</v>
      </c>
      <c r="N87" s="344">
        <f>_xll.qlCalendarAdvance(Calendar,M87,"3M","f",,Trigger)</f>
        <v>44684</v>
      </c>
      <c r="O87" s="40" t="str">
        <f>_xll.qlMakeDatedOIS(,M87,N87,OvernightIndex,0,,,,EvaluationDate)</f>
        <v>obj_00618#0000</v>
      </c>
      <c r="P87" s="40" t="b">
        <f>_xll.qlInstrumentSetPricingEngine(O87,OisEngine)</f>
        <v>1</v>
      </c>
      <c r="Q87" s="38">
        <f>_xll.qlIndexFixing(Currency&amp;IborType&amp;"6M",_xll.qlInterestRateIndexFixingDate(Currency&amp;IborType&amp;"6M",M87),TRUE,AllTriggers)</f>
        <v>1.8009659708141886E-2</v>
      </c>
      <c r="R87" s="38">
        <f>_xll.qlOvernightIndexedSwapFairRate(O87,AllTriggers)</f>
        <v>1.4785963276638784E-2</v>
      </c>
      <c r="S87" s="345">
        <f t="shared" si="5"/>
        <v>3.2236964315031022E-3</v>
      </c>
    </row>
    <row r="88" spans="5:19" ht="11.25" customHeight="1" x14ac:dyDescent="0.2">
      <c r="E88" s="254"/>
      <c r="F88" s="254"/>
      <c r="G88" s="39"/>
      <c r="J88" s="39"/>
      <c r="K88" s="39"/>
      <c r="M88" s="346">
        <f>_xll.qlCalendarAdvance(Calendar,M87,"1M","f",,Trigger)</f>
        <v>44623</v>
      </c>
      <c r="N88" s="344">
        <f>_xll.qlCalendarAdvance(Calendar,M88,"3M","f",,Trigger)</f>
        <v>44715</v>
      </c>
      <c r="O88" s="40" t="str">
        <f>_xll.qlMakeDatedOIS(,M88,N88,OvernightIndex,0,,,,EvaluationDate)</f>
        <v>obj_00896#0000</v>
      </c>
      <c r="P88" s="40" t="b">
        <f>_xll.qlInstrumentSetPricingEngine(O88,OisEngine)</f>
        <v>1</v>
      </c>
      <c r="Q88" s="38">
        <f>_xll.qlIndexFixing(Currency&amp;IborType&amp;"6M",_xll.qlInterestRateIndexFixingDate(Currency&amp;IborType&amp;"6M",M88),TRUE,AllTriggers)</f>
        <v>1.8226639751684783E-2</v>
      </c>
      <c r="R88" s="38">
        <f>_xll.qlOvernightIndexedSwapFairRate(O88,AllTriggers)</f>
        <v>1.5015044639693257E-2</v>
      </c>
      <c r="S88" s="345">
        <f t="shared" si="5"/>
        <v>3.2115951119915265E-3</v>
      </c>
    </row>
    <row r="89" spans="5:19" ht="11.25" customHeight="1" x14ac:dyDescent="0.2">
      <c r="E89" s="254"/>
      <c r="F89" s="254"/>
      <c r="G89" s="39"/>
      <c r="J89" s="39"/>
      <c r="K89" s="39"/>
      <c r="M89" s="346">
        <f>_xll.qlCalendarAdvance(Calendar,M88,"1M","f",,Trigger)</f>
        <v>44655</v>
      </c>
      <c r="N89" s="344">
        <f>_xll.qlCalendarAdvance(Calendar,M89,"3M","f",,Trigger)</f>
        <v>44746</v>
      </c>
      <c r="O89" s="40" t="str">
        <f>_xll.qlMakeDatedOIS(,M89,N89,OvernightIndex,0,,,,EvaluationDate)</f>
        <v>obj_0061b#0000</v>
      </c>
      <c r="P89" s="40" t="b">
        <f>_xll.qlInstrumentSetPricingEngine(O89,OisEngine)</f>
        <v>1</v>
      </c>
      <c r="Q89" s="38">
        <f>_xll.qlIndexFixing(Currency&amp;IborType&amp;"6M",_xll.qlInterestRateIndexFixingDate(Currency&amp;IborType&amp;"6M",M89),TRUE,AllTriggers)</f>
        <v>1.8437604518339867E-2</v>
      </c>
      <c r="R89" s="38">
        <f>_xll.qlOvernightIndexedSwapFairRate(O89,AllTriggers)</f>
        <v>1.5251122139290488E-2</v>
      </c>
      <c r="S89" s="345">
        <f t="shared" si="5"/>
        <v>3.1864823790493796E-3</v>
      </c>
    </row>
    <row r="90" spans="5:19" ht="11.25" customHeight="1" x14ac:dyDescent="0.2">
      <c r="E90" s="254"/>
      <c r="F90" s="254"/>
      <c r="G90" s="39"/>
      <c r="J90" s="39"/>
      <c r="K90" s="39"/>
      <c r="M90" s="346">
        <f>_xll.qlCalendarAdvance(Calendar,M89,"1M","f",,Trigger)</f>
        <v>44685</v>
      </c>
      <c r="N90" s="344">
        <f>_xll.qlCalendarAdvance(Calendar,M90,"3M","f",,Trigger)</f>
        <v>44777</v>
      </c>
      <c r="O90" s="40" t="str">
        <f>_xll.qlMakeDatedOIS(,M90,N90,OvernightIndex,0,,,,EvaluationDate)</f>
        <v>obj_00a30#0000</v>
      </c>
      <c r="P90" s="40" t="b">
        <f>_xll.qlInstrumentSetPricingEngine(O90,OisEngine)</f>
        <v>1</v>
      </c>
      <c r="Q90" s="38">
        <f>_xll.qlIndexFixing(Currency&amp;IborType&amp;"6M",_xll.qlInterestRateIndexFixingDate(Currency&amp;IborType&amp;"6M",M90),TRUE,AllTriggers)</f>
        <v>1.8647529737558982E-2</v>
      </c>
      <c r="R90" s="38">
        <f>_xll.qlOvernightIndexedSwapFairRate(O90,AllTriggers)</f>
        <v>1.5472851702627121E-2</v>
      </c>
      <c r="S90" s="345">
        <f t="shared" si="5"/>
        <v>3.1746780349318614E-3</v>
      </c>
    </row>
    <row r="91" spans="5:19" ht="11.25" customHeight="1" x14ac:dyDescent="0.2">
      <c r="E91" s="254"/>
      <c r="F91" s="254"/>
      <c r="G91" s="39"/>
      <c r="J91" s="39"/>
      <c r="K91" s="39"/>
      <c r="M91" s="346">
        <f>_xll.qlCalendarAdvance(Calendar,M90,"1M","f",,Trigger)</f>
        <v>44718</v>
      </c>
      <c r="N91" s="344">
        <f>_xll.qlCalendarAdvance(Calendar,M91,"3M","f",,Trigger)</f>
        <v>44810</v>
      </c>
      <c r="O91" s="40" t="str">
        <f>_xll.qlMakeDatedOIS(,M91,N91,OvernightIndex,0,,,,EvaluationDate)</f>
        <v>obj_0094f#0000</v>
      </c>
      <c r="P91" s="40" t="b">
        <f>_xll.qlInstrumentSetPricingEngine(O91,OisEngine)</f>
        <v>1</v>
      </c>
      <c r="Q91" s="38">
        <f>_xll.qlIndexFixing(Currency&amp;IborType&amp;"6M",_xll.qlInterestRateIndexFixingDate(Currency&amp;IborType&amp;"6M",M91),TRUE,AllTriggers)</f>
        <v>1.8867123340398487E-2</v>
      </c>
      <c r="R91" s="38">
        <f>_xll.qlOvernightIndexedSwapFairRate(O91,AllTriggers)</f>
        <v>1.5704301335822634E-2</v>
      </c>
      <c r="S91" s="345">
        <f t="shared" si="5"/>
        <v>3.1628220045758527E-3</v>
      </c>
    </row>
    <row r="92" spans="5:19" ht="11.25" customHeight="1" x14ac:dyDescent="0.2">
      <c r="E92" s="254"/>
      <c r="F92" s="254"/>
      <c r="G92" s="39"/>
      <c r="J92" s="39"/>
      <c r="K92" s="39"/>
      <c r="M92" s="346">
        <f>_xll.qlCalendarAdvance(Calendar,M91,"1M","f",,Trigger)</f>
        <v>44748</v>
      </c>
      <c r="N92" s="344">
        <f>_xll.qlCalendarAdvance(Calendar,M92,"3M","f",,Trigger)</f>
        <v>44840</v>
      </c>
      <c r="O92" s="40" t="str">
        <f>_xll.qlMakeDatedOIS(,M92,N92,OvernightIndex,0,,,,EvaluationDate)</f>
        <v>obj_009db#0000</v>
      </c>
      <c r="P92" s="40" t="b">
        <f>_xll.qlInstrumentSetPricingEngine(O92,OisEngine)</f>
        <v>1</v>
      </c>
      <c r="Q92" s="38">
        <f>_xll.qlIndexFixing(Currency&amp;IborType&amp;"6M",_xll.qlInterestRateIndexFixingDate(Currency&amp;IborType&amp;"6M",M92),TRUE,AllTriggers)</f>
        <v>1.9070354015515326E-2</v>
      </c>
      <c r="R92" s="38">
        <f>_xll.qlOvernightIndexedSwapFairRate(O92,AllTriggers)</f>
        <v>1.5907340224857399E-2</v>
      </c>
      <c r="S92" s="345">
        <f t="shared" si="5"/>
        <v>3.1630137906579273E-3</v>
      </c>
    </row>
    <row r="93" spans="5:19" ht="11.25" customHeight="1" x14ac:dyDescent="0.2">
      <c r="E93" s="254"/>
      <c r="F93" s="254"/>
      <c r="G93" s="39"/>
      <c r="J93" s="39"/>
      <c r="K93" s="39"/>
      <c r="M93" s="346">
        <f>_xll.qlCalendarAdvance(Calendar,M92,"1M","f",,Trigger)</f>
        <v>44781</v>
      </c>
      <c r="N93" s="344">
        <f>_xll.qlCalendarAdvance(Calendar,M93,"3M","f",,Trigger)</f>
        <v>44873</v>
      </c>
      <c r="O93" s="40" t="str">
        <f>_xll.qlMakeDatedOIS(,M93,N93,OvernightIndex,0,,,,EvaluationDate)</f>
        <v>obj_009a2#0000</v>
      </c>
      <c r="P93" s="40" t="b">
        <f>_xll.qlInstrumentSetPricingEngine(O93,OisEngine)</f>
        <v>1</v>
      </c>
      <c r="Q93" s="38">
        <f>_xll.qlIndexFixing(Currency&amp;IborType&amp;"6M",_xll.qlInterestRateIndexFixingDate(Currency&amp;IborType&amp;"6M",M93),TRUE,AllTriggers)</f>
        <v>1.9284857520477566E-2</v>
      </c>
      <c r="R93" s="38">
        <f>_xll.qlOvernightIndexedSwapFairRate(O93,AllTriggers)</f>
        <v>1.612257943063947E-2</v>
      </c>
      <c r="S93" s="345">
        <f t="shared" si="5"/>
        <v>3.1622780898380963E-3</v>
      </c>
    </row>
    <row r="94" spans="5:19" ht="11.25" customHeight="1" x14ac:dyDescent="0.2">
      <c r="E94" s="254"/>
      <c r="F94" s="254"/>
      <c r="G94" s="39"/>
      <c r="J94" s="39"/>
      <c r="K94" s="39"/>
      <c r="M94" s="346">
        <f>_xll.qlCalendarAdvance(Calendar,M93,"1M","f",,Trigger)</f>
        <v>44812</v>
      </c>
      <c r="N94" s="344">
        <f>_xll.qlCalendarAdvance(Calendar,M94,"3M","f",,Trigger)</f>
        <v>44903</v>
      </c>
      <c r="O94" s="40" t="str">
        <f>_xll.qlMakeDatedOIS(,M94,N94,OvernightIndex,0,,,,EvaluationDate)</f>
        <v>obj_00621#0000</v>
      </c>
      <c r="P94" s="40" t="b">
        <f>_xll.qlInstrumentSetPricingEngine(O94,OisEngine)</f>
        <v>1</v>
      </c>
      <c r="Q94" s="38">
        <f>_xll.qlIndexFixing(Currency&amp;IborType&amp;"6M",_xll.qlInterestRateIndexFixingDate(Currency&amp;IborType&amp;"6M",M94),TRUE,AllTriggers)</f>
        <v>1.9470281270679794E-2</v>
      </c>
      <c r="R94" s="38">
        <f>_xll.qlOvernightIndexedSwapFairRate(O94,AllTriggers)</f>
        <v>1.631414072488472E-2</v>
      </c>
      <c r="S94" s="345">
        <f t="shared" si="5"/>
        <v>3.1561405457950741E-3</v>
      </c>
    </row>
    <row r="95" spans="5:19" ht="11.25" customHeight="1" x14ac:dyDescent="0.2">
      <c r="E95" s="254"/>
      <c r="F95" s="254"/>
      <c r="G95" s="39"/>
      <c r="J95" s="39"/>
      <c r="K95" s="39"/>
      <c r="M95" s="346">
        <f>_xll.qlCalendarAdvance(Calendar,M94,"1M","f",,Trigger)</f>
        <v>44844</v>
      </c>
      <c r="N95" s="344">
        <f>_xll.qlCalendarAdvance(Calendar,M95,"3M","f",,Trigger)</f>
        <v>44936</v>
      </c>
      <c r="O95" s="40" t="str">
        <f>_xll.qlMakeDatedOIS(,M95,N95,OvernightIndex,0,,,,EvaluationDate)</f>
        <v>obj_00623#0000</v>
      </c>
      <c r="P95" s="40" t="b">
        <f>_xll.qlInstrumentSetPricingEngine(O95,OisEngine)</f>
        <v>1</v>
      </c>
      <c r="Q95" s="38">
        <f>_xll.qlIndexFixing(Currency&amp;IborType&amp;"6M",_xll.qlInterestRateIndexFixingDate(Currency&amp;IborType&amp;"6M",M95),TRUE,AllTriggers)</f>
        <v>1.967345483912052E-2</v>
      </c>
      <c r="R95" s="38">
        <f>_xll.qlOvernightIndexedSwapFairRate(O95,AllTriggers)</f>
        <v>1.6513118359134119E-2</v>
      </c>
      <c r="S95" s="345">
        <f t="shared" si="5"/>
        <v>3.160336479986401E-3</v>
      </c>
    </row>
    <row r="96" spans="5:19" ht="11.25" customHeight="1" x14ac:dyDescent="0.2">
      <c r="E96" s="254"/>
      <c r="F96" s="254"/>
      <c r="G96" s="39"/>
      <c r="J96" s="39"/>
      <c r="K96" s="39"/>
      <c r="M96" s="346">
        <f>_xll.qlCalendarAdvance(Calendar,M95,"1M","f",,Trigger)</f>
        <v>44875</v>
      </c>
      <c r="N96" s="344">
        <f>_xll.qlCalendarAdvance(Calendar,M96,"3M","f",,Trigger)</f>
        <v>44967</v>
      </c>
      <c r="O96" s="40" t="str">
        <f>_xll.qlMakeDatedOIS(,M96,N96,OvernightIndex,0,,,,EvaluationDate)</f>
        <v>obj_008f9#0000</v>
      </c>
      <c r="P96" s="40" t="b">
        <f>_xll.qlInstrumentSetPricingEngine(O96,OisEngine)</f>
        <v>1</v>
      </c>
      <c r="Q96" s="38">
        <f>_xll.qlIndexFixing(Currency&amp;IborType&amp;"6M",_xll.qlInterestRateIndexFixingDate(Currency&amp;IborType&amp;"6M",M96),TRUE,AllTriggers)</f>
        <v>1.984979908982408E-2</v>
      </c>
      <c r="R96" s="38">
        <f>_xll.qlOvernightIndexedSwapFairRate(O96,AllTriggers)</f>
        <v>1.6698675463901736E-2</v>
      </c>
      <c r="S96" s="345">
        <f t="shared" si="5"/>
        <v>3.1511236259223439E-3</v>
      </c>
    </row>
    <row r="97" spans="5:19" ht="11.25" customHeight="1" x14ac:dyDescent="0.2">
      <c r="E97" s="254"/>
      <c r="F97" s="254"/>
      <c r="G97" s="39"/>
      <c r="J97" s="39"/>
      <c r="K97" s="39"/>
      <c r="M97" s="346">
        <f>_xll.qlCalendarAdvance(Calendar,M96,"1M","f",,Trigger)</f>
        <v>44907</v>
      </c>
      <c r="N97" s="344">
        <f>_xll.qlCalendarAdvance(Calendar,M97,"3M","f",,Trigger)</f>
        <v>44998</v>
      </c>
      <c r="O97" s="40" t="str">
        <f>_xll.qlMakeDatedOIS(,M97,N97,OvernightIndex,0,,,,EvaluationDate)</f>
        <v>obj_00626#0000</v>
      </c>
      <c r="P97" s="40" t="b">
        <f>_xll.qlInstrumentSetPricingEngine(O97,OisEngine)</f>
        <v>1</v>
      </c>
      <c r="Q97" s="38">
        <f>_xll.qlIndexFixing(Currency&amp;IborType&amp;"6M",_xll.qlInterestRateIndexFixingDate(Currency&amp;IborType&amp;"6M",M97),TRUE,AllTriggers)</f>
        <v>2.0034403988134993E-2</v>
      </c>
      <c r="R97" s="38">
        <f>_xll.qlOvernightIndexedSwapFairRate(O97,AllTriggers)</f>
        <v>1.6883993954410002E-2</v>
      </c>
      <c r="S97" s="345">
        <f t="shared" si="5"/>
        <v>3.1504100337249909E-3</v>
      </c>
    </row>
    <row r="98" spans="5:19" ht="11.25" customHeight="1" x14ac:dyDescent="0.2">
      <c r="E98" s="254"/>
      <c r="F98" s="254"/>
      <c r="G98" s="39"/>
      <c r="J98" s="39"/>
      <c r="K98" s="39"/>
      <c r="M98" s="346">
        <f>_xll.qlCalendarAdvance(Calendar,M97,"1M","f",,Trigger)</f>
        <v>44938</v>
      </c>
      <c r="N98" s="344">
        <f>_xll.qlCalendarAdvance(Calendar,M98,"3M","f",,Trigger)</f>
        <v>45028</v>
      </c>
      <c r="O98" s="40" t="str">
        <f>_xll.qlMakeDatedOIS(,M98,N98,OvernightIndex,0,,,,EvaluationDate)</f>
        <v>obj_0093a#0000</v>
      </c>
      <c r="P98" s="40" t="b">
        <f>_xll.qlInstrumentSetPricingEngine(O98,OisEngine)</f>
        <v>1</v>
      </c>
      <c r="Q98" s="38">
        <f>_xll.qlIndexFixing(Currency&amp;IborType&amp;"6M",_xll.qlInterestRateIndexFixingDate(Currency&amp;IborType&amp;"6M",M98),TRUE,AllTriggers)</f>
        <v>2.0199394556769265E-2</v>
      </c>
      <c r="R98" s="38">
        <f>_xll.qlOvernightIndexedSwapFairRate(O98,AllTriggers)</f>
        <v>1.7060737060580422E-2</v>
      </c>
      <c r="S98" s="345">
        <f t="shared" si="5"/>
        <v>3.138657496188843E-3</v>
      </c>
    </row>
    <row r="99" spans="5:19" ht="11.25" customHeight="1" x14ac:dyDescent="0.2">
      <c r="E99" s="254"/>
      <c r="F99" s="254"/>
      <c r="G99" s="39"/>
      <c r="J99" s="39"/>
      <c r="K99" s="39"/>
      <c r="M99" s="346">
        <f>_xll.qlCalendarAdvance(Calendar,M98,"1M","f",,Trigger)</f>
        <v>44970</v>
      </c>
      <c r="N99" s="344">
        <f>_xll.qlCalendarAdvance(Calendar,M99,"3M","f",,Trigger)</f>
        <v>45061</v>
      </c>
      <c r="O99" s="40" t="str">
        <f>_xll.qlMakeDatedOIS(,M99,N99,OvernightIndex,0,,,,EvaluationDate)</f>
        <v>obj_008e8#0000</v>
      </c>
      <c r="P99" s="40" t="b">
        <f>_xll.qlInstrumentSetPricingEngine(O99,OisEngine)</f>
        <v>1</v>
      </c>
      <c r="Q99" s="38">
        <f>_xll.qlIndexFixing(Currency&amp;IborType&amp;"6M",_xll.qlInterestRateIndexFixingDate(Currency&amp;IborType&amp;"6M",M99),TRUE,AllTriggers)</f>
        <v>2.0368238241107707E-2</v>
      </c>
      <c r="R99" s="38">
        <f>_xll.qlOvernightIndexedSwapFairRate(O99,AllTriggers)</f>
        <v>1.7246975426637161E-2</v>
      </c>
      <c r="S99" s="345">
        <f t="shared" si="5"/>
        <v>3.1212628144705462E-3</v>
      </c>
    </row>
    <row r="100" spans="5:19" ht="11.25" customHeight="1" x14ac:dyDescent="0.2">
      <c r="E100" s="254"/>
      <c r="F100" s="254"/>
      <c r="G100" s="39"/>
      <c r="J100" s="39"/>
      <c r="K100" s="39"/>
      <c r="M100" s="346">
        <f>_xll.qlCalendarAdvance(Calendar,M99,"1M","f",,Trigger)</f>
        <v>44998</v>
      </c>
      <c r="N100" s="344">
        <f>_xll.qlCalendarAdvance(Calendar,M100,"3M","f",,Trigger)</f>
        <v>45090</v>
      </c>
      <c r="O100" s="40" t="str">
        <f>_xll.qlMakeDatedOIS(,M100,N100,OvernightIndex,0,,,,EvaluationDate)</f>
        <v>obj_00895#0000</v>
      </c>
      <c r="P100" s="40" t="b">
        <f>_xll.qlInstrumentSetPricingEngine(O100,OisEngine)</f>
        <v>1</v>
      </c>
      <c r="Q100" s="38">
        <f>_xll.qlIndexFixing(Currency&amp;IborType&amp;"6M",_xll.qlInterestRateIndexFixingDate(Currency&amp;IborType&amp;"6M",M100),TRUE,AllTriggers)</f>
        <v>2.0512552678984143E-2</v>
      </c>
      <c r="R100" s="38">
        <f>_xll.qlOvernightIndexedSwapFairRate(O100,AllTriggers)</f>
        <v>1.7407906198145903E-2</v>
      </c>
      <c r="S100" s="345">
        <f t="shared" si="5"/>
        <v>3.1046464808382399E-3</v>
      </c>
    </row>
    <row r="101" spans="5:19" ht="11.25" customHeight="1" x14ac:dyDescent="0.2">
      <c r="E101" s="254"/>
      <c r="F101" s="254"/>
      <c r="G101" s="39"/>
      <c r="J101" s="39"/>
      <c r="K101" s="39"/>
      <c r="M101" s="346">
        <f>_xll.qlCalendarAdvance(Calendar,M100,"1M","f",,Trigger)</f>
        <v>45029</v>
      </c>
      <c r="N101" s="344">
        <f>_xll.qlCalendarAdvance(Calendar,M101,"3M","f",,Trigger)</f>
        <v>45120</v>
      </c>
      <c r="O101" s="40" t="str">
        <f>_xll.qlMakeDatedOIS(,M101,N101,OvernightIndex,0,,,,EvaluationDate)</f>
        <v>obj_00a2f#0000</v>
      </c>
      <c r="P101" s="40" t="b">
        <f>_xll.qlInstrumentSetPricingEngine(O101,OisEngine)</f>
        <v>1</v>
      </c>
      <c r="Q101" s="38">
        <f>_xll.qlIndexFixing(Currency&amp;IborType&amp;"6M",_xll.qlInterestRateIndexFixingDate(Currency&amp;IborType&amp;"6M",M101),TRUE,AllTriggers)</f>
        <v>2.0655900894135711E-2</v>
      </c>
      <c r="R101" s="38">
        <f>_xll.qlOvernightIndexedSwapFairRate(O101,AllTriggers)</f>
        <v>1.757676936506453E-2</v>
      </c>
      <c r="S101" s="345">
        <f t="shared" si="5"/>
        <v>3.0791315290711815E-3</v>
      </c>
    </row>
    <row r="102" spans="5:19" ht="11.25" customHeight="1" x14ac:dyDescent="0.2">
      <c r="E102" s="254"/>
      <c r="F102" s="254"/>
      <c r="G102" s="39"/>
      <c r="J102" s="39"/>
      <c r="K102" s="39"/>
      <c r="M102" s="346">
        <f>_xll.qlCalendarAdvance(Calendar,M101,"1M","f",,Trigger)</f>
        <v>45061</v>
      </c>
      <c r="N102" s="344">
        <f>_xll.qlCalendarAdvance(Calendar,M102,"3M","f",,Trigger)</f>
        <v>45153</v>
      </c>
      <c r="O102" s="40" t="str">
        <f>_xll.qlMakeDatedOIS(,M102,N102,OvernightIndex,0,,,,EvaluationDate)</f>
        <v>obj_00905#0000</v>
      </c>
      <c r="P102" s="40" t="b">
        <f>_xll.qlInstrumentSetPricingEngine(O102,OisEngine)</f>
        <v>1</v>
      </c>
      <c r="Q102" s="38">
        <f>_xll.qlIndexFixing(Currency&amp;IborType&amp;"6M",_xll.qlInterestRateIndexFixingDate(Currency&amp;IborType&amp;"6M",M102),TRUE,AllTriggers)</f>
        <v>2.0801746473406182E-2</v>
      </c>
      <c r="R102" s="38">
        <f>_xll.qlOvernightIndexedSwapFairRate(O102,AllTriggers)</f>
        <v>1.7754660554753283E-2</v>
      </c>
      <c r="S102" s="345">
        <f t="shared" si="5"/>
        <v>3.0470859186528983E-3</v>
      </c>
    </row>
    <row r="103" spans="5:19" ht="11.25" customHeight="1" x14ac:dyDescent="0.2">
      <c r="E103" s="254"/>
      <c r="F103" s="254"/>
      <c r="G103" s="39"/>
      <c r="J103" s="39"/>
      <c r="K103" s="39"/>
      <c r="M103" s="346">
        <f>_xll.qlCalendarAdvance(Calendar,M102,"1M","f",,Trigger)</f>
        <v>45092</v>
      </c>
      <c r="N103" s="344">
        <f>_xll.qlCalendarAdvance(Calendar,M103,"3M","f",,Trigger)</f>
        <v>45184</v>
      </c>
      <c r="O103" s="40" t="str">
        <f>_xll.qlMakeDatedOIS(,M103,N103,OvernightIndex,0,,,,EvaluationDate)</f>
        <v>obj_0062d#0000</v>
      </c>
      <c r="P103" s="40" t="b">
        <f>_xll.qlInstrumentSetPricingEngine(O103,OisEngine)</f>
        <v>1</v>
      </c>
      <c r="Q103" s="38">
        <f>_xll.qlIndexFixing(Currency&amp;IborType&amp;"6M",_xll.qlInterestRateIndexFixingDate(Currency&amp;IborType&amp;"6M",M103),TRUE,AllTriggers)</f>
        <v>2.0930755239234891E-2</v>
      </c>
      <c r="R103" s="38">
        <f>_xll.qlOvernightIndexedSwapFairRate(O103,AllTriggers)</f>
        <v>1.7921178746924865E-2</v>
      </c>
      <c r="S103" s="345">
        <f t="shared" si="5"/>
        <v>3.009576492310026E-3</v>
      </c>
    </row>
    <row r="104" spans="5:19" ht="11.25" customHeight="1" x14ac:dyDescent="0.2">
      <c r="E104" s="254"/>
      <c r="F104" s="254"/>
      <c r="G104" s="39"/>
      <c r="J104" s="39"/>
      <c r="K104" s="39"/>
      <c r="M104" s="346">
        <f>_xll.qlCalendarAdvance(Calendar,M103,"1M","f",,Trigger)</f>
        <v>45124</v>
      </c>
      <c r="N104" s="344">
        <f>_xll.qlCalendarAdvance(Calendar,M104,"3M","f",,Trigger)</f>
        <v>45216</v>
      </c>
      <c r="O104" s="40" t="str">
        <f>_xll.qlMakeDatedOIS(,M104,N104,OvernightIndex,0,,,,EvaluationDate)</f>
        <v>obj_008ff#0000</v>
      </c>
      <c r="P104" s="40" t="b">
        <f>_xll.qlInstrumentSetPricingEngine(O104,OisEngine)</f>
        <v>1</v>
      </c>
      <c r="Q104" s="38">
        <f>_xll.qlIndexFixing(Currency&amp;IborType&amp;"6M",_xll.qlInterestRateIndexFixingDate(Currency&amp;IborType&amp;"6M",M104),TRUE,AllTriggers)</f>
        <v>2.1062971015823353E-2</v>
      </c>
      <c r="R104" s="38">
        <f>_xll.qlOvernightIndexedSwapFairRate(O104,AllTriggers)</f>
        <v>1.809022666789506E-2</v>
      </c>
      <c r="S104" s="345">
        <f t="shared" si="5"/>
        <v>2.9727443479282932E-3</v>
      </c>
    </row>
    <row r="105" spans="5:19" ht="11.25" customHeight="1" x14ac:dyDescent="0.2">
      <c r="E105" s="254"/>
      <c r="F105" s="254"/>
      <c r="G105" s="39"/>
      <c r="J105" s="39"/>
      <c r="K105" s="39"/>
      <c r="M105" s="346">
        <f>_xll.qlCalendarAdvance(Calendar,M104,"1M","f",,Trigger)</f>
        <v>45155</v>
      </c>
      <c r="N105" s="344">
        <f>_xll.qlCalendarAdvance(Calendar,M105,"3M","f",,Trigger)</f>
        <v>45247</v>
      </c>
      <c r="O105" s="40" t="str">
        <f>_xll.qlMakeDatedOIS(,M105,N105,OvernightIndex,0,,,,EvaluationDate)</f>
        <v>obj_009a1#0000</v>
      </c>
      <c r="P105" s="40" t="b">
        <f>_xll.qlInstrumentSetPricingEngine(O105,OisEngine)</f>
        <v>1</v>
      </c>
      <c r="Q105" s="38">
        <f>_xll.qlIndexFixing(Currency&amp;IborType&amp;"6M",_xll.qlInterestRateIndexFixingDate(Currency&amp;IborType&amp;"6M",M105),TRUE,AllTriggers)</f>
        <v>2.1188556290679266E-2</v>
      </c>
      <c r="R105" s="38">
        <f>_xll.qlOvernightIndexedSwapFairRate(O105,AllTriggers)</f>
        <v>1.8251212300941899E-2</v>
      </c>
      <c r="S105" s="345">
        <f t="shared" si="5"/>
        <v>2.937343989737367E-3</v>
      </c>
    </row>
    <row r="106" spans="5:19" ht="11.25" customHeight="1" x14ac:dyDescent="0.2">
      <c r="E106" s="254"/>
      <c r="F106" s="254"/>
      <c r="G106" s="39"/>
      <c r="J106" s="39"/>
      <c r="K106" s="39"/>
      <c r="M106" s="346">
        <f>_xll.qlCalendarAdvance(Calendar,M105,"1M","f",,Trigger)</f>
        <v>45187</v>
      </c>
      <c r="N106" s="344">
        <f>_xll.qlCalendarAdvance(Calendar,M106,"3M","f",,Trigger)</f>
        <v>45278</v>
      </c>
      <c r="O106" s="40" t="str">
        <f>_xll.qlMakeDatedOIS(,M106,N106,OvernightIndex,0,,,,EvaluationDate)</f>
        <v>obj_008a7#0000</v>
      </c>
      <c r="P106" s="40" t="b">
        <f>_xll.qlInstrumentSetPricingEngine(O106,OisEngine)</f>
        <v>1</v>
      </c>
      <c r="Q106" s="38">
        <f>_xll.qlIndexFixing(Currency&amp;IborType&amp;"6M",_xll.qlInterestRateIndexFixingDate(Currency&amp;IborType&amp;"6M",M106),TRUE,AllTriggers)</f>
        <v>2.1299205420686758E-2</v>
      </c>
      <c r="R106" s="38">
        <f>_xll.qlOvernightIndexedSwapFairRate(O106,AllTriggers)</f>
        <v>1.8411027154359064E-2</v>
      </c>
      <c r="S106" s="345">
        <f t="shared" si="5"/>
        <v>2.8881782663276942E-3</v>
      </c>
    </row>
    <row r="107" spans="5:19" ht="11.25" customHeight="1" x14ac:dyDescent="0.2">
      <c r="E107" s="254"/>
      <c r="F107" s="254"/>
      <c r="G107" s="39"/>
      <c r="J107" s="39"/>
      <c r="K107" s="39"/>
      <c r="M107" s="346">
        <f>_xll.qlCalendarAdvance(Calendar,M106,"1M","f",,Trigger)</f>
        <v>45217</v>
      </c>
      <c r="N107" s="344">
        <f>_xll.qlCalendarAdvance(Calendar,M107,"3M","f",,Trigger)</f>
        <v>45309</v>
      </c>
      <c r="O107" s="40" t="str">
        <f>_xll.qlMakeDatedOIS(,M107,N107,OvernightIndex,0,,,,EvaluationDate)</f>
        <v>obj_00939#0000</v>
      </c>
      <c r="P107" s="40" t="b">
        <f>_xll.qlInstrumentSetPricingEngine(O107,OisEngine)</f>
        <v>1</v>
      </c>
      <c r="Q107" s="38">
        <f>_xll.qlIndexFixing(Currency&amp;IborType&amp;"6M",_xll.qlInterestRateIndexFixingDate(Currency&amp;IborType&amp;"6M",M107),TRUE,AllTriggers)</f>
        <v>2.1411904559023785E-2</v>
      </c>
      <c r="R107" s="38">
        <f>_xll.qlOvernightIndexedSwapFairRate(O107,AllTriggers)</f>
        <v>1.8562504957173986E-2</v>
      </c>
      <c r="S107" s="345">
        <f t="shared" si="5"/>
        <v>2.8493996018497982E-3</v>
      </c>
    </row>
    <row r="108" spans="5:19" ht="11.25" customHeight="1" x14ac:dyDescent="0.2">
      <c r="E108" s="254"/>
      <c r="F108" s="254"/>
      <c r="G108" s="39"/>
      <c r="J108" s="39"/>
      <c r="K108" s="39"/>
      <c r="M108" s="346">
        <f>_xll.qlCalendarAdvance(Calendar,M107,"1M","f",,Trigger)</f>
        <v>45250</v>
      </c>
      <c r="N108" s="344">
        <f>_xll.qlCalendarAdvance(Calendar,M108,"3M","f",,Trigger)</f>
        <v>45342</v>
      </c>
      <c r="O108" s="40" t="str">
        <f>_xll.qlMakeDatedOIS(,M108,N108,OvernightIndex,0,,,,EvaluationDate)</f>
        <v>obj_008e7#0000</v>
      </c>
      <c r="P108" s="40" t="b">
        <f>_xll.qlInstrumentSetPricingEngine(O108,OisEngine)</f>
        <v>1</v>
      </c>
      <c r="Q108" s="38">
        <f>_xll.qlIndexFixing(Currency&amp;IborType&amp;"6M",_xll.qlInterestRateIndexFixingDate(Currency&amp;IborType&amp;"6M",M108),TRUE,AllTriggers)</f>
        <v>2.1528780565493767E-2</v>
      </c>
      <c r="R108" s="38">
        <f>_xll.qlOvernightIndexedSwapFairRate(O108,AllTriggers)</f>
        <v>1.8720339953173914E-2</v>
      </c>
      <c r="S108" s="345">
        <f t="shared" si="5"/>
        <v>2.8084406123198534E-3</v>
      </c>
    </row>
    <row r="109" spans="5:19" ht="11.25" customHeight="1" x14ac:dyDescent="0.2">
      <c r="E109" s="254"/>
      <c r="F109" s="254"/>
      <c r="G109" s="39"/>
      <c r="J109" s="39"/>
      <c r="K109" s="39"/>
      <c r="M109" s="346">
        <f>_xll.qlCalendarAdvance(Calendar,M108,"1M","f",,Trigger)</f>
        <v>45280</v>
      </c>
      <c r="N109" s="344">
        <f>_xll.qlCalendarAdvance(Calendar,M109,"3M","f",,Trigger)</f>
        <v>45371</v>
      </c>
      <c r="O109" s="40" t="str">
        <f>_xll.qlMakeDatedOIS(,M109,N109,OvernightIndex,0,,,,EvaluationDate)</f>
        <v>obj_00634#0000</v>
      </c>
      <c r="P109" s="40" t="b">
        <f>_xll.qlInstrumentSetPricingEngine(O109,OisEngine)</f>
        <v>1</v>
      </c>
      <c r="Q109" s="38">
        <f>_xll.qlIndexFixing(Currency&amp;IborType&amp;"6M",_xll.qlInterestRateIndexFixingDate(Currency&amp;IborType&amp;"6M",M109),TRUE,AllTriggers)</f>
        <v>2.1638255695357746E-2</v>
      </c>
      <c r="R109" s="38">
        <f>_xll.qlOvernightIndexedSwapFairRate(O109,AllTriggers)</f>
        <v>1.8855683991163306E-2</v>
      </c>
      <c r="S109" s="345">
        <f t="shared" si="5"/>
        <v>2.7825717041944399E-3</v>
      </c>
    </row>
    <row r="110" spans="5:19" ht="11.25" customHeight="1" x14ac:dyDescent="0.2">
      <c r="E110" s="254"/>
      <c r="F110" s="254"/>
      <c r="G110" s="39"/>
      <c r="J110" s="39"/>
      <c r="K110" s="39"/>
      <c r="M110" s="346">
        <f>_xll.qlCalendarAdvance(Calendar,M109,"1M","f",,Trigger)</f>
        <v>45313</v>
      </c>
      <c r="N110" s="344">
        <f>_xll.qlCalendarAdvance(Calendar,M110,"3M","f",,Trigger)</f>
        <v>45404</v>
      </c>
      <c r="O110" s="40" t="str">
        <f>_xll.qlMakeDatedOIS(,M110,N110,OvernightIndex,0,,,,EvaluationDate)</f>
        <v>obj_00894#0000</v>
      </c>
      <c r="P110" s="40" t="b">
        <f>_xll.qlInstrumentSetPricingEngine(O110,OisEngine)</f>
        <v>1</v>
      </c>
      <c r="Q110" s="38">
        <f>_xll.qlIndexFixing(Currency&amp;IborType&amp;"6M",_xll.qlInterestRateIndexFixingDate(Currency&amp;IborType&amp;"6M",M110),TRUE,AllTriggers)</f>
        <v>2.1752128226706479E-2</v>
      </c>
      <c r="R110" s="38">
        <f>_xll.qlOvernightIndexedSwapFairRate(O110,AllTriggers)</f>
        <v>1.900163722123744E-2</v>
      </c>
      <c r="S110" s="345">
        <f t="shared" si="5"/>
        <v>2.7504910054690392E-3</v>
      </c>
    </row>
    <row r="111" spans="5:19" ht="11.25" customHeight="1" x14ac:dyDescent="0.2">
      <c r="E111" s="254"/>
      <c r="F111" s="254"/>
      <c r="G111" s="39"/>
      <c r="J111" s="39"/>
      <c r="K111" s="39"/>
      <c r="M111" s="346">
        <f>_xll.qlCalendarAdvance(Calendar,M110,"1M","f",,Trigger)</f>
        <v>45344</v>
      </c>
      <c r="N111" s="344">
        <f>_xll.qlCalendarAdvance(Calendar,M111,"3M","f",,Trigger)</f>
        <v>45434</v>
      </c>
      <c r="O111" s="40" t="str">
        <f>_xll.qlMakeDatedOIS(,M111,N111,OvernightIndex,0,,,,EvaluationDate)</f>
        <v>obj_00a2e#0000</v>
      </c>
      <c r="P111" s="40" t="b">
        <f>_xll.qlInstrumentSetPricingEngine(O111,OisEngine)</f>
        <v>1</v>
      </c>
      <c r="Q111" s="38">
        <f>_xll.qlIndexFixing(Currency&amp;IborType&amp;"6M",_xll.qlInterestRateIndexFixingDate(Currency&amp;IborType&amp;"6M",M111),TRUE,AllTriggers)</f>
        <v>2.1859910265514339E-2</v>
      </c>
      <c r="R111" s="38">
        <f>_xll.qlOvernightIndexedSwapFairRate(O111,AllTriggers)</f>
        <v>1.9130488168203286E-2</v>
      </c>
      <c r="S111" s="345">
        <f t="shared" si="5"/>
        <v>2.7294220973110538E-3</v>
      </c>
    </row>
    <row r="112" spans="5:19" ht="11.25" customHeight="1" x14ac:dyDescent="0.2">
      <c r="E112" s="254"/>
      <c r="F112" s="254"/>
      <c r="G112" s="39"/>
      <c r="J112" s="39"/>
      <c r="K112" s="39"/>
      <c r="M112" s="346">
        <f>_xll.qlCalendarAdvance(Calendar,M111,"1M","f",,Trigger)</f>
        <v>45373</v>
      </c>
      <c r="N112" s="344">
        <f>_xll.qlCalendarAdvance(Calendar,M112,"3M","f",,Trigger)</f>
        <v>45467</v>
      </c>
      <c r="O112" s="40" t="str">
        <f>_xll.qlMakeDatedOIS(,M112,N112,OvernightIndex,0,,,,EvaluationDate)</f>
        <v>obj_009fe#0000</v>
      </c>
      <c r="P112" s="40" t="b">
        <f>_xll.qlInstrumentSetPricingEngine(O112,OisEngine)</f>
        <v>1</v>
      </c>
      <c r="Q112" s="38">
        <f>_xll.qlIndexFixing(Currency&amp;IborType&amp;"6M",_xll.qlInterestRateIndexFixingDate(Currency&amp;IborType&amp;"6M",M112),TRUE,AllTriggers)</f>
        <v>2.1966525331145029E-2</v>
      </c>
      <c r="R112" s="38">
        <f>_xll.qlOvernightIndexedSwapFairRate(O112,AllTriggers)</f>
        <v>1.9258301697639788E-2</v>
      </c>
      <c r="S112" s="345">
        <f t="shared" si="5"/>
        <v>2.7082236335052405E-3</v>
      </c>
    </row>
    <row r="113" spans="5:19" ht="11.25" customHeight="1" x14ac:dyDescent="0.2">
      <c r="E113" s="254"/>
      <c r="F113" s="254"/>
      <c r="G113" s="39"/>
      <c r="J113" s="39"/>
      <c r="K113" s="39"/>
      <c r="M113" s="346">
        <f>_xll.qlCalendarAdvance(Calendar,M112,"1M","f",,Trigger)</f>
        <v>45404</v>
      </c>
      <c r="N113" s="344">
        <f>_xll.qlCalendarAdvance(Calendar,M113,"3M","f",,Trigger)</f>
        <v>45495</v>
      </c>
      <c r="O113" s="40" t="str">
        <f>_xll.qlMakeDatedOIS(,M113,N113,OvernightIndex,0,,,,EvaluationDate)</f>
        <v>obj_008ae#0000</v>
      </c>
      <c r="P113" s="40" t="b">
        <f>_xll.qlInstrumentSetPricingEngine(O113,OisEngine)</f>
        <v>1</v>
      </c>
      <c r="Q113" s="38">
        <f>_xll.qlIndexFixing(Currency&amp;IborType&amp;"6M",_xll.qlInterestRateIndexFixingDate(Currency&amp;IborType&amp;"6M",M113),TRUE,AllTriggers)</f>
        <v>2.2066883722150616E-2</v>
      </c>
      <c r="R113" s="38">
        <f>_xll.qlOvernightIndexedSwapFairRate(O113,AllTriggers)</f>
        <v>1.9371594596139449E-2</v>
      </c>
      <c r="S113" s="345">
        <f t="shared" si="5"/>
        <v>2.6952891260111668E-3</v>
      </c>
    </row>
    <row r="114" spans="5:19" ht="11.25" customHeight="1" x14ac:dyDescent="0.2">
      <c r="E114" s="254"/>
      <c r="F114" s="254"/>
      <c r="G114" s="39"/>
      <c r="J114" s="39"/>
      <c r="K114" s="39"/>
      <c r="M114" s="346">
        <f>_xll.qlCalendarAdvance(Calendar,M113,"1M","f",,Trigger)</f>
        <v>45434</v>
      </c>
      <c r="N114" s="344">
        <f>_xll.qlCalendarAdvance(Calendar,M114,"3M","f",,Trigger)</f>
        <v>45526</v>
      </c>
      <c r="O114" s="40" t="str">
        <f>_xll.qlMakeDatedOIS(,M114,N114,OvernightIndex,0,,,,EvaluationDate)</f>
        <v>obj_009a0#0000</v>
      </c>
      <c r="P114" s="40" t="b">
        <f>_xll.qlInstrumentSetPricingEngine(O114,OisEngine)</f>
        <v>1</v>
      </c>
      <c r="Q114" s="38">
        <f>_xll.qlIndexFixing(Currency&amp;IborType&amp;"6M",_xll.qlInterestRateIndexFixingDate(Currency&amp;IborType&amp;"6M",M114),TRUE,AllTriggers)</f>
        <v>2.2169527852962501E-2</v>
      </c>
      <c r="R114" s="38">
        <f>_xll.qlOvernightIndexedSwapFairRate(O114,AllTriggers)</f>
        <v>1.9485392354847409E-2</v>
      </c>
      <c r="S114" s="345">
        <f t="shared" si="5"/>
        <v>2.6841354981150915E-3</v>
      </c>
    </row>
    <row r="115" spans="5:19" ht="11.25" customHeight="1" x14ac:dyDescent="0.2">
      <c r="E115" s="254"/>
      <c r="F115" s="254"/>
      <c r="G115" s="39"/>
      <c r="J115" s="39"/>
      <c r="K115" s="39"/>
      <c r="M115" s="346">
        <f>_xll.qlCalendarAdvance(Calendar,M114,"1M","f",,Trigger)</f>
        <v>45467</v>
      </c>
      <c r="N115" s="344">
        <f>_xll.qlCalendarAdvance(Calendar,M115,"3M","f",,Trigger)</f>
        <v>45559</v>
      </c>
      <c r="O115" s="40" t="str">
        <f>_xll.qlMakeDatedOIS(,M115,N115,OvernightIndex,0,,,,EvaluationDate)</f>
        <v>obj_00945#0000</v>
      </c>
      <c r="P115" s="40" t="b">
        <f>_xll.qlInstrumentSetPricingEngine(O115,OisEngine)</f>
        <v>1</v>
      </c>
      <c r="Q115" s="38">
        <f>_xll.qlIndexFixing(Currency&amp;IborType&amp;"6M",_xll.qlInterestRateIndexFixingDate(Currency&amp;IborType&amp;"6M",M115),TRUE,AllTriggers)</f>
        <v>2.2275876349008423E-2</v>
      </c>
      <c r="R115" s="38">
        <f>_xll.qlOvernightIndexedSwapFairRate(O115,AllTriggers)</f>
        <v>1.9601961165157042E-2</v>
      </c>
      <c r="S115" s="345">
        <f t="shared" si="5"/>
        <v>2.673915183851381E-3</v>
      </c>
    </row>
    <row r="116" spans="5:19" ht="11.25" customHeight="1" x14ac:dyDescent="0.2">
      <c r="E116" s="254"/>
      <c r="F116" s="254"/>
      <c r="G116" s="39"/>
      <c r="J116" s="39"/>
      <c r="K116" s="39"/>
      <c r="M116" s="346">
        <f>_xll.qlCalendarAdvance(Calendar,M115,"1M","f",,Trigger)</f>
        <v>45497</v>
      </c>
      <c r="N116" s="344">
        <f>_xll.qlCalendarAdvance(Calendar,M116,"3M","f",,Trigger)</f>
        <v>45589</v>
      </c>
      <c r="O116" s="40" t="str">
        <f>_xll.qlMakeDatedOIS(,M116,N116,OvernightIndex,0,,,,EvaluationDate)</f>
        <v>obj_00938#0000</v>
      </c>
      <c r="P116" s="40" t="b">
        <f>_xll.qlInstrumentSetPricingEngine(O116,OisEngine)</f>
        <v>1</v>
      </c>
      <c r="Q116" s="38">
        <f>_xll.qlIndexFixing(Currency&amp;IborType&amp;"6M",_xll.qlInterestRateIndexFixingDate(Currency&amp;IborType&amp;"6M",M116),TRUE,AllTriggers)</f>
        <v>2.2375155643377064E-2</v>
      </c>
      <c r="R116" s="38">
        <f>_xll.qlOvernightIndexedSwapFairRate(O116,AllTriggers)</f>
        <v>1.9702483576194734E-2</v>
      </c>
      <c r="S116" s="345">
        <f t="shared" si="5"/>
        <v>2.6726720671823301E-3</v>
      </c>
    </row>
    <row r="117" spans="5:19" ht="11.25" customHeight="1" x14ac:dyDescent="0.2">
      <c r="E117" s="254"/>
      <c r="F117" s="254"/>
      <c r="G117" s="39"/>
      <c r="J117" s="39"/>
      <c r="K117" s="39"/>
      <c r="M117" s="346">
        <f>_xll.qlCalendarAdvance(Calendar,M116,"1M","f",,Trigger)</f>
        <v>45530</v>
      </c>
      <c r="N117" s="344">
        <f>_xll.qlCalendarAdvance(Calendar,M117,"3M","f",,Trigger)</f>
        <v>45622</v>
      </c>
      <c r="O117" s="40" t="str">
        <f>_xll.qlMakeDatedOIS(,M117,N117,OvernightIndex,0,,,,EvaluationDate)</f>
        <v>obj_0063d#0000</v>
      </c>
      <c r="P117" s="40" t="b">
        <f>_xll.qlInstrumentSetPricingEngine(O117,OisEngine)</f>
        <v>1</v>
      </c>
      <c r="Q117" s="38">
        <f>_xll.qlIndexFixing(Currency&amp;IborType&amp;"6M",_xll.qlInterestRateIndexFixingDate(Currency&amp;IborType&amp;"6M",M117),TRUE,AllTriggers)</f>
        <v>2.247962958673394E-2</v>
      </c>
      <c r="R117" s="38">
        <f>_xll.qlOvernightIndexedSwapFairRate(O117,AllTriggers)</f>
        <v>1.9807291624885009E-2</v>
      </c>
      <c r="S117" s="345">
        <f t="shared" si="5"/>
        <v>2.6723379618489307E-3</v>
      </c>
    </row>
    <row r="118" spans="5:19" ht="11.25" customHeight="1" x14ac:dyDescent="0.2">
      <c r="E118" s="254"/>
      <c r="F118" s="254"/>
      <c r="G118" s="39"/>
      <c r="J118" s="39"/>
      <c r="K118" s="39"/>
      <c r="M118" s="346">
        <f>_xll.qlCalendarAdvance(Calendar,M117,"1M","f",,Trigger)</f>
        <v>45561</v>
      </c>
      <c r="N118" s="344">
        <f>_xll.qlCalendarAdvance(Calendar,M118,"3M","f",,Trigger)</f>
        <v>45653</v>
      </c>
      <c r="O118" s="40" t="str">
        <f>_xll.qlMakeDatedOIS(,M118,N118,OvernightIndex,0,,,,EvaluationDate)</f>
        <v>obj_008e6#0000</v>
      </c>
      <c r="P118" s="40" t="b">
        <f>_xll.qlInstrumentSetPricingEngine(O118,OisEngine)</f>
        <v>1</v>
      </c>
      <c r="Q118" s="38">
        <f>_xll.qlIndexFixing(Currency&amp;IborType&amp;"6M",_xll.qlInterestRateIndexFixingDate(Currency&amp;IborType&amp;"6M",M118),TRUE,AllTriggers)</f>
        <v>2.2568848925960713E-2</v>
      </c>
      <c r="R118" s="38">
        <f>_xll.qlOvernightIndexedSwapFairRate(O118,AllTriggers)</f>
        <v>1.9901987145414347E-2</v>
      </c>
      <c r="S118" s="345">
        <f t="shared" si="5"/>
        <v>2.6668617805463667E-3</v>
      </c>
    </row>
    <row r="119" spans="5:19" ht="11.25" customHeight="1" x14ac:dyDescent="0.2">
      <c r="E119" s="254"/>
      <c r="F119" s="254"/>
      <c r="G119" s="39"/>
      <c r="J119" s="39"/>
      <c r="K119" s="39"/>
      <c r="M119" s="346">
        <f>_xll.qlCalendarAdvance(Calendar,M118,"1M","f",,Trigger)</f>
        <v>45593</v>
      </c>
      <c r="N119" s="344">
        <f>_xll.qlCalendarAdvance(Calendar,M119,"3M","f",,Trigger)</f>
        <v>45685</v>
      </c>
      <c r="O119" s="40" t="str">
        <f>_xll.qlMakeDatedOIS(,M119,N119,OvernightIndex,0,,,,EvaluationDate)</f>
        <v>obj_00893#0000</v>
      </c>
      <c r="P119" s="40" t="b">
        <f>_xll.qlInstrumentSetPricingEngine(O119,OisEngine)</f>
        <v>1</v>
      </c>
      <c r="Q119" s="38">
        <f>_xll.qlIndexFixing(Currency&amp;IborType&amp;"6M",_xll.qlInterestRateIndexFixingDate(Currency&amp;IborType&amp;"6M",M119),TRUE,AllTriggers)</f>
        <v>2.2667349181896536E-2</v>
      </c>
      <c r="R119" s="38">
        <f>_xll.qlOvernightIndexedSwapFairRate(O119,AllTriggers)</f>
        <v>1.9998422861228941E-2</v>
      </c>
      <c r="S119" s="345">
        <f t="shared" si="5"/>
        <v>2.6689263206675952E-3</v>
      </c>
    </row>
    <row r="120" spans="5:19" ht="11.25" customHeight="1" x14ac:dyDescent="0.2">
      <c r="E120" s="254"/>
      <c r="F120" s="254"/>
      <c r="G120" s="39"/>
      <c r="J120" s="39"/>
      <c r="K120" s="39"/>
      <c r="M120" s="346">
        <f>_xll.qlCalendarAdvance(Calendar,M119,"1M","f",,Trigger)</f>
        <v>45624</v>
      </c>
      <c r="N120" s="344">
        <f>_xll.qlCalendarAdvance(Calendar,M120,"3M","f",,Trigger)</f>
        <v>45716</v>
      </c>
      <c r="O120" s="40" t="str">
        <f>_xll.qlMakeDatedOIS(,M120,N120,OvernightIndex,0,,,,EvaluationDate)</f>
        <v>obj_00a2d#0000</v>
      </c>
      <c r="P120" s="40" t="b">
        <f>_xll.qlInstrumentSetPricingEngine(O120,OisEngine)</f>
        <v>1</v>
      </c>
      <c r="Q120" s="38">
        <f>_xll.qlIndexFixing(Currency&amp;IborType&amp;"6M",_xll.qlInterestRateIndexFixingDate(Currency&amp;IborType&amp;"6M",M120),TRUE,AllTriggers)</f>
        <v>2.2755765428465129E-2</v>
      </c>
      <c r="R120" s="38">
        <f>_xll.qlOvernightIndexedSwapFairRate(O120,AllTriggers)</f>
        <v>2.0092668717797427E-2</v>
      </c>
      <c r="S120" s="345">
        <f t="shared" si="5"/>
        <v>2.663096710667702E-3</v>
      </c>
    </row>
    <row r="121" spans="5:19" ht="11.25" customHeight="1" x14ac:dyDescent="0.2">
      <c r="E121" s="254"/>
      <c r="F121" s="254"/>
      <c r="G121" s="39"/>
      <c r="J121" s="39"/>
      <c r="K121" s="39"/>
      <c r="M121" s="346">
        <f>_xll.qlCalendarAdvance(Calendar,M120,"1M","f",,Trigger)</f>
        <v>45656</v>
      </c>
      <c r="N121" s="344">
        <f>_xll.qlCalendarAdvance(Calendar,M121,"3M","f",,Trigger)</f>
        <v>45747</v>
      </c>
      <c r="O121" s="40" t="str">
        <f>_xll.qlMakeDatedOIS(,M121,N121,OvernightIndex,0,,,,EvaluationDate)</f>
        <v>obj_009da#0000</v>
      </c>
      <c r="P121" s="40" t="b">
        <f>_xll.qlInstrumentSetPricingEngine(O121,OisEngine)</f>
        <v>1</v>
      </c>
      <c r="Q121" s="38">
        <f>_xll.qlIndexFixing(Currency&amp;IborType&amp;"6M",_xll.qlInterestRateIndexFixingDate(Currency&amp;IborType&amp;"6M",M121),TRUE,AllTriggers)</f>
        <v>2.284840305907208E-2</v>
      </c>
      <c r="R121" s="38">
        <f>_xll.qlOvernightIndexedSwapFairRate(O121,AllTriggers)</f>
        <v>2.0189231601506798E-2</v>
      </c>
      <c r="S121" s="345">
        <f t="shared" si="5"/>
        <v>2.6591714575652826E-3</v>
      </c>
    </row>
    <row r="122" spans="5:19" ht="11.25" customHeight="1" x14ac:dyDescent="0.2">
      <c r="E122" s="254"/>
      <c r="F122" s="254"/>
      <c r="G122" s="39"/>
      <c r="J122" s="39"/>
      <c r="K122" s="39"/>
      <c r="M122" s="346">
        <f>_xll.qlCalendarAdvance(Calendar,M121,"1M","f",,Trigger)</f>
        <v>45687</v>
      </c>
      <c r="N122" s="344">
        <f>_xll.qlCalendarAdvance(Calendar,M122,"3M","f",,Trigger)</f>
        <v>45777</v>
      </c>
      <c r="O122" s="40" t="str">
        <f>_xll.qlMakeDatedOIS(,M122,N122,OvernightIndex,0,,,,EvaluationDate)</f>
        <v>obj_0099f#0000</v>
      </c>
      <c r="P122" s="40" t="b">
        <f>_xll.qlInstrumentSetPricingEngine(O122,OisEngine)</f>
        <v>1</v>
      </c>
      <c r="Q122" s="38">
        <f>_xll.qlIndexFixing(Currency&amp;IborType&amp;"6M",_xll.qlInterestRateIndexFixingDate(Currency&amp;IborType&amp;"6M",M122),TRUE,AllTriggers)</f>
        <v>2.2931241390352144E-2</v>
      </c>
      <c r="R122" s="38">
        <f>_xll.qlOvernightIndexedSwapFairRate(O122,AllTriggers)</f>
        <v>2.0284019106259876E-2</v>
      </c>
      <c r="S122" s="345">
        <f t="shared" si="5"/>
        <v>2.6472222840922682E-3</v>
      </c>
    </row>
    <row r="123" spans="5:19" ht="11.25" customHeight="1" x14ac:dyDescent="0.2">
      <c r="E123" s="254"/>
      <c r="F123" s="254"/>
      <c r="G123" s="39"/>
      <c r="J123" s="39"/>
      <c r="K123" s="39"/>
      <c r="M123" s="346">
        <f>_xll.qlCalendarAdvance(Calendar,M122,"1M","f",,Trigger)</f>
        <v>45716</v>
      </c>
      <c r="N123" s="344">
        <f>_xll.qlCalendarAdvance(Calendar,M123,"3M","f",,Trigger)</f>
        <v>45805</v>
      </c>
      <c r="O123" s="40" t="str">
        <f>_xll.qlMakeDatedOIS(,M123,N123,OvernightIndex,0,,,,EvaluationDate)</f>
        <v>obj_008f8#0000</v>
      </c>
      <c r="P123" s="40" t="b">
        <f>_xll.qlInstrumentSetPricingEngine(O123,OisEngine)</f>
        <v>1</v>
      </c>
      <c r="Q123" s="38">
        <f>_xll.qlIndexFixing(Currency&amp;IborType&amp;"6M",_xll.qlInterestRateIndexFixingDate(Currency&amp;IborType&amp;"6M",M123),TRUE,AllTriggers)</f>
        <v>2.3010144173557012E-2</v>
      </c>
      <c r="R123" s="38">
        <f>_xll.qlOvernightIndexedSwapFairRate(O123,AllTriggers)</f>
        <v>2.0373715723671335E-2</v>
      </c>
      <c r="S123" s="345">
        <f t="shared" si="5"/>
        <v>2.636428449885677E-3</v>
      </c>
    </row>
    <row r="124" spans="5:19" ht="11.25" customHeight="1" x14ac:dyDescent="0.2">
      <c r="E124" s="254"/>
      <c r="F124" s="254"/>
      <c r="G124" s="39"/>
      <c r="J124" s="39"/>
      <c r="K124" s="39"/>
      <c r="M124" s="346">
        <f>_xll.qlCalendarAdvance(Calendar,M123,"1M","f",,Trigger)</f>
        <v>45744</v>
      </c>
      <c r="N124" s="344">
        <f>_xll.qlCalendarAdvance(Calendar,M124,"3M","f",,Trigger)</f>
        <v>45838</v>
      </c>
      <c r="O124" s="40" t="str">
        <f>_xll.qlMakeDatedOIS(,M124,N124,OvernightIndex,0,,,,EvaluationDate)</f>
        <v>obj_00937#0000</v>
      </c>
      <c r="P124" s="40" t="b">
        <f>_xll.qlInstrumentSetPricingEngine(O124,OisEngine)</f>
        <v>1</v>
      </c>
      <c r="Q124" s="38">
        <f>_xll.qlIndexFixing(Currency&amp;IborType&amp;"6M",_xll.qlInterestRateIndexFixingDate(Currency&amp;IborType&amp;"6M",M124),TRUE,AllTriggers)</f>
        <v>2.3087920311346426E-2</v>
      </c>
      <c r="R124" s="38">
        <f>_xll.qlOvernightIndexedSwapFairRate(O124,AllTriggers)</f>
        <v>2.0474542271138787E-2</v>
      </c>
      <c r="S124" s="345">
        <f t="shared" si="5"/>
        <v>2.6133780402076388E-3</v>
      </c>
    </row>
    <row r="125" spans="5:19" ht="11.25" customHeight="1" x14ac:dyDescent="0.2">
      <c r="E125" s="254"/>
      <c r="F125" s="254"/>
      <c r="G125" s="39"/>
      <c r="J125" s="39"/>
      <c r="K125" s="39"/>
      <c r="M125" s="346">
        <f>_xll.qlCalendarAdvance(Calendar,M124,"1M","f",,Trigger)</f>
        <v>45775</v>
      </c>
      <c r="N125" s="344">
        <f>_xll.qlCalendarAdvance(Calendar,M125,"3M","f",,Trigger)</f>
        <v>45866</v>
      </c>
      <c r="O125" s="40" t="str">
        <f>_xll.qlMakeDatedOIS(,M125,N125,OvernightIndex,0,,,,EvaluationDate)</f>
        <v>obj_008e5#0000</v>
      </c>
      <c r="P125" s="40" t="b">
        <f>_xll.qlInstrumentSetPricingEngine(O125,OisEngine)</f>
        <v>1</v>
      </c>
      <c r="Q125" s="38">
        <f>_xll.qlIndexFixing(Currency&amp;IborType&amp;"6M",_xll.qlInterestRateIndexFixingDate(Currency&amp;IborType&amp;"6M",M125),TRUE,AllTriggers)</f>
        <v>2.3160932491061919E-2</v>
      </c>
      <c r="R125" s="38">
        <f>_xll.qlOvernightIndexedSwapFairRate(O125,AllTriggers)</f>
        <v>2.0568670985193101E-2</v>
      </c>
      <c r="S125" s="345">
        <f t="shared" si="5"/>
        <v>2.5922615058688175E-3</v>
      </c>
    </row>
    <row r="126" spans="5:19" ht="11.25" customHeight="1" x14ac:dyDescent="0.2">
      <c r="E126" s="254"/>
      <c r="F126" s="254"/>
      <c r="G126" s="39"/>
      <c r="J126" s="39"/>
      <c r="K126" s="39"/>
      <c r="M126" s="346">
        <f>_xll.qlCalendarAdvance(Calendar,M125,"1M","f",,Trigger)</f>
        <v>45805</v>
      </c>
      <c r="N126" s="344">
        <f>_xll.qlCalendarAdvance(Calendar,M126,"3M","f",,Trigger)</f>
        <v>45897</v>
      </c>
      <c r="O126" s="40" t="str">
        <f>_xll.qlMakeDatedOIS(,M126,N126,OvernightIndex,0,,,,EvaluationDate)</f>
        <v>obj_00892#0000</v>
      </c>
      <c r="P126" s="40" t="b">
        <f>_xll.qlInstrumentSetPricingEngine(O126,OisEngine)</f>
        <v>1</v>
      </c>
      <c r="Q126" s="38">
        <f>_xll.qlIndexFixing(Currency&amp;IborType&amp;"6M",_xll.qlInterestRateIndexFixingDate(Currency&amp;IborType&amp;"6M",M126),TRUE,AllTriggers)</f>
        <v>2.3234598330248969E-2</v>
      </c>
      <c r="R126" s="38">
        <f>_xll.qlOvernightIndexedSwapFairRate(O126,AllTriggers)</f>
        <v>2.0669706010169476E-2</v>
      </c>
      <c r="S126" s="345">
        <f t="shared" si="5"/>
        <v>2.5648923200794933E-3</v>
      </c>
    </row>
    <row r="127" spans="5:19" ht="11.25" customHeight="1" x14ac:dyDescent="0.2">
      <c r="E127" s="254"/>
      <c r="F127" s="254"/>
      <c r="G127" s="39"/>
      <c r="J127" s="39"/>
      <c r="K127" s="39"/>
      <c r="M127" s="346">
        <f>_xll.qlCalendarAdvance(Calendar,M126,"1M","f",,Trigger)</f>
        <v>45838</v>
      </c>
      <c r="N127" s="344">
        <f>_xll.qlCalendarAdvance(Calendar,M127,"3M","f",,Trigger)</f>
        <v>45930</v>
      </c>
      <c r="O127" s="40" t="str">
        <f>_xll.qlMakeDatedOIS(,M127,N127,OvernightIndex,0,,,,EvaluationDate)</f>
        <v>obj_00a2c#0000</v>
      </c>
      <c r="P127" s="40" t="b">
        <f>_xll.qlInstrumentSetPricingEngine(O127,OisEngine)</f>
        <v>1</v>
      </c>
      <c r="Q127" s="38">
        <f>_xll.qlIndexFixing(Currency&amp;IborType&amp;"6M",_xll.qlInterestRateIndexFixingDate(Currency&amp;IborType&amp;"6M",M127),TRUE,AllTriggers)</f>
        <v>2.3310509563323239E-2</v>
      </c>
      <c r="R127" s="38">
        <f>_xll.qlOvernightIndexedSwapFairRate(O127,AllTriggers)</f>
        <v>2.0779838550480403E-2</v>
      </c>
      <c r="S127" s="345">
        <f t="shared" si="5"/>
        <v>2.5306710128428361E-3</v>
      </c>
    </row>
    <row r="128" spans="5:19" ht="11.25" customHeight="1" x14ac:dyDescent="0.2">
      <c r="E128" s="254"/>
      <c r="F128" s="254"/>
      <c r="G128" s="39"/>
      <c r="J128" s="39"/>
      <c r="K128" s="39"/>
      <c r="M128" s="346">
        <f>_xll.qlCalendarAdvance(Calendar,M127,"1M","f",,Trigger)</f>
        <v>45868</v>
      </c>
      <c r="N128" s="344">
        <f>_xll.qlCalendarAdvance(Calendar,M128,"3M","f",,Trigger)</f>
        <v>45960</v>
      </c>
      <c r="O128" s="40" t="str">
        <f>_xll.qlMakeDatedOIS(,M128,N128,OvernightIndex,0,,,,EvaluationDate)</f>
        <v>obj_0094e#0000</v>
      </c>
      <c r="P128" s="40" t="b">
        <f>_xll.qlInstrumentSetPricingEngine(O128,OisEngine)</f>
        <v>1</v>
      </c>
      <c r="Q128" s="38">
        <f>_xll.qlIndexFixing(Currency&amp;IborType&amp;"6M",_xll.qlInterestRateIndexFixingDate(Currency&amp;IborType&amp;"6M",M128),TRUE,AllTriggers)</f>
        <v>2.3376779565017301E-2</v>
      </c>
      <c r="R128" s="38">
        <f>_xll.qlOvernightIndexedSwapFairRate(O128,AllTriggers)</f>
        <v>2.0881277879682969E-2</v>
      </c>
      <c r="S128" s="345">
        <f t="shared" si="5"/>
        <v>2.4955016853343316E-3</v>
      </c>
    </row>
    <row r="129" spans="5:19" ht="11.25" customHeight="1" x14ac:dyDescent="0.2">
      <c r="E129" s="254"/>
      <c r="F129" s="254"/>
      <c r="G129" s="39"/>
      <c r="J129" s="39"/>
      <c r="K129" s="39"/>
      <c r="M129" s="346">
        <f>_xll.qlCalendarAdvance(Calendar,M128,"1M","f",,Trigger)</f>
        <v>45901</v>
      </c>
      <c r="N129" s="344">
        <f>_xll.qlCalendarAdvance(Calendar,M129,"3M","f",,Trigger)</f>
        <v>45992</v>
      </c>
      <c r="O129" s="40" t="str">
        <f>_xll.qlMakeDatedOIS(,M129,N129,OvernightIndex,0,,,,EvaluationDate)</f>
        <v>obj_00649#0000</v>
      </c>
      <c r="P129" s="40" t="b">
        <f>_xll.qlInstrumentSetPricingEngine(O129,OisEngine)</f>
        <v>1</v>
      </c>
      <c r="Q129" s="38">
        <f>_xll.qlIndexFixing(Currency&amp;IborType&amp;"6M",_xll.qlInterestRateIndexFixingDate(Currency&amp;IborType&amp;"6M",M129),TRUE,AllTriggers)</f>
        <v>2.3443158605089321E-2</v>
      </c>
      <c r="R129" s="38">
        <f>_xll.qlOvernightIndexedSwapFairRate(O129,AllTriggers)</f>
        <v>2.099162273796747E-2</v>
      </c>
      <c r="S129" s="345">
        <f t="shared" si="5"/>
        <v>2.4515358671218512E-3</v>
      </c>
    </row>
    <row r="130" spans="5:19" ht="11.25" customHeight="1" x14ac:dyDescent="0.2">
      <c r="E130" s="254"/>
      <c r="F130" s="254"/>
      <c r="G130" s="39"/>
      <c r="J130" s="39"/>
      <c r="K130" s="39"/>
      <c r="M130" s="346">
        <f>_xll.qlCalendarAdvance(Calendar,M129,"1M","f",,Trigger)</f>
        <v>45931</v>
      </c>
      <c r="N130" s="344">
        <f>_xll.qlCalendarAdvance(Calendar,M130,"3M","f",,Trigger)</f>
        <v>46024</v>
      </c>
      <c r="O130" s="40" t="str">
        <f>_xll.qlMakeDatedOIS(,M130,N130,OvernightIndex,0,,,,EvaluationDate)</f>
        <v>obj_009d9#0000</v>
      </c>
      <c r="P130" s="40" t="b">
        <f>_xll.qlInstrumentSetPricingEngine(O130,OisEngine)</f>
        <v>1</v>
      </c>
      <c r="Q130" s="38">
        <f>_xll.qlIndexFixing(Currency&amp;IborType&amp;"6M",_xll.qlInterestRateIndexFixingDate(Currency&amp;IborType&amp;"6M",M130),TRUE,AllTriggers)</f>
        <v>2.3504026450502476E-2</v>
      </c>
      <c r="R130" s="38">
        <f>_xll.qlOvernightIndexedSwapFairRate(O130,AllTriggers)</f>
        <v>2.109793954661731E-2</v>
      </c>
      <c r="S130" s="345">
        <f t="shared" si="5"/>
        <v>2.4060869038851664E-3</v>
      </c>
    </row>
    <row r="131" spans="5:19" ht="11.25" customHeight="1" x14ac:dyDescent="0.2">
      <c r="E131" s="254"/>
      <c r="F131" s="254"/>
      <c r="G131" s="39"/>
      <c r="J131" s="39"/>
      <c r="K131" s="39"/>
      <c r="M131" s="346">
        <f>_xll.qlCalendarAdvance(Calendar,M130,"1M","f",,Trigger)</f>
        <v>45964</v>
      </c>
      <c r="N131" s="344">
        <f>_xll.qlCalendarAdvance(Calendar,M131,"3M","f",,Trigger)</f>
        <v>46056</v>
      </c>
      <c r="O131" s="40" t="str">
        <f>_xll.qlMakeDatedOIS(,M131,N131,OvernightIndex,0,,,,EvaluationDate)</f>
        <v>obj_0064c#0000</v>
      </c>
      <c r="P131" s="40" t="b">
        <f>_xll.qlInstrumentSetPricingEngine(O131,OisEngine)</f>
        <v>1</v>
      </c>
      <c r="Q131" s="38">
        <f>_xll.qlIndexFixing(Currency&amp;IborType&amp;"6M",_xll.qlInterestRateIndexFixingDate(Currency&amp;IborType&amp;"6M",M131),TRUE,AllTriggers)</f>
        <v>2.3567966307692464E-2</v>
      </c>
      <c r="R131" s="38">
        <f>_xll.qlOvernightIndexedSwapFairRate(O131,AllTriggers)</f>
        <v>2.1204541092940676E-2</v>
      </c>
      <c r="S131" s="345">
        <f t="shared" ref="S131:S194" si="6">Q131-R131</f>
        <v>2.3634252147517881E-3</v>
      </c>
    </row>
    <row r="132" spans="5:19" ht="11.25" customHeight="1" x14ac:dyDescent="0.2">
      <c r="E132" s="254"/>
      <c r="F132" s="254"/>
      <c r="G132" s="39"/>
      <c r="J132" s="39"/>
      <c r="K132" s="39"/>
      <c r="M132" s="346">
        <f>_xll.qlCalendarAdvance(Calendar,M131,"1M","f",,Trigger)</f>
        <v>45994</v>
      </c>
      <c r="N132" s="344">
        <f>_xll.qlCalendarAdvance(Calendar,M132,"3M","f",,Trigger)</f>
        <v>46084</v>
      </c>
      <c r="O132" s="40" t="str">
        <f>_xll.qlMakeDatedOIS(,M132,N132,OvernightIndex,0,,,,EvaluationDate)</f>
        <v>obj_00947#0000</v>
      </c>
      <c r="P132" s="40" t="b">
        <f>_xll.qlInstrumentSetPricingEngine(O132,OisEngine)</f>
        <v>1</v>
      </c>
      <c r="Q132" s="38">
        <f>_xll.qlIndexFixing(Currency&amp;IborType&amp;"6M",_xll.qlInterestRateIndexFixingDate(Currency&amp;IborType&amp;"6M",M132),TRUE,AllTriggers)</f>
        <v>2.3623352501224635E-2</v>
      </c>
      <c r="R132" s="38">
        <f>_xll.qlOvernightIndexedSwapFairRate(O132,AllTriggers)</f>
        <v>2.1294895096453104E-2</v>
      </c>
      <c r="S132" s="345">
        <f t="shared" si="6"/>
        <v>2.3284574047715313E-3</v>
      </c>
    </row>
    <row r="133" spans="5:19" ht="11.25" customHeight="1" x14ac:dyDescent="0.2">
      <c r="E133" s="254"/>
      <c r="F133" s="254"/>
      <c r="G133" s="39"/>
      <c r="J133" s="39"/>
      <c r="K133" s="39"/>
      <c r="M133" s="346">
        <f>_xll.qlCalendarAdvance(Calendar,M132,"1M","f",,Trigger)</f>
        <v>46027</v>
      </c>
      <c r="N133" s="344">
        <f>_xll.qlCalendarAdvance(Calendar,M133,"3M","f",,Trigger)</f>
        <v>46119</v>
      </c>
      <c r="O133" s="40" t="str">
        <f>_xll.qlMakeDatedOIS(,M133,N133,OvernightIndex,0,,,,EvaluationDate)</f>
        <v>obj_008a6#0000</v>
      </c>
      <c r="P133" s="40" t="b">
        <f>_xll.qlInstrumentSetPricingEngine(O133,OisEngine)</f>
        <v>1</v>
      </c>
      <c r="Q133" s="38">
        <f>_xll.qlIndexFixing(Currency&amp;IborType&amp;"6M",_xll.qlInterestRateIndexFixingDate(Currency&amp;IborType&amp;"6M",M133),TRUE,AllTriggers)</f>
        <v>2.368126200271807E-2</v>
      </c>
      <c r="R133" s="38">
        <f>_xll.qlOvernightIndexedSwapFairRate(O133,AllTriggers)</f>
        <v>2.1398144777621111E-2</v>
      </c>
      <c r="S133" s="345">
        <f t="shared" si="6"/>
        <v>2.2831172250969596E-3</v>
      </c>
    </row>
    <row r="134" spans="5:19" ht="11.25" customHeight="1" x14ac:dyDescent="0.2">
      <c r="E134" s="254"/>
      <c r="F134" s="254"/>
      <c r="G134" s="39"/>
      <c r="J134" s="39"/>
      <c r="K134" s="39"/>
      <c r="M134" s="346">
        <f>_xll.qlCalendarAdvance(Calendar,M133,"1M","f",,Trigger)</f>
        <v>46058</v>
      </c>
      <c r="N134" s="344">
        <f>_xll.qlCalendarAdvance(Calendar,M134,"3M","f",,Trigger)</f>
        <v>46147</v>
      </c>
      <c r="O134" s="40" t="str">
        <f>_xll.qlMakeDatedOIS(,M134,N134,OvernightIndex,0,,,,EvaluationDate)</f>
        <v>obj_00936#0000</v>
      </c>
      <c r="P134" s="40" t="b">
        <f>_xll.qlInstrumentSetPricingEngine(O134,OisEngine)</f>
        <v>1</v>
      </c>
      <c r="Q134" s="38">
        <f>_xll.qlIndexFixing(Currency&amp;IborType&amp;"6M",_xll.qlInterestRateIndexFixingDate(Currency&amp;IborType&amp;"6M",M134),TRUE,AllTriggers)</f>
        <v>2.3731239986520339E-2</v>
      </c>
      <c r="R134" s="38">
        <f>_xll.qlOvernightIndexedSwapFairRate(O134,AllTriggers)</f>
        <v>2.1480300430285482E-2</v>
      </c>
      <c r="S134" s="345">
        <f t="shared" si="6"/>
        <v>2.2509395562348572E-3</v>
      </c>
    </row>
    <row r="135" spans="5:19" ht="11.25" customHeight="1" x14ac:dyDescent="0.2">
      <c r="E135" s="254"/>
      <c r="F135" s="254"/>
      <c r="G135" s="39"/>
      <c r="J135" s="39"/>
      <c r="K135" s="39"/>
      <c r="M135" s="346">
        <f>_xll.qlCalendarAdvance(Calendar,M134,"1M","f",,Trigger)</f>
        <v>46086</v>
      </c>
      <c r="N135" s="344">
        <f>_xll.qlCalendarAdvance(Calendar,M135,"3M","f",,Trigger)</f>
        <v>46178</v>
      </c>
      <c r="O135" s="40" t="str">
        <f>_xll.qlMakeDatedOIS(,M135,N135,OvernightIndex,0,,,,EvaluationDate)</f>
        <v>obj_00651#0000</v>
      </c>
      <c r="P135" s="40" t="b">
        <f>_xll.qlInstrumentSetPricingEngine(O135,OisEngine)</f>
        <v>1</v>
      </c>
      <c r="Q135" s="38">
        <f>_xll.qlIndexFixing(Currency&amp;IborType&amp;"6M",_xll.qlInterestRateIndexFixingDate(Currency&amp;IborType&amp;"6M",M135),TRUE,AllTriggers)</f>
        <v>2.3782940833862575E-2</v>
      </c>
      <c r="R135" s="38">
        <f>_xll.qlOvernightIndexedSwapFairRate(O135,AllTriggers)</f>
        <v>2.1561803820913304E-2</v>
      </c>
      <c r="S135" s="345">
        <f t="shared" si="6"/>
        <v>2.2211370129492716E-3</v>
      </c>
    </row>
    <row r="136" spans="5:19" ht="11.25" customHeight="1" x14ac:dyDescent="0.2">
      <c r="E136" s="254"/>
      <c r="F136" s="254"/>
      <c r="G136" s="39"/>
      <c r="J136" s="39"/>
      <c r="K136" s="39"/>
      <c r="M136" s="346">
        <f>_xll.qlCalendarAdvance(Calendar,M135,"1M","f",,Trigger)</f>
        <v>46119</v>
      </c>
      <c r="N136" s="344">
        <f>_xll.qlCalendarAdvance(Calendar,M136,"3M","f",,Trigger)</f>
        <v>46210</v>
      </c>
      <c r="O136" s="40" t="str">
        <f>_xll.qlMakeDatedOIS(,M136,N136,OvernightIndex,0,,,,EvaluationDate)</f>
        <v>obj_008e4#0000</v>
      </c>
      <c r="P136" s="40" t="b">
        <f>_xll.qlInstrumentSetPricingEngine(O136,OisEngine)</f>
        <v>1</v>
      </c>
      <c r="Q136" s="38">
        <f>_xll.qlIndexFixing(Currency&amp;IborType&amp;"6M",_xll.qlInterestRateIndexFixingDate(Currency&amp;IborType&amp;"6M",M136),TRUE,AllTriggers)</f>
        <v>2.382748612862557E-2</v>
      </c>
      <c r="R136" s="38">
        <f>_xll.qlOvernightIndexedSwapFairRate(O136,AllTriggers)</f>
        <v>2.1644049314657469E-2</v>
      </c>
      <c r="S136" s="345">
        <f t="shared" si="6"/>
        <v>2.1834368139681017E-3</v>
      </c>
    </row>
    <row r="137" spans="5:19" ht="11.25" customHeight="1" x14ac:dyDescent="0.2">
      <c r="E137" s="254"/>
      <c r="F137" s="254"/>
      <c r="G137" s="39"/>
      <c r="J137" s="39"/>
      <c r="K137" s="39"/>
      <c r="M137" s="346">
        <f>_xll.qlCalendarAdvance(Calendar,M136,"1M","f",,Trigger)</f>
        <v>46149</v>
      </c>
      <c r="N137" s="344">
        <f>_xll.qlCalendarAdvance(Calendar,M137,"3M","f",,Trigger)</f>
        <v>46241</v>
      </c>
      <c r="O137" s="40" t="str">
        <f>_xll.qlMakeDatedOIS(,M137,N137,OvernightIndex,0,,,,EvaluationDate)</f>
        <v>obj_00891#0000</v>
      </c>
      <c r="P137" s="40" t="b">
        <f>_xll.qlInstrumentSetPricingEngine(O137,OisEngine)</f>
        <v>1</v>
      </c>
      <c r="Q137" s="38">
        <f>_xll.qlIndexFixing(Currency&amp;IborType&amp;"6M",_xll.qlInterestRateIndexFixingDate(Currency&amp;IborType&amp;"6M",M137),TRUE,AllTriggers)</f>
        <v>2.3873597850281168E-2</v>
      </c>
      <c r="R137" s="38">
        <f>_xll.qlOvernightIndexedSwapFairRate(O137,AllTriggers)</f>
        <v>2.1717706820288805E-2</v>
      </c>
      <c r="S137" s="345">
        <f t="shared" si="6"/>
        <v>2.1558910299923628E-3</v>
      </c>
    </row>
    <row r="138" spans="5:19" ht="11.25" customHeight="1" x14ac:dyDescent="0.2">
      <c r="E138" s="254"/>
      <c r="F138" s="254"/>
      <c r="G138" s="39"/>
      <c r="J138" s="39"/>
      <c r="K138" s="39"/>
      <c r="M138" s="346">
        <f>_xll.qlCalendarAdvance(Calendar,M137,"1M","f",,Trigger)</f>
        <v>46181</v>
      </c>
      <c r="N138" s="344">
        <f>_xll.qlCalendarAdvance(Calendar,M138,"3M","f",,Trigger)</f>
        <v>46273</v>
      </c>
      <c r="O138" s="40" t="str">
        <f>_xll.qlMakeDatedOIS(,M138,N138,OvernightIndex,0,,,,EvaluationDate)</f>
        <v>obj_00a2b#0000</v>
      </c>
      <c r="P138" s="40" t="b">
        <f>_xll.qlInstrumentSetPricingEngine(O138,OisEngine)</f>
        <v>1</v>
      </c>
      <c r="Q138" s="38">
        <f>_xll.qlIndexFixing(Currency&amp;IborType&amp;"6M",_xll.qlInterestRateIndexFixingDate(Currency&amp;IborType&amp;"6M",M138),TRUE,AllTriggers)</f>
        <v>2.3911201465113257E-2</v>
      </c>
      <c r="R138" s="38">
        <f>_xll.qlOvernightIndexedSwapFairRate(O138,AllTriggers)</f>
        <v>2.178943865783689E-2</v>
      </c>
      <c r="S138" s="345">
        <f t="shared" si="6"/>
        <v>2.1217628072763665E-3</v>
      </c>
    </row>
    <row r="139" spans="5:19" ht="11.25" customHeight="1" x14ac:dyDescent="0.2">
      <c r="E139" s="254"/>
      <c r="F139" s="254"/>
      <c r="G139" s="39"/>
      <c r="J139" s="39"/>
      <c r="K139" s="39"/>
      <c r="M139" s="346">
        <f>_xll.qlCalendarAdvance(Calendar,M138,"1M","f",,Trigger)</f>
        <v>46211</v>
      </c>
      <c r="N139" s="344">
        <f>_xll.qlCalendarAdvance(Calendar,M139,"3M","f",,Trigger)</f>
        <v>46303</v>
      </c>
      <c r="O139" s="40" t="str">
        <f>_xll.qlMakeDatedOIS(,M139,N139,OvernightIndex,0,,,,EvaluationDate)</f>
        <v>obj_00904#0000</v>
      </c>
      <c r="P139" s="40" t="b">
        <f>_xll.qlInstrumentSetPricingEngine(O139,OisEngine)</f>
        <v>1</v>
      </c>
      <c r="Q139" s="38">
        <f>_xll.qlIndexFixing(Currency&amp;IborType&amp;"6M",_xll.qlInterestRateIndexFixingDate(Currency&amp;IborType&amp;"6M",M139),TRUE,AllTriggers)</f>
        <v>2.3949439070972932E-2</v>
      </c>
      <c r="R139" s="38">
        <f>_xll.qlOvernightIndexedSwapFairRate(O139,AllTriggers)</f>
        <v>2.1852124425748146E-2</v>
      </c>
      <c r="S139" s="345">
        <f t="shared" si="6"/>
        <v>2.0973146452247862E-3</v>
      </c>
    </row>
    <row r="140" spans="5:19" ht="11.25" customHeight="1" x14ac:dyDescent="0.2">
      <c r="E140" s="254"/>
      <c r="F140" s="254"/>
      <c r="G140" s="39"/>
      <c r="J140" s="39"/>
      <c r="K140" s="39"/>
      <c r="M140" s="346">
        <f>_xll.qlCalendarAdvance(Calendar,M139,"1M","f",,Trigger)</f>
        <v>46244</v>
      </c>
      <c r="N140" s="344">
        <f>_xll.qlCalendarAdvance(Calendar,M140,"3M","f",,Trigger)</f>
        <v>46336</v>
      </c>
      <c r="O140" s="40" t="str">
        <f>_xll.qlMakeDatedOIS(,M140,N140,OvernightIndex,0,,,,EvaluationDate)</f>
        <v>obj_009d8#0000</v>
      </c>
      <c r="P140" s="40" t="b">
        <f>_xll.qlInstrumentSetPricingEngine(O140,OisEngine)</f>
        <v>1</v>
      </c>
      <c r="Q140" s="38">
        <f>_xll.qlIndexFixing(Currency&amp;IborType&amp;"6M",_xll.qlInterestRateIndexFixingDate(Currency&amp;IborType&amp;"6M",M140),TRUE,AllTriggers)</f>
        <v>2.3987659710872453E-2</v>
      </c>
      <c r="R140" s="38">
        <f>_xll.qlOvernightIndexedSwapFairRate(O140,AllTriggers)</f>
        <v>2.191598700064255E-2</v>
      </c>
      <c r="S140" s="345">
        <f t="shared" si="6"/>
        <v>2.0716727102299028E-3</v>
      </c>
    </row>
    <row r="141" spans="5:19" ht="11.25" customHeight="1" x14ac:dyDescent="0.2">
      <c r="E141" s="254"/>
      <c r="F141" s="254"/>
      <c r="G141" s="39"/>
      <c r="J141" s="39"/>
      <c r="K141" s="39"/>
      <c r="M141" s="346">
        <f>_xll.qlCalendarAdvance(Calendar,M140,"1M","f",,Trigger)</f>
        <v>46275</v>
      </c>
      <c r="N141" s="344">
        <f>_xll.qlCalendarAdvance(Calendar,M141,"3M","f",,Trigger)</f>
        <v>46366</v>
      </c>
      <c r="O141" s="40" t="str">
        <f>_xll.qlMakeDatedOIS(,M141,N141,OvernightIndex,0,,,,EvaluationDate)</f>
        <v>obj_008ac#0000</v>
      </c>
      <c r="P141" s="40" t="b">
        <f>_xll.qlInstrumentSetPricingEngine(O141,OisEngine)</f>
        <v>1</v>
      </c>
      <c r="Q141" s="38">
        <f>_xll.qlIndexFixing(Currency&amp;IborType&amp;"6M",_xll.qlInterestRateIndexFixingDate(Currency&amp;IborType&amp;"6M",M141),TRUE,AllTriggers)</f>
        <v>2.4017711566252976E-2</v>
      </c>
      <c r="R141" s="38">
        <f>_xll.qlOvernightIndexedSwapFairRate(O141,AllTriggers)</f>
        <v>2.1970059517223944E-2</v>
      </c>
      <c r="S141" s="345">
        <f t="shared" si="6"/>
        <v>2.0476520490290313E-3</v>
      </c>
    </row>
    <row r="142" spans="5:19" ht="11.25" customHeight="1" x14ac:dyDescent="0.2">
      <c r="E142" s="254"/>
      <c r="F142" s="254"/>
      <c r="G142" s="39"/>
      <c r="J142" s="39"/>
      <c r="K142" s="39"/>
      <c r="M142" s="346">
        <f>_xll.qlCalendarAdvance(Calendar,M141,"1M","f",,Trigger)</f>
        <v>46307</v>
      </c>
      <c r="N142" s="344">
        <f>_xll.qlCalendarAdvance(Calendar,M142,"3M","f",,Trigger)</f>
        <v>46399</v>
      </c>
      <c r="O142" s="40" t="str">
        <f>_xll.qlMakeDatedOIS(,M142,N142,OvernightIndex,0,,,,EvaluationDate)</f>
        <v>obj_008f7#0000</v>
      </c>
      <c r="P142" s="40" t="b">
        <f>_xll.qlInstrumentSetPricingEngine(O142,OisEngine)</f>
        <v>1</v>
      </c>
      <c r="Q142" s="38">
        <f>_xll.qlIndexFixing(Currency&amp;IborType&amp;"6M",_xll.qlInterestRateIndexFixingDate(Currency&amp;IborType&amp;"6M",M142),TRUE,AllTriggers)</f>
        <v>2.4052490320907831E-2</v>
      </c>
      <c r="R142" s="38">
        <f>_xll.qlOvernightIndexedSwapFairRate(O142,AllTriggers)</f>
        <v>2.2025647588187914E-2</v>
      </c>
      <c r="S142" s="345">
        <f t="shared" si="6"/>
        <v>2.0268427327199169E-3</v>
      </c>
    </row>
    <row r="143" spans="5:19" ht="11.25" customHeight="1" x14ac:dyDescent="0.2">
      <c r="E143" s="254"/>
      <c r="F143" s="254"/>
      <c r="G143" s="39"/>
      <c r="J143" s="39"/>
      <c r="K143" s="39"/>
      <c r="M143" s="346">
        <f>_xll.qlCalendarAdvance(Calendar,M142,"1M","f",,Trigger)</f>
        <v>46338</v>
      </c>
      <c r="N143" s="344">
        <f>_xll.qlCalendarAdvance(Calendar,M143,"3M","f",,Trigger)</f>
        <v>46430</v>
      </c>
      <c r="O143" s="40" t="str">
        <f>_xll.qlMakeDatedOIS(,M143,N143,OvernightIndex,0,,,,EvaluationDate)</f>
        <v>obj_00935#0000</v>
      </c>
      <c r="P143" s="40" t="b">
        <f>_xll.qlInstrumentSetPricingEngine(O143,OisEngine)</f>
        <v>1</v>
      </c>
      <c r="Q143" s="38">
        <f>_xll.qlIndexFixing(Currency&amp;IborType&amp;"6M",_xll.qlInterestRateIndexFixingDate(Currency&amp;IborType&amp;"6M",M143),TRUE,AllTriggers)</f>
        <v>2.408232314434695E-2</v>
      </c>
      <c r="R143" s="38">
        <f>_xll.qlOvernightIndexedSwapFairRate(O143,AllTriggers)</f>
        <v>2.2076002064132492E-2</v>
      </c>
      <c r="S143" s="345">
        <f t="shared" si="6"/>
        <v>2.0063210802144585E-3</v>
      </c>
    </row>
    <row r="144" spans="5:19" ht="11.25" customHeight="1" x14ac:dyDescent="0.2">
      <c r="E144" s="254"/>
      <c r="F144" s="254"/>
      <c r="G144" s="39"/>
      <c r="J144" s="39"/>
      <c r="K144" s="39"/>
      <c r="M144" s="346">
        <f>_xll.qlCalendarAdvance(Calendar,M143,"1M","f",,Trigger)</f>
        <v>46370</v>
      </c>
      <c r="N144" s="344">
        <f>_xll.qlCalendarAdvance(Calendar,M144,"3M","f",,Trigger)</f>
        <v>46461</v>
      </c>
      <c r="O144" s="40" t="str">
        <f>_xll.qlMakeDatedOIS(,M144,N144,OvernightIndex,0,,,,EvaluationDate)</f>
        <v>obj_008e3#0000</v>
      </c>
      <c r="P144" s="40" t="b">
        <f>_xll.qlInstrumentSetPricingEngine(O144,OisEngine)</f>
        <v>1</v>
      </c>
      <c r="Q144" s="38">
        <f>_xll.qlIndexFixing(Currency&amp;IborType&amp;"6M",_xll.qlInterestRateIndexFixingDate(Currency&amp;IborType&amp;"6M",M144),TRUE,AllTriggers)</f>
        <v>2.4114530691568433E-2</v>
      </c>
      <c r="R144" s="38">
        <f>_xll.qlOvernightIndexedSwapFairRate(O144,AllTriggers)</f>
        <v>2.2125123962842747E-2</v>
      </c>
      <c r="S144" s="345">
        <f t="shared" si="6"/>
        <v>1.9894067287256866E-3</v>
      </c>
    </row>
    <row r="145" spans="5:19" ht="11.25" customHeight="1" x14ac:dyDescent="0.2">
      <c r="E145" s="254"/>
      <c r="F145" s="254"/>
      <c r="G145" s="39"/>
      <c r="J145" s="39"/>
      <c r="K145" s="39"/>
      <c r="M145" s="346">
        <f>_xll.qlCalendarAdvance(Calendar,M144,"1M","f",,Trigger)</f>
        <v>46401</v>
      </c>
      <c r="N145" s="344">
        <f>_xll.qlCalendarAdvance(Calendar,M145,"3M","f",,Trigger)</f>
        <v>46491</v>
      </c>
      <c r="O145" s="40" t="str">
        <f>_xll.qlMakeDatedOIS(,M145,N145,OvernightIndex,0,,,,EvaluationDate)</f>
        <v>obj_0065c#0000</v>
      </c>
      <c r="P145" s="40" t="b">
        <f>_xll.qlInstrumentSetPricingEngine(O145,OisEngine)</f>
        <v>1</v>
      </c>
      <c r="Q145" s="38">
        <f>_xll.qlIndexFixing(Currency&amp;IborType&amp;"6M",_xll.qlInterestRateIndexFixingDate(Currency&amp;IborType&amp;"6M",M145),TRUE,AllTriggers)</f>
        <v>2.4142112141110405E-2</v>
      </c>
      <c r="R145" s="38">
        <f>_xll.qlOvernightIndexedSwapFairRate(O145,AllTriggers)</f>
        <v>2.2171373791453952E-2</v>
      </c>
      <c r="S145" s="345">
        <f t="shared" si="6"/>
        <v>1.9707383496564528E-3</v>
      </c>
    </row>
    <row r="146" spans="5:19" ht="11.25" customHeight="1" x14ac:dyDescent="0.2">
      <c r="E146" s="254"/>
      <c r="F146" s="254"/>
      <c r="G146" s="39"/>
      <c r="J146" s="39"/>
      <c r="K146" s="39"/>
      <c r="M146" s="346">
        <f>_xll.qlCalendarAdvance(Calendar,M145,"1M","f",,Trigger)</f>
        <v>46433</v>
      </c>
      <c r="N146" s="344">
        <f>_xll.qlCalendarAdvance(Calendar,M146,"3M","f",,Trigger)</f>
        <v>46524</v>
      </c>
      <c r="O146" s="40" t="str">
        <f>_xll.qlMakeDatedOIS(,M146,N146,OvernightIndex,0,,,,EvaluationDate)</f>
        <v>obj_00890#0000</v>
      </c>
      <c r="P146" s="40" t="b">
        <f>_xll.qlInstrumentSetPricingEngine(O146,OisEngine)</f>
        <v>1</v>
      </c>
      <c r="Q146" s="38">
        <f>_xll.qlIndexFixing(Currency&amp;IborType&amp;"6M",_xll.qlInterestRateIndexFixingDate(Currency&amp;IborType&amp;"6M",M146),TRUE,AllTriggers)</f>
        <v>2.4171938687111691E-2</v>
      </c>
      <c r="R146" s="38">
        <f>_xll.qlOvernightIndexedSwapFairRate(O146,AllTriggers)</f>
        <v>2.2220650923863744E-2</v>
      </c>
      <c r="S146" s="345">
        <f t="shared" si="6"/>
        <v>1.9512877632479469E-3</v>
      </c>
    </row>
    <row r="147" spans="5:19" ht="11.25" customHeight="1" x14ac:dyDescent="0.2">
      <c r="E147" s="254"/>
      <c r="F147" s="254"/>
      <c r="G147" s="39"/>
      <c r="J147" s="39"/>
      <c r="K147" s="39"/>
      <c r="M147" s="346">
        <f>_xll.qlCalendarAdvance(Calendar,M146,"1M","f",,Trigger)</f>
        <v>46461</v>
      </c>
      <c r="N147" s="344">
        <f>_xll.qlCalendarAdvance(Calendar,M147,"3M","f",,Trigger)</f>
        <v>46553</v>
      </c>
      <c r="O147" s="40" t="str">
        <f>_xll.qlMakeDatedOIS(,M147,N147,OvernightIndex,0,,,,EvaluationDate)</f>
        <v>obj_00a2a#0000</v>
      </c>
      <c r="P147" s="40" t="b">
        <f>_xll.qlInstrumentSetPricingEngine(O147,OisEngine)</f>
        <v>1</v>
      </c>
      <c r="Q147" s="38">
        <f>_xll.qlIndexFixing(Currency&amp;IborType&amp;"6M",_xll.qlInterestRateIndexFixingDate(Currency&amp;IborType&amp;"6M",M147),TRUE,AllTriggers)</f>
        <v>2.4198394918260712E-2</v>
      </c>
      <c r="R147" s="38">
        <f>_xll.qlOvernightIndexedSwapFairRate(O147,AllTriggers)</f>
        <v>2.2262769319827399E-2</v>
      </c>
      <c r="S147" s="345">
        <f t="shared" si="6"/>
        <v>1.9356255984333132E-3</v>
      </c>
    </row>
    <row r="148" spans="5:19" ht="11.25" customHeight="1" x14ac:dyDescent="0.2">
      <c r="E148" s="254"/>
      <c r="F148" s="254"/>
      <c r="G148" s="39"/>
      <c r="J148" s="39"/>
      <c r="K148" s="39"/>
      <c r="M148" s="346">
        <f>_xll.qlCalendarAdvance(Calendar,M147,"1M","f",,Trigger)</f>
        <v>46492</v>
      </c>
      <c r="N148" s="344">
        <f>_xll.qlCalendarAdvance(Calendar,M148,"3M","f",,Trigger)</f>
        <v>46583</v>
      </c>
      <c r="O148" s="40" t="str">
        <f>_xll.qlMakeDatedOIS(,M148,N148,OvernightIndex,0,,,,EvaluationDate)</f>
        <v>obj_008b2#0000</v>
      </c>
      <c r="P148" s="40" t="b">
        <f>_xll.qlInstrumentSetPricingEngine(O148,OisEngine)</f>
        <v>1</v>
      </c>
      <c r="Q148" s="38">
        <f>_xll.qlIndexFixing(Currency&amp;IborType&amp;"6M",_xll.qlInterestRateIndexFixingDate(Currency&amp;IborType&amp;"6M",M148),TRUE,AllTriggers)</f>
        <v>2.4222705870859115E-2</v>
      </c>
      <c r="R148" s="38">
        <f>_xll.qlOvernightIndexedSwapFairRate(O148,AllTriggers)</f>
        <v>2.2305219090346547E-2</v>
      </c>
      <c r="S148" s="345">
        <f t="shared" si="6"/>
        <v>1.9174867805125673E-3</v>
      </c>
    </row>
    <row r="149" spans="5:19" ht="11.25" customHeight="1" x14ac:dyDescent="0.2">
      <c r="E149" s="254"/>
      <c r="F149" s="254"/>
      <c r="G149" s="39"/>
      <c r="J149" s="39"/>
      <c r="K149" s="39"/>
      <c r="M149" s="346">
        <f>_xll.qlCalendarAdvance(Calendar,M148,"1M","f",,Trigger)</f>
        <v>46524</v>
      </c>
      <c r="N149" s="344">
        <f>_xll.qlCalendarAdvance(Calendar,M149,"3M","f",,Trigger)</f>
        <v>46616</v>
      </c>
      <c r="O149" s="40" t="str">
        <f>_xll.qlMakeDatedOIS(,M149,N149,OvernightIndex,0,,,,EvaluationDate)</f>
        <v>obj_009d7#0000</v>
      </c>
      <c r="P149" s="40" t="b">
        <f>_xll.qlInstrumentSetPricingEngine(O149,OisEngine)</f>
        <v>1</v>
      </c>
      <c r="Q149" s="38">
        <f>_xll.qlIndexFixing(Currency&amp;IborType&amp;"6M",_xll.qlInterestRateIndexFixingDate(Currency&amp;IborType&amp;"6M",M149),TRUE,AllTriggers)</f>
        <v>2.4249057797453448E-2</v>
      </c>
      <c r="R149" s="38">
        <f>_xll.qlOvernightIndexedSwapFairRate(O149,AllTriggers)</f>
        <v>2.2350463526212647E-2</v>
      </c>
      <c r="S149" s="345">
        <f t="shared" si="6"/>
        <v>1.8985942712408006E-3</v>
      </c>
    </row>
    <row r="150" spans="5:19" ht="11.25" customHeight="1" x14ac:dyDescent="0.2">
      <c r="E150" s="254"/>
      <c r="F150" s="254"/>
      <c r="G150" s="39"/>
      <c r="J150" s="39"/>
      <c r="K150" s="39"/>
      <c r="M150" s="346">
        <f>_xll.qlCalendarAdvance(Calendar,M149,"1M","f",,Trigger)</f>
        <v>46555</v>
      </c>
      <c r="N150" s="344">
        <f>_xll.qlCalendarAdvance(Calendar,M150,"3M","f",,Trigger)</f>
        <v>46647</v>
      </c>
      <c r="O150" s="40" t="str">
        <f>_xll.qlMakeDatedOIS(,M150,N150,OvernightIndex,0,,,,EvaluationDate)</f>
        <v>obj_008fd#0000</v>
      </c>
      <c r="P150" s="40" t="b">
        <f>_xll.qlInstrumentSetPricingEngine(O150,OisEngine)</f>
        <v>1</v>
      </c>
      <c r="Q150" s="38">
        <f>_xll.qlIndexFixing(Currency&amp;IborType&amp;"6M",_xll.qlInterestRateIndexFixingDate(Currency&amp;IborType&amp;"6M",M150),TRUE,AllTriggers)</f>
        <v>2.4271126647218515E-2</v>
      </c>
      <c r="R150" s="38">
        <f>_xll.qlOvernightIndexedSwapFairRate(O150,AllTriggers)</f>
        <v>2.2391633258832196E-2</v>
      </c>
      <c r="S150" s="345">
        <f t="shared" si="6"/>
        <v>1.8794933883863191E-3</v>
      </c>
    </row>
    <row r="151" spans="5:19" ht="11.25" customHeight="1" x14ac:dyDescent="0.2">
      <c r="E151" s="254"/>
      <c r="F151" s="254"/>
      <c r="G151" s="39"/>
      <c r="J151" s="39"/>
      <c r="K151" s="39"/>
      <c r="M151" s="346">
        <f>_xll.qlCalendarAdvance(Calendar,M150,"1M","f",,Trigger)</f>
        <v>46587</v>
      </c>
      <c r="N151" s="344">
        <f>_xll.qlCalendarAdvance(Calendar,M151,"3M","f",,Trigger)</f>
        <v>46679</v>
      </c>
      <c r="O151" s="40" t="str">
        <f>_xll.qlMakeDatedOIS(,M151,N151,OvernightIndex,0,,,,EvaluationDate)</f>
        <v>obj_008a5#0000</v>
      </c>
      <c r="P151" s="40" t="b">
        <f>_xll.qlInstrumentSetPricingEngine(O151,OisEngine)</f>
        <v>1</v>
      </c>
      <c r="Q151" s="38">
        <f>_xll.qlIndexFixing(Currency&amp;IborType&amp;"6M",_xll.qlInterestRateIndexFixingDate(Currency&amp;IborType&amp;"6M",M151),TRUE,AllTriggers)</f>
        <v>2.4295096054956236E-2</v>
      </c>
      <c r="R151" s="38">
        <f>_xll.qlOvernightIndexedSwapFairRate(O151,AllTriggers)</f>
        <v>2.2432760202109239E-2</v>
      </c>
      <c r="S151" s="345">
        <f t="shared" si="6"/>
        <v>1.8623358528469976E-3</v>
      </c>
    </row>
    <row r="152" spans="5:19" ht="11.25" customHeight="1" x14ac:dyDescent="0.2">
      <c r="E152" s="254"/>
      <c r="F152" s="254"/>
      <c r="G152" s="39"/>
      <c r="J152" s="39"/>
      <c r="K152" s="39"/>
      <c r="M152" s="346">
        <f>_xll.qlCalendarAdvance(Calendar,M151,"1M","f",,Trigger)</f>
        <v>46618</v>
      </c>
      <c r="N152" s="344">
        <f>_xll.qlCalendarAdvance(Calendar,M152,"3M","f",,Trigger)</f>
        <v>46710</v>
      </c>
      <c r="O152" s="40" t="str">
        <f>_xll.qlMakeDatedOIS(,M152,N152,OvernightIndex,0,,,,EvaluationDate)</f>
        <v>obj_00664#0000</v>
      </c>
      <c r="P152" s="40" t="b">
        <f>_xll.qlInstrumentSetPricingEngine(O152,OisEngine)</f>
        <v>1</v>
      </c>
      <c r="Q152" s="38">
        <f>_xll.qlIndexFixing(Currency&amp;IborType&amp;"6M",_xll.qlInterestRateIndexFixingDate(Currency&amp;IborType&amp;"6M",M152),TRUE,AllTriggers)</f>
        <v>2.4318309255389414E-2</v>
      </c>
      <c r="R152" s="38">
        <f>_xll.qlOvernightIndexedSwapFairRate(O152,AllTriggers)</f>
        <v>2.2471273881313324E-2</v>
      </c>
      <c r="S152" s="345">
        <f t="shared" si="6"/>
        <v>1.8470353740760899E-3</v>
      </c>
    </row>
    <row r="153" spans="5:19" ht="11.25" customHeight="1" x14ac:dyDescent="0.2">
      <c r="E153" s="254"/>
      <c r="F153" s="254"/>
      <c r="G153" s="39"/>
      <c r="J153" s="39"/>
      <c r="K153" s="39"/>
      <c r="M153" s="346">
        <f>_xll.qlCalendarAdvance(Calendar,M152,"1M","f",,Trigger)</f>
        <v>46650</v>
      </c>
      <c r="N153" s="344">
        <f>_xll.qlCalendarAdvance(Calendar,M153,"3M","f",,Trigger)</f>
        <v>46741</v>
      </c>
      <c r="O153" s="40" t="str">
        <f>_xll.qlMakeDatedOIS(,M153,N153,OvernightIndex,0,,,,EvaluationDate)</f>
        <v>obj_00934#0000</v>
      </c>
      <c r="P153" s="40" t="b">
        <f>_xll.qlInstrumentSetPricingEngine(O153,OisEngine)</f>
        <v>1</v>
      </c>
      <c r="Q153" s="38">
        <f>_xll.qlIndexFixing(Currency&amp;IborType&amp;"6M",_xll.qlInterestRateIndexFixingDate(Currency&amp;IborType&amp;"6M",M153),TRUE,AllTriggers)</f>
        <v>2.4334285436551119E-2</v>
      </c>
      <c r="R153" s="38">
        <f>_xll.qlOvernightIndexedSwapFairRate(O153,AllTriggers)</f>
        <v>2.2508377992530332E-2</v>
      </c>
      <c r="S153" s="345">
        <f t="shared" si="6"/>
        <v>1.825907444020787E-3</v>
      </c>
    </row>
    <row r="154" spans="5:19" ht="11.25" customHeight="1" x14ac:dyDescent="0.2">
      <c r="E154" s="254"/>
      <c r="F154" s="254"/>
      <c r="G154" s="39"/>
      <c r="J154" s="39"/>
      <c r="K154" s="39"/>
      <c r="M154" s="346">
        <f>_xll.qlCalendarAdvance(Calendar,M153,"1M","f",,Trigger)</f>
        <v>46680</v>
      </c>
      <c r="N154" s="344">
        <f>_xll.qlCalendarAdvance(Calendar,M154,"3M","f",,Trigger)</f>
        <v>46772</v>
      </c>
      <c r="O154" s="40" t="str">
        <f>_xll.qlMakeDatedOIS(,M154,N154,OvernightIndex,0,,,,EvaluationDate)</f>
        <v>obj_008e2#0000</v>
      </c>
      <c r="P154" s="40" t="b">
        <f>_xll.qlInstrumentSetPricingEngine(O154,OisEngine)</f>
        <v>1</v>
      </c>
      <c r="Q154" s="38">
        <f>_xll.qlIndexFixing(Currency&amp;IborType&amp;"6M",_xll.qlInterestRateIndexFixingDate(Currency&amp;IborType&amp;"6M",M154),TRUE,AllTriggers)</f>
        <v>2.4353508814517606E-2</v>
      </c>
      <c r="R154" s="38">
        <f>_xll.qlOvernightIndexedSwapFairRate(O154,AllTriggers)</f>
        <v>2.2544380185289911E-2</v>
      </c>
      <c r="S154" s="345">
        <f t="shared" si="6"/>
        <v>1.8091286292276944E-3</v>
      </c>
    </row>
    <row r="155" spans="5:19" ht="11.25" customHeight="1" x14ac:dyDescent="0.2">
      <c r="E155" s="254"/>
      <c r="F155" s="254"/>
      <c r="G155" s="39"/>
      <c r="J155" s="39"/>
      <c r="K155" s="39"/>
      <c r="M155" s="346">
        <f>_xll.qlCalendarAdvance(Calendar,M154,"1M","f",,Trigger)</f>
        <v>46713</v>
      </c>
      <c r="N155" s="344">
        <f>_xll.qlCalendarAdvance(Calendar,M155,"3M","f",,Trigger)</f>
        <v>46805</v>
      </c>
      <c r="O155" s="40" t="str">
        <f>_xll.qlMakeDatedOIS(,M155,N155,OvernightIndex,0,,,,EvaluationDate)</f>
        <v>obj_00668#0000</v>
      </c>
      <c r="P155" s="40" t="b">
        <f>_xll.qlInstrumentSetPricingEngine(O155,OisEngine)</f>
        <v>1</v>
      </c>
      <c r="Q155" s="38">
        <f>_xll.qlIndexFixing(Currency&amp;IborType&amp;"6M",_xll.qlInterestRateIndexFixingDate(Currency&amp;IborType&amp;"6M",M155),TRUE,AllTriggers)</f>
        <v>2.4371141978367872E-2</v>
      </c>
      <c r="R155" s="38">
        <f>_xll.qlOvernightIndexedSwapFairRate(O155,AllTriggers)</f>
        <v>2.25811596298581E-2</v>
      </c>
      <c r="S155" s="345">
        <f t="shared" si="6"/>
        <v>1.7899823485097721E-3</v>
      </c>
    </row>
    <row r="156" spans="5:19" ht="11.25" customHeight="1" x14ac:dyDescent="0.2">
      <c r="E156" s="254"/>
      <c r="F156" s="254"/>
      <c r="G156" s="39"/>
      <c r="J156" s="39"/>
      <c r="K156" s="39"/>
      <c r="M156" s="346">
        <f>_xll.qlCalendarAdvance(Calendar,M155,"1M","f",,Trigger)</f>
        <v>46743</v>
      </c>
      <c r="N156" s="344">
        <f>_xll.qlCalendarAdvance(Calendar,M156,"3M","f",,Trigger)</f>
        <v>46834</v>
      </c>
      <c r="O156" s="40" t="str">
        <f>_xll.qlMakeDatedOIS(,M156,N156,OvernightIndex,0,,,,EvaluationDate)</f>
        <v>obj_0088f#0000</v>
      </c>
      <c r="P156" s="40" t="b">
        <f>_xll.qlInstrumentSetPricingEngine(O156,OisEngine)</f>
        <v>1</v>
      </c>
      <c r="Q156" s="38">
        <f>_xll.qlIndexFixing(Currency&amp;IborType&amp;"6M",_xll.qlInterestRateIndexFixingDate(Currency&amp;IborType&amp;"6M",M156),TRUE,AllTriggers)</f>
        <v>2.4388128689546849E-2</v>
      </c>
      <c r="R156" s="38">
        <f>_xll.qlOvernightIndexedSwapFairRate(O156,AllTriggers)</f>
        <v>2.2612085886681378E-2</v>
      </c>
      <c r="S156" s="345">
        <f t="shared" si="6"/>
        <v>1.7760428028654705E-3</v>
      </c>
    </row>
    <row r="157" spans="5:19" ht="11.25" customHeight="1" x14ac:dyDescent="0.2">
      <c r="E157" s="254"/>
      <c r="F157" s="254"/>
      <c r="G157" s="39"/>
      <c r="J157" s="39"/>
      <c r="K157" s="39"/>
      <c r="M157" s="346">
        <f>_xll.qlCalendarAdvance(Calendar,M156,"1M","f",,Trigger)</f>
        <v>46776</v>
      </c>
      <c r="N157" s="344">
        <f>_xll.qlCalendarAdvance(Calendar,M157,"3M","f",,Trigger)</f>
        <v>46867</v>
      </c>
      <c r="O157" s="40" t="str">
        <f>_xll.qlMakeDatedOIS(,M157,N157,OvernightIndex,0,,,,EvaluationDate)</f>
        <v>obj_0066b#0000</v>
      </c>
      <c r="P157" s="40" t="b">
        <f>_xll.qlInstrumentSetPricingEngine(O157,OisEngine)</f>
        <v>1</v>
      </c>
      <c r="Q157" s="38">
        <f>_xll.qlIndexFixing(Currency&amp;IborType&amp;"6M",_xll.qlInterestRateIndexFixingDate(Currency&amp;IborType&amp;"6M",M157),TRUE,AllTriggers)</f>
        <v>2.4403373647697443E-2</v>
      </c>
      <c r="R157" s="38">
        <f>_xll.qlOvernightIndexedSwapFairRate(O157,AllTriggers)</f>
        <v>2.2646057834888877E-2</v>
      </c>
      <c r="S157" s="345">
        <f t="shared" si="6"/>
        <v>1.7573158128085659E-3</v>
      </c>
    </row>
    <row r="158" spans="5:19" ht="11.25" customHeight="1" x14ac:dyDescent="0.2">
      <c r="E158" s="254"/>
      <c r="F158" s="254"/>
      <c r="G158" s="39"/>
      <c r="J158" s="39"/>
      <c r="K158" s="39"/>
      <c r="M158" s="346">
        <f>_xll.qlCalendarAdvance(Calendar,M157,"1M","f",,Trigger)</f>
        <v>46807</v>
      </c>
      <c r="N158" s="344">
        <f>_xll.qlCalendarAdvance(Calendar,M158,"3M","f",,Trigger)</f>
        <v>46897</v>
      </c>
      <c r="O158" s="40" t="str">
        <f>_xll.qlMakeDatedOIS(,M158,N158,OvernightIndex,0,,,,EvaluationDate)</f>
        <v>obj_00a29#0000</v>
      </c>
      <c r="P158" s="40" t="b">
        <f>_xll.qlInstrumentSetPricingEngine(O158,OisEngine)</f>
        <v>1</v>
      </c>
      <c r="Q158" s="38">
        <f>_xll.qlIndexFixing(Currency&amp;IborType&amp;"6M",_xll.qlInterestRateIndexFixingDate(Currency&amp;IborType&amp;"6M",M158),TRUE,AllTriggers)</f>
        <v>2.4417535838609745E-2</v>
      </c>
      <c r="R158" s="38">
        <f>_xll.qlOvernightIndexedSwapFairRate(O158,AllTriggers)</f>
        <v>2.2675436476995436E-2</v>
      </c>
      <c r="S158" s="345">
        <f t="shared" si="6"/>
        <v>1.7420993616143084E-3</v>
      </c>
    </row>
    <row r="159" spans="5:19" ht="11.25" customHeight="1" x14ac:dyDescent="0.2">
      <c r="E159" s="254"/>
      <c r="F159" s="254"/>
      <c r="G159" s="39"/>
      <c r="J159" s="39"/>
      <c r="K159" s="39"/>
      <c r="M159" s="346">
        <f>_xll.qlCalendarAdvance(Calendar,M158,"1M","f",,Trigger)</f>
        <v>46836</v>
      </c>
      <c r="N159" s="344">
        <f>_xll.qlCalendarAdvance(Calendar,M159,"3M","f",,Trigger)</f>
        <v>46930</v>
      </c>
      <c r="O159" s="40" t="str">
        <f>_xll.qlMakeDatedOIS(,M159,N159,OvernightIndex,0,,,,EvaluationDate)</f>
        <v>obj_0066e#0000</v>
      </c>
      <c r="P159" s="40" t="b">
        <f>_xll.qlInstrumentSetPricingEngine(O159,OisEngine)</f>
        <v>1</v>
      </c>
      <c r="Q159" s="38">
        <f>_xll.qlIndexFixing(Currency&amp;IborType&amp;"6M",_xll.qlInterestRateIndexFixingDate(Currency&amp;IborType&amp;"6M",M159),TRUE,AllTriggers)</f>
        <v>2.4432800036740698E-2</v>
      </c>
      <c r="R159" s="38">
        <f>_xll.qlOvernightIndexedSwapFairRate(O159,AllTriggers)</f>
        <v>2.2707529385438428E-2</v>
      </c>
      <c r="S159" s="345">
        <f t="shared" si="6"/>
        <v>1.72527065130227E-3</v>
      </c>
    </row>
    <row r="160" spans="5:19" ht="11.25" customHeight="1" x14ac:dyDescent="0.2">
      <c r="E160" s="254"/>
      <c r="F160" s="254"/>
      <c r="G160" s="39"/>
      <c r="J160" s="39"/>
      <c r="K160" s="39"/>
      <c r="M160" s="346">
        <f>_xll.qlCalendarAdvance(Calendar,M159,"1M","f",,Trigger)</f>
        <v>46867</v>
      </c>
      <c r="N160" s="344">
        <f>_xll.qlCalendarAdvance(Calendar,M160,"3M","f",,Trigger)</f>
        <v>46958</v>
      </c>
      <c r="O160" s="40" t="str">
        <f>_xll.qlMakeDatedOIS(,M160,N160,OvernightIndex,0,,,,EvaluationDate)</f>
        <v>obj_00670#0000</v>
      </c>
      <c r="P160" s="40" t="b">
        <f>_xll.qlInstrumentSetPricingEngine(O160,OisEngine)</f>
        <v>1</v>
      </c>
      <c r="Q160" s="38">
        <f>_xll.qlIndexFixing(Currency&amp;IborType&amp;"6M",_xll.qlInterestRateIndexFixingDate(Currency&amp;IborType&amp;"6M",M160),TRUE,AllTriggers)</f>
        <v>2.4442758075403366E-2</v>
      </c>
      <c r="R160" s="38">
        <f>_xll.qlOvernightIndexedSwapFairRate(O160,AllTriggers)</f>
        <v>2.2732063996650575E-2</v>
      </c>
      <c r="S160" s="345">
        <f t="shared" si="6"/>
        <v>1.7106940787527912E-3</v>
      </c>
    </row>
    <row r="161" spans="5:19" ht="11.25" customHeight="1" x14ac:dyDescent="0.2">
      <c r="E161" s="254"/>
      <c r="F161" s="254"/>
      <c r="G161" s="39"/>
      <c r="J161" s="39"/>
      <c r="K161" s="39"/>
      <c r="M161" s="346">
        <f>_xll.qlCalendarAdvance(Calendar,M160,"1M","f",,Trigger)</f>
        <v>46897</v>
      </c>
      <c r="N161" s="344">
        <f>_xll.qlCalendarAdvance(Calendar,M161,"3M","f",,Trigger)</f>
        <v>46989</v>
      </c>
      <c r="O161" s="40" t="str">
        <f>_xll.qlMakeDatedOIS(,M161,N161,OvernightIndex,0,,,,EvaluationDate)</f>
        <v>obj_0094d#0000</v>
      </c>
      <c r="P161" s="40" t="b">
        <f>_xll.qlInstrumentSetPricingEngine(O161,OisEngine)</f>
        <v>1</v>
      </c>
      <c r="Q161" s="38">
        <f>_xll.qlIndexFixing(Currency&amp;IborType&amp;"6M",_xll.qlInterestRateIndexFixingDate(Currency&amp;IborType&amp;"6M",M161),TRUE,AllTriggers)</f>
        <v>2.4454258535630959E-2</v>
      </c>
      <c r="R161" s="38">
        <f>_xll.qlOvernightIndexedSwapFairRate(O161,AllTriggers)</f>
        <v>2.2759077558110873E-2</v>
      </c>
      <c r="S161" s="345">
        <f t="shared" si="6"/>
        <v>1.6951809775200867E-3</v>
      </c>
    </row>
    <row r="162" spans="5:19" ht="11.25" customHeight="1" x14ac:dyDescent="0.2">
      <c r="E162" s="254"/>
      <c r="F162" s="254"/>
      <c r="G162" s="39"/>
      <c r="J162" s="39"/>
      <c r="K162" s="39"/>
      <c r="M162" s="346">
        <f>_xll.qlCalendarAdvance(Calendar,M161,"1M","f",,Trigger)</f>
        <v>46930</v>
      </c>
      <c r="N162" s="344">
        <f>_xll.qlCalendarAdvance(Calendar,M162,"3M","f",,Trigger)</f>
        <v>47022</v>
      </c>
      <c r="O162" s="40" t="str">
        <f>_xll.qlMakeDatedOIS(,M162,N162,OvernightIndex,0,,,,EvaluationDate)</f>
        <v>obj_0099e#0000</v>
      </c>
      <c r="P162" s="40" t="b">
        <f>_xll.qlInstrumentSetPricingEngine(O162,OisEngine)</f>
        <v>1</v>
      </c>
      <c r="Q162" s="38">
        <f>_xll.qlIndexFixing(Currency&amp;IborType&amp;"6M",_xll.qlInterestRateIndexFixingDate(Currency&amp;IborType&amp;"6M",M162),TRUE,AllTriggers)</f>
        <v>2.4464605608046787E-2</v>
      </c>
      <c r="R162" s="38">
        <f>_xll.qlOvernightIndexedSwapFairRate(O162,AllTriggers)</f>
        <v>2.2786116201669787E-2</v>
      </c>
      <c r="S162" s="345">
        <f t="shared" si="6"/>
        <v>1.6784894063769998E-3</v>
      </c>
    </row>
    <row r="163" spans="5:19" ht="11.25" customHeight="1" x14ac:dyDescent="0.2">
      <c r="E163" s="254"/>
      <c r="F163" s="254"/>
      <c r="G163" s="39"/>
      <c r="J163" s="39"/>
      <c r="K163" s="39"/>
      <c r="M163" s="346">
        <f>_xll.qlCalendarAdvance(Calendar,M162,"1M","f",,Trigger)</f>
        <v>46960</v>
      </c>
      <c r="N163" s="344">
        <f>_xll.qlCalendarAdvance(Calendar,M163,"3M","f",,Trigger)</f>
        <v>47052</v>
      </c>
      <c r="O163" s="40" t="str">
        <f>_xll.qlMakeDatedOIS(,M163,N163,OvernightIndex,0,,,,EvaluationDate)</f>
        <v>obj_008f6#0000</v>
      </c>
      <c r="P163" s="40" t="b">
        <f>_xll.qlInstrumentSetPricingEngine(O163,OisEngine)</f>
        <v>1</v>
      </c>
      <c r="Q163" s="38">
        <f>_xll.qlIndexFixing(Currency&amp;IborType&amp;"6M",_xll.qlInterestRateIndexFixingDate(Currency&amp;IborType&amp;"6M",M163),TRUE,AllTriggers)</f>
        <v>2.4472910577583648E-2</v>
      </c>
      <c r="R163" s="38">
        <f>_xll.qlOvernightIndexedSwapFairRate(O163,AllTriggers)</f>
        <v>2.2809411233960762E-2</v>
      </c>
      <c r="S163" s="345">
        <f t="shared" si="6"/>
        <v>1.6634993436228859E-3</v>
      </c>
    </row>
    <row r="164" spans="5:19" ht="11.25" customHeight="1" x14ac:dyDescent="0.2">
      <c r="E164" s="254"/>
      <c r="F164" s="254"/>
      <c r="G164" s="39"/>
      <c r="J164" s="39"/>
      <c r="K164" s="39"/>
      <c r="M164" s="346">
        <f>_xll.qlCalendarAdvance(Calendar,M163,"1M","f",,Trigger)</f>
        <v>46993</v>
      </c>
      <c r="N164" s="344">
        <f>_xll.qlCalendarAdvance(Calendar,M164,"3M","f",,Trigger)</f>
        <v>47085</v>
      </c>
      <c r="O164" s="40" t="str">
        <f>_xll.qlMakeDatedOIS(,M164,N164,OvernightIndex,0,,,,EvaluationDate)</f>
        <v>obj_00674#0000</v>
      </c>
      <c r="P164" s="40" t="b">
        <f>_xll.qlInstrumentSetPricingEngine(O164,OisEngine)</f>
        <v>1</v>
      </c>
      <c r="Q164" s="38">
        <f>_xll.qlIndexFixing(Currency&amp;IborType&amp;"6M",_xll.qlInterestRateIndexFixingDate(Currency&amp;IborType&amp;"6M",M164),TRUE,AllTriggers)</f>
        <v>2.4480834421893475E-2</v>
      </c>
      <c r="R164" s="38">
        <f>_xll.qlOvernightIndexedSwapFairRate(O164,AllTriggers)</f>
        <v>2.2833621634654553E-2</v>
      </c>
      <c r="S164" s="345">
        <f t="shared" si="6"/>
        <v>1.6472127872389219E-3</v>
      </c>
    </row>
    <row r="165" spans="5:19" ht="11.25" customHeight="1" x14ac:dyDescent="0.2">
      <c r="E165" s="254"/>
      <c r="F165" s="254"/>
      <c r="G165" s="39"/>
      <c r="J165" s="39"/>
      <c r="K165" s="39"/>
      <c r="M165" s="346">
        <f>_xll.qlCalendarAdvance(Calendar,M164,"1M","f",,Trigger)</f>
        <v>47024</v>
      </c>
      <c r="N165" s="344">
        <f>_xll.qlCalendarAdvance(Calendar,M165,"3M","f",,Trigger)</f>
        <v>47115</v>
      </c>
      <c r="O165" s="40" t="str">
        <f>_xll.qlMakeDatedOIS(,M165,N165,OvernightIndex,0,,,,EvaluationDate)</f>
        <v>obj_00676#0000</v>
      </c>
      <c r="P165" s="40" t="b">
        <f>_xll.qlInstrumentSetPricingEngine(O165,OisEngine)</f>
        <v>1</v>
      </c>
      <c r="Q165" s="38">
        <f>_xll.qlIndexFixing(Currency&amp;IborType&amp;"6M",_xll.qlInterestRateIndexFixingDate(Currency&amp;IborType&amp;"6M",M165),TRUE,AllTriggers)</f>
        <v>2.4484408666677664E-2</v>
      </c>
      <c r="R165" s="38">
        <f>_xll.qlOvernightIndexedSwapFairRate(O165,AllTriggers)</f>
        <v>2.2853966844616009E-2</v>
      </c>
      <c r="S165" s="345">
        <f t="shared" si="6"/>
        <v>1.6304418220616547E-3</v>
      </c>
    </row>
    <row r="166" spans="5:19" ht="11.25" customHeight="1" x14ac:dyDescent="0.2">
      <c r="E166" s="254"/>
      <c r="F166" s="254"/>
      <c r="G166" s="39"/>
      <c r="J166" s="39"/>
      <c r="K166" s="39"/>
      <c r="M166" s="346">
        <f>_xll.qlCalendarAdvance(Calendar,M165,"1M","f",,Trigger)</f>
        <v>47056</v>
      </c>
      <c r="N166" s="344">
        <f>_xll.qlCalendarAdvance(Calendar,M166,"3M","f",,Trigger)</f>
        <v>47148</v>
      </c>
      <c r="O166" s="40" t="str">
        <f>_xll.qlMakeDatedOIS(,M166,N166,OvernightIndex,0,,,,EvaluationDate)</f>
        <v>obj_00933#0000</v>
      </c>
      <c r="P166" s="40" t="b">
        <f>_xll.qlInstrumentSetPricingEngine(O166,OisEngine)</f>
        <v>1</v>
      </c>
      <c r="Q166" s="38">
        <f>_xll.qlIndexFixing(Currency&amp;IborType&amp;"6M",_xll.qlInterestRateIndexFixingDate(Currency&amp;IborType&amp;"6M",M166),TRUE,AllTriggers)</f>
        <v>2.4490665176316487E-2</v>
      </c>
      <c r="R166" s="38">
        <f>_xll.qlOvernightIndexedSwapFairRate(O166,AllTriggers)</f>
        <v>2.2875727548614378E-2</v>
      </c>
      <c r="S166" s="345">
        <f t="shared" si="6"/>
        <v>1.6149376277021094E-3</v>
      </c>
    </row>
    <row r="167" spans="5:19" ht="11.25" customHeight="1" x14ac:dyDescent="0.2">
      <c r="E167" s="254"/>
      <c r="F167" s="254"/>
      <c r="G167" s="39"/>
      <c r="J167" s="39"/>
      <c r="K167" s="39"/>
      <c r="M167" s="346">
        <f>_xll.qlCalendarAdvance(Calendar,M166,"1M","f",,Trigger)</f>
        <v>47087</v>
      </c>
      <c r="N167" s="344">
        <f>_xll.qlCalendarAdvance(Calendar,M167,"3M","f",,Trigger)</f>
        <v>47177</v>
      </c>
      <c r="O167" s="40" t="str">
        <f>_xll.qlMakeDatedOIS(,M167,N167,OvernightIndex,0,,,,EvaluationDate)</f>
        <v>obj_0088e#0000</v>
      </c>
      <c r="P167" s="40" t="b">
        <f>_xll.qlInstrumentSetPricingEngine(O167,OisEngine)</f>
        <v>1</v>
      </c>
      <c r="Q167" s="38">
        <f>_xll.qlIndexFixing(Currency&amp;IborType&amp;"6M",_xll.qlInterestRateIndexFixingDate(Currency&amp;IborType&amp;"6M",M167),TRUE,AllTriggers)</f>
        <v>2.4494711666092708E-2</v>
      </c>
      <c r="R167" s="38">
        <f>_xll.qlOvernightIndexedSwapFairRate(O167,AllTriggers)</f>
        <v>2.2892447751884148E-2</v>
      </c>
      <c r="S167" s="345">
        <f t="shared" si="6"/>
        <v>1.6022639142085592E-3</v>
      </c>
    </row>
    <row r="168" spans="5:19" ht="11.25" customHeight="1" x14ac:dyDescent="0.2">
      <c r="E168" s="254"/>
      <c r="F168" s="254"/>
      <c r="G168" s="39"/>
      <c r="J168" s="39"/>
      <c r="K168" s="39"/>
      <c r="M168" s="346">
        <f>_xll.qlCalendarAdvance(Calendar,M167,"1M","f",,Trigger)</f>
        <v>47120</v>
      </c>
      <c r="N168" s="344">
        <f>_xll.qlCalendarAdvance(Calendar,M168,"3M","f",,Trigger)</f>
        <v>47211</v>
      </c>
      <c r="O168" s="40" t="str">
        <f>_xll.qlMakeDatedOIS(,M168,N168,OvernightIndex,0,,,,EvaluationDate)</f>
        <v>obj_00a28#0000</v>
      </c>
      <c r="P168" s="40" t="b">
        <f>_xll.qlInstrumentSetPricingEngine(O168,OisEngine)</f>
        <v>1</v>
      </c>
      <c r="Q168" s="38">
        <f>_xll.qlIndexFixing(Currency&amp;IborType&amp;"6M",_xll.qlInterestRateIndexFixingDate(Currency&amp;IborType&amp;"6M",M168),TRUE,AllTriggers)</f>
        <v>2.4496938877127439E-2</v>
      </c>
      <c r="R168" s="38">
        <f>_xll.qlOvernightIndexedSwapFairRate(O168,AllTriggers)</f>
        <v>2.2911986144299765E-2</v>
      </c>
      <c r="S168" s="345">
        <f t="shared" si="6"/>
        <v>1.5849527328276741E-3</v>
      </c>
    </row>
    <row r="169" spans="5:19" ht="11.25" customHeight="1" x14ac:dyDescent="0.2">
      <c r="E169" s="254"/>
      <c r="F169" s="254"/>
      <c r="G169" s="39"/>
      <c r="J169" s="39"/>
      <c r="K169" s="39"/>
      <c r="M169" s="346">
        <f>_xll.qlCalendarAdvance(Calendar,M168,"1M","f",,Trigger)</f>
        <v>47151</v>
      </c>
      <c r="N169" s="344">
        <f>_xll.qlCalendarAdvance(Calendar,M169,"3M","f",,Trigger)</f>
        <v>47240</v>
      </c>
      <c r="O169" s="40" t="str">
        <f>_xll.qlMakeDatedOIS(,M169,N169,OvernightIndex,0,,,,EvaluationDate)</f>
        <v>obj_00903#0000</v>
      </c>
      <c r="P169" s="40" t="b">
        <f>_xll.qlInstrumentSetPricingEngine(O169,OisEngine)</f>
        <v>1</v>
      </c>
      <c r="Q169" s="38">
        <f>_xll.qlIndexFixing(Currency&amp;IborType&amp;"6M",_xll.qlInterestRateIndexFixingDate(Currency&amp;IborType&amp;"6M",M169),TRUE,AllTriggers)</f>
        <v>2.4498691025202246E-2</v>
      </c>
      <c r="R169" s="38">
        <f>_xll.qlOvernightIndexedSwapFairRate(O169,AllTriggers)</f>
        <v>2.2926109084618833E-2</v>
      </c>
      <c r="S169" s="345">
        <f t="shared" si="6"/>
        <v>1.5725819405834132E-3</v>
      </c>
    </row>
    <row r="170" spans="5:19" ht="11.25" customHeight="1" x14ac:dyDescent="0.2">
      <c r="E170" s="254"/>
      <c r="F170" s="254"/>
      <c r="G170" s="39"/>
      <c r="J170" s="39"/>
      <c r="K170" s="39"/>
      <c r="M170" s="346">
        <f>_xll.qlCalendarAdvance(Calendar,M169,"1M","f",,Trigger)</f>
        <v>47179</v>
      </c>
      <c r="N170" s="344">
        <f>_xll.qlCalendarAdvance(Calendar,M170,"3M","f",,Trigger)</f>
        <v>47273</v>
      </c>
      <c r="O170" s="40" t="str">
        <f>_xll.qlMakeDatedOIS(,M170,N170,OvernightIndex,0,,,,EvaluationDate)</f>
        <v>obj_009d5#0000</v>
      </c>
      <c r="P170" s="40" t="b">
        <f>_xll.qlInstrumentSetPricingEngine(O170,OisEngine)</f>
        <v>1</v>
      </c>
      <c r="Q170" s="38">
        <f>_xll.qlIndexFixing(Currency&amp;IborType&amp;"6M",_xll.qlInterestRateIndexFixingDate(Currency&amp;IborType&amp;"6M",M170),TRUE,AllTriggers)</f>
        <v>2.4502570437363487E-2</v>
      </c>
      <c r="R170" s="38">
        <f>_xll.qlOvernightIndexedSwapFairRate(O170,AllTriggers)</f>
        <v>2.2944267556488891E-2</v>
      </c>
      <c r="S170" s="345">
        <f t="shared" si="6"/>
        <v>1.5583028808745965E-3</v>
      </c>
    </row>
    <row r="171" spans="5:19" ht="11.25" customHeight="1" x14ac:dyDescent="0.2">
      <c r="E171" s="254"/>
      <c r="F171" s="254"/>
      <c r="G171" s="39"/>
      <c r="J171" s="39"/>
      <c r="K171" s="39"/>
      <c r="M171" s="346">
        <f>_xll.qlCalendarAdvance(Calendar,M170,"1M","f",,Trigger)</f>
        <v>47211</v>
      </c>
      <c r="N171" s="344">
        <f>_xll.qlCalendarAdvance(Calendar,M171,"3M","f",,Trigger)</f>
        <v>47302</v>
      </c>
      <c r="O171" s="40" t="str">
        <f>_xll.qlMakeDatedOIS(,M171,N171,OvernightIndex,0,,,,EvaluationDate)</f>
        <v>obj_0099d#0000</v>
      </c>
      <c r="P171" s="40" t="b">
        <f>_xll.qlInstrumentSetPricingEngine(O171,OisEngine)</f>
        <v>1</v>
      </c>
      <c r="Q171" s="38">
        <f>_xll.qlIndexFixing(Currency&amp;IborType&amp;"6M",_xll.qlInterestRateIndexFixingDate(Currency&amp;IborType&amp;"6M",M171),TRUE,AllTriggers)</f>
        <v>2.4500493825693758E-2</v>
      </c>
      <c r="R171" s="38">
        <f>_xll.qlOvernightIndexedSwapFairRate(O171,AllTriggers)</f>
        <v>2.2955408488563308E-2</v>
      </c>
      <c r="S171" s="345">
        <f t="shared" si="6"/>
        <v>1.5450853371304502E-3</v>
      </c>
    </row>
    <row r="172" spans="5:19" ht="11.25" customHeight="1" x14ac:dyDescent="0.2">
      <c r="E172" s="254"/>
      <c r="F172" s="254"/>
      <c r="G172" s="39"/>
      <c r="J172" s="39"/>
      <c r="K172" s="39"/>
      <c r="M172" s="346">
        <f>_xll.qlCalendarAdvance(Calendar,M171,"1M","f",,Trigger)</f>
        <v>47241</v>
      </c>
      <c r="N172" s="344">
        <f>_xll.qlCalendarAdvance(Calendar,M172,"3M","f",,Trigger)</f>
        <v>47333</v>
      </c>
      <c r="O172" s="40" t="str">
        <f>_xll.qlMakeDatedOIS(,M172,N172,OvernightIndex,0,,,,EvaluationDate)</f>
        <v>obj_008a4#0000</v>
      </c>
      <c r="P172" s="40" t="b">
        <f>_xll.qlInstrumentSetPricingEngine(O172,OisEngine)</f>
        <v>1</v>
      </c>
      <c r="Q172" s="38">
        <f>_xll.qlIndexFixing(Currency&amp;IborType&amp;"6M",_xll.qlInterestRateIndexFixingDate(Currency&amp;IborType&amp;"6M",M172),TRUE,AllTriggers)</f>
        <v>2.4501324476379524E-2</v>
      </c>
      <c r="R172" s="38">
        <f>_xll.qlOvernightIndexedSwapFairRate(O172,AllTriggers)</f>
        <v>2.2968162248811028E-2</v>
      </c>
      <c r="S172" s="345">
        <f t="shared" si="6"/>
        <v>1.5331622275684964E-3</v>
      </c>
    </row>
    <row r="173" spans="5:19" ht="11.25" customHeight="1" x14ac:dyDescent="0.2">
      <c r="E173" s="254"/>
      <c r="F173" s="254"/>
      <c r="G173" s="39"/>
      <c r="J173" s="39"/>
      <c r="K173" s="39"/>
      <c r="M173" s="346">
        <f>_xll.qlCalendarAdvance(Calendar,M172,"1M","f",,Trigger)</f>
        <v>47273</v>
      </c>
      <c r="N173" s="344">
        <f>_xll.qlCalendarAdvance(Calendar,M173,"3M","f",,Trigger)</f>
        <v>47365</v>
      </c>
      <c r="O173" s="40" t="str">
        <f>_xll.qlMakeDatedOIS(,M173,N173,OvernightIndex,0,,,,EvaluationDate)</f>
        <v>obj_00932#0000</v>
      </c>
      <c r="P173" s="40" t="b">
        <f>_xll.qlInstrumentSetPricingEngine(O173,OisEngine)</f>
        <v>1</v>
      </c>
      <c r="Q173" s="38">
        <f>_xll.qlIndexFixing(Currency&amp;IborType&amp;"6M",_xll.qlInterestRateIndexFixingDate(Currency&amp;IborType&amp;"6M",M173),TRUE,AllTriggers)</f>
        <v>2.4496248681508292E-2</v>
      </c>
      <c r="R173" s="38">
        <f>_xll.qlOvernightIndexedSwapFairRate(O173,AllTriggers)</f>
        <v>2.2979427159508323E-2</v>
      </c>
      <c r="S173" s="345">
        <f t="shared" si="6"/>
        <v>1.5168215219999691E-3</v>
      </c>
    </row>
    <row r="174" spans="5:19" ht="11.25" customHeight="1" x14ac:dyDescent="0.2">
      <c r="E174" s="254"/>
      <c r="F174" s="254"/>
      <c r="G174" s="39"/>
      <c r="J174" s="39"/>
      <c r="K174" s="39"/>
      <c r="M174" s="346">
        <f>_xll.qlCalendarAdvance(Calendar,M173,"1M","f",,Trigger)</f>
        <v>47303</v>
      </c>
      <c r="N174" s="344">
        <f>_xll.qlCalendarAdvance(Calendar,M174,"3M","f",,Trigger)</f>
        <v>47395</v>
      </c>
      <c r="O174" s="40" t="str">
        <f>_xll.qlMakeDatedOIS(,M174,N174,OvernightIndex,0,,,,EvaluationDate)</f>
        <v>obj_008e0#0000</v>
      </c>
      <c r="P174" s="40" t="b">
        <f>_xll.qlInstrumentSetPricingEngine(O174,OisEngine)</f>
        <v>1</v>
      </c>
      <c r="Q174" s="38">
        <f>_xll.qlIndexFixing(Currency&amp;IborType&amp;"6M",_xll.qlInterestRateIndexFixingDate(Currency&amp;IborType&amp;"6M",M174),TRUE,AllTriggers)</f>
        <v>2.4493429045548774E-2</v>
      </c>
      <c r="R174" s="38">
        <f>_xll.qlOvernightIndexedSwapFairRate(O174,AllTriggers)</f>
        <v>2.2988722679131053E-2</v>
      </c>
      <c r="S174" s="345">
        <f t="shared" si="6"/>
        <v>1.5047063664177206E-3</v>
      </c>
    </row>
    <row r="175" spans="5:19" ht="11.25" customHeight="1" x14ac:dyDescent="0.2">
      <c r="E175" s="254"/>
      <c r="F175" s="254"/>
      <c r="G175" s="39"/>
      <c r="J175" s="39"/>
      <c r="K175" s="39"/>
      <c r="M175" s="346">
        <f>_xll.qlCalendarAdvance(Calendar,M174,"1M","f",,Trigger)</f>
        <v>47336</v>
      </c>
      <c r="N175" s="344">
        <f>_xll.qlCalendarAdvance(Calendar,M175,"3M","f",,Trigger)</f>
        <v>47428</v>
      </c>
      <c r="O175" s="40" t="str">
        <f>_xll.qlMakeDatedOIS(,M175,N175,OvernightIndex,0,,,,EvaluationDate)</f>
        <v>obj_0088d#0000</v>
      </c>
      <c r="P175" s="40" t="b">
        <f>_xll.qlInstrumentSetPricingEngine(O175,OisEngine)</f>
        <v>1</v>
      </c>
      <c r="Q175" s="38">
        <f>_xll.qlIndexFixing(Currency&amp;IborType&amp;"6M",_xll.qlInterestRateIndexFixingDate(Currency&amp;IborType&amp;"6M",M175),TRUE,AllTriggers)</f>
        <v>2.4488471146785498E-2</v>
      </c>
      <c r="R175" s="38">
        <f>_xll.qlOvernightIndexedSwapFairRate(O175,AllTriggers)</f>
        <v>2.2997533661962222E-2</v>
      </c>
      <c r="S175" s="345">
        <f t="shared" si="6"/>
        <v>1.4909374848232765E-3</v>
      </c>
    </row>
    <row r="176" spans="5:19" ht="11.25" customHeight="1" x14ac:dyDescent="0.2">
      <c r="E176" s="254"/>
      <c r="F176" s="254"/>
      <c r="G176" s="39"/>
      <c r="J176" s="39"/>
      <c r="K176" s="39"/>
      <c r="M176" s="346">
        <f>_xll.qlCalendarAdvance(Calendar,M175,"1M","f",,Trigger)</f>
        <v>47367</v>
      </c>
      <c r="N176" s="344">
        <f>_xll.qlCalendarAdvance(Calendar,M176,"3M","f",,Trigger)</f>
        <v>47458</v>
      </c>
      <c r="O176" s="40" t="str">
        <f>_xll.qlMakeDatedOIS(,M176,N176,OvernightIndex,0,,,,EvaluationDate)</f>
        <v>obj_00a27#0000</v>
      </c>
      <c r="P176" s="40" t="b">
        <f>_xll.qlInstrumentSetPricingEngine(O176,OisEngine)</f>
        <v>1</v>
      </c>
      <c r="Q176" s="38">
        <f>_xll.qlIndexFixing(Currency&amp;IborType&amp;"6M",_xll.qlInterestRateIndexFixingDate(Currency&amp;IborType&amp;"6M",M176),TRUE,AllTriggers)</f>
        <v>2.448076294152076E-2</v>
      </c>
      <c r="R176" s="38">
        <f>_xll.qlOvernightIndexedSwapFairRate(O176,AllTriggers)</f>
        <v>2.3003688105338083E-2</v>
      </c>
      <c r="S176" s="345">
        <f t="shared" si="6"/>
        <v>1.477074836182677E-3</v>
      </c>
    </row>
    <row r="177" spans="5:19" ht="11.25" customHeight="1" x14ac:dyDescent="0.2">
      <c r="E177" s="254"/>
      <c r="F177" s="254"/>
      <c r="G177" s="39"/>
      <c r="J177" s="39"/>
      <c r="K177" s="39"/>
      <c r="M177" s="346">
        <f>_xll.qlCalendarAdvance(Calendar,M176,"1M","f",,Trigger)</f>
        <v>47399</v>
      </c>
      <c r="N177" s="344">
        <f>_xll.qlCalendarAdvance(Calendar,M177,"3M","f",,Trigger)</f>
        <v>47491</v>
      </c>
      <c r="O177" s="40" t="str">
        <f>_xll.qlMakeDatedOIS(,M177,N177,OvernightIndex,0,,,,EvaluationDate)</f>
        <v>obj_009d4#0000</v>
      </c>
      <c r="P177" s="40" t="b">
        <f>_xll.qlInstrumentSetPricingEngine(O177,OisEngine)</f>
        <v>1</v>
      </c>
      <c r="Q177" s="38">
        <f>_xll.qlIndexFixing(Currency&amp;IborType&amp;"6M",_xll.qlInterestRateIndexFixingDate(Currency&amp;IborType&amp;"6M",M177),TRUE,AllTriggers)</f>
        <v>2.4474977149024742E-2</v>
      </c>
      <c r="R177" s="38">
        <f>_xll.qlOvernightIndexedSwapFairRate(O177,AllTriggers)</f>
        <v>2.3010602776167843E-2</v>
      </c>
      <c r="S177" s="345">
        <f t="shared" si="6"/>
        <v>1.4643743728568991E-3</v>
      </c>
    </row>
    <row r="178" spans="5:19" ht="11.25" customHeight="1" x14ac:dyDescent="0.2">
      <c r="E178" s="254"/>
      <c r="F178" s="254"/>
      <c r="G178" s="39"/>
      <c r="J178" s="39"/>
      <c r="K178" s="39"/>
      <c r="M178" s="346">
        <f>_xll.qlCalendarAdvance(Calendar,M177,"1M","f",,Trigger)</f>
        <v>47430</v>
      </c>
      <c r="N178" s="344">
        <f>_xll.qlCalendarAdvance(Calendar,M178,"3M","f",,Trigger)</f>
        <v>47522</v>
      </c>
      <c r="O178" s="40" t="str">
        <f>_xll.qlMakeDatedOIS(,M178,N178,OvernightIndex,0,,,,EvaluationDate)</f>
        <v>obj_00682#0000</v>
      </c>
      <c r="P178" s="40" t="b">
        <f>_xll.qlInstrumentSetPricingEngine(O178,OisEngine)</f>
        <v>1</v>
      </c>
      <c r="Q178" s="38">
        <f>_xll.qlIndexFixing(Currency&amp;IborType&amp;"6M",_xll.qlInterestRateIndexFixingDate(Currency&amp;IborType&amp;"6M",M178),TRUE,AllTriggers)</f>
        <v>2.4467273833516916E-2</v>
      </c>
      <c r="R178" s="38">
        <f>_xll.qlOvernightIndexedSwapFairRate(O178,AllTriggers)</f>
        <v>2.3015614574916892E-2</v>
      </c>
      <c r="S178" s="345">
        <f t="shared" si="6"/>
        <v>1.4516592586000243E-3</v>
      </c>
    </row>
    <row r="179" spans="5:19" ht="11.25" customHeight="1" x14ac:dyDescent="0.2">
      <c r="E179" s="254"/>
      <c r="F179" s="254"/>
      <c r="G179" s="39"/>
      <c r="J179" s="39"/>
      <c r="K179" s="39"/>
      <c r="M179" s="346">
        <f>_xll.qlCalendarAdvance(Calendar,M178,"1M","f",,Trigger)</f>
        <v>47462</v>
      </c>
      <c r="N179" s="344">
        <f>_xll.qlCalendarAdvance(Calendar,M179,"3M","f",,Trigger)</f>
        <v>47553</v>
      </c>
      <c r="O179" s="40" t="str">
        <f>_xll.qlMakeDatedOIS(,M179,N179,OvernightIndex,0,,,,EvaluationDate)</f>
        <v>obj_0099c#0000</v>
      </c>
      <c r="P179" s="40" t="b">
        <f>_xll.qlInstrumentSetPricingEngine(O179,OisEngine)</f>
        <v>1</v>
      </c>
      <c r="Q179" s="38">
        <f>_xll.qlIndexFixing(Currency&amp;IborType&amp;"6M",_xll.qlInterestRateIndexFixingDate(Currency&amp;IborType&amp;"6M",M179),TRUE,AllTriggers)</f>
        <v>2.4460085151373885E-2</v>
      </c>
      <c r="R179" s="38">
        <f>_xll.qlOvernightIndexedSwapFairRate(O179,AllTriggers)</f>
        <v>2.3019226258711275E-2</v>
      </c>
      <c r="S179" s="345">
        <f t="shared" si="6"/>
        <v>1.4408588926626102E-3</v>
      </c>
    </row>
    <row r="180" spans="5:19" ht="11.25" customHeight="1" x14ac:dyDescent="0.2">
      <c r="E180" s="254"/>
      <c r="F180" s="254"/>
      <c r="G180" s="39"/>
      <c r="J180" s="39"/>
      <c r="K180" s="39"/>
      <c r="M180" s="346">
        <f>_xll.qlCalendarAdvance(Calendar,M179,"1M","f",,Trigger)</f>
        <v>47493</v>
      </c>
      <c r="N180" s="344">
        <f>_xll.qlCalendarAdvance(Calendar,M180,"3M","f",,Trigger)</f>
        <v>47583</v>
      </c>
      <c r="O180" s="40" t="str">
        <f>_xll.qlMakeDatedOIS(,M180,N180,OvernightIndex,0,,,,EvaluationDate)</f>
        <v>obj_008f5#0000</v>
      </c>
      <c r="P180" s="40" t="b">
        <f>_xll.qlInstrumentSetPricingEngine(O180,OisEngine)</f>
        <v>1</v>
      </c>
      <c r="Q180" s="38">
        <f>_xll.qlIndexFixing(Currency&amp;IborType&amp;"6M",_xll.qlInterestRateIndexFixingDate(Currency&amp;IborType&amp;"6M",M180),TRUE,AllTriggers)</f>
        <v>2.4451130345768561E-2</v>
      </c>
      <c r="R180" s="38">
        <f>_xll.qlOvernightIndexedSwapFairRate(O180,AllTriggers)</f>
        <v>2.3021990376768109E-2</v>
      </c>
      <c r="S180" s="345">
        <f t="shared" si="6"/>
        <v>1.4291399690004522E-3</v>
      </c>
    </row>
    <row r="181" spans="5:19" ht="11.25" customHeight="1" x14ac:dyDescent="0.2">
      <c r="E181" s="254"/>
      <c r="F181" s="254"/>
      <c r="G181" s="39"/>
      <c r="J181" s="39"/>
      <c r="K181" s="39"/>
      <c r="M181" s="346">
        <f>_xll.qlCalendarAdvance(Calendar,M180,"1M","f",,Trigger)</f>
        <v>47525</v>
      </c>
      <c r="N181" s="344">
        <f>_xll.qlCalendarAdvance(Calendar,M181,"3M","f",,Trigger)</f>
        <v>47616</v>
      </c>
      <c r="O181" s="40" t="str">
        <f>_xll.qlMakeDatedOIS(,M181,N181,OvernightIndex,0,,,,EvaluationDate)</f>
        <v>obj_00686#0000</v>
      </c>
      <c r="P181" s="40" t="b">
        <f>_xll.qlInstrumentSetPricingEngine(O181,OisEngine)</f>
        <v>1</v>
      </c>
      <c r="Q181" s="38">
        <f>_xll.qlIndexFixing(Currency&amp;IborType&amp;"6M",_xll.qlInterestRateIndexFixingDate(Currency&amp;IborType&amp;"6M",M181),TRUE,AllTriggers)</f>
        <v>2.4442612005744158E-2</v>
      </c>
      <c r="R181" s="38">
        <f>_xll.qlOvernightIndexedSwapFairRate(O181,AllTriggers)</f>
        <v>2.3025673763705352E-2</v>
      </c>
      <c r="S181" s="345">
        <f t="shared" si="6"/>
        <v>1.4169382420388052E-3</v>
      </c>
    </row>
    <row r="182" spans="5:19" ht="11.25" customHeight="1" x14ac:dyDescent="0.2">
      <c r="E182" s="254"/>
      <c r="F182" s="254"/>
      <c r="G182" s="39"/>
      <c r="J182" s="39"/>
      <c r="K182" s="39"/>
      <c r="M182" s="346">
        <f>_xll.qlCalendarAdvance(Calendar,M181,"1M","f",,Trigger)</f>
        <v>47553</v>
      </c>
      <c r="N182" s="344">
        <f>_xll.qlCalendarAdvance(Calendar,M182,"3M","f",,Trigger)</f>
        <v>47645</v>
      </c>
      <c r="O182" s="40" t="str">
        <f>_xll.qlMakeDatedOIS(,M182,N182,OvernightIndex,0,,,,EvaluationDate)</f>
        <v>obj_00688#0000</v>
      </c>
      <c r="P182" s="40" t="b">
        <f>_xll.qlInstrumentSetPricingEngine(O182,OisEngine)</f>
        <v>1</v>
      </c>
      <c r="Q182" s="38">
        <f>_xll.qlIndexFixing(Currency&amp;IborType&amp;"6M",_xll.qlInterestRateIndexFixingDate(Currency&amp;IborType&amp;"6M",M182),TRUE,AllTriggers)</f>
        <v>2.4435335071401443E-2</v>
      </c>
      <c r="R182" s="38">
        <f>_xll.qlOvernightIndexedSwapFairRate(O182,AllTriggers)</f>
        <v>2.3028341768588902E-2</v>
      </c>
      <c r="S182" s="345">
        <f t="shared" si="6"/>
        <v>1.4069933028125411E-3</v>
      </c>
    </row>
    <row r="183" spans="5:19" ht="11.25" customHeight="1" x14ac:dyDescent="0.2">
      <c r="E183" s="254"/>
      <c r="F183" s="254"/>
      <c r="G183" s="39"/>
      <c r="J183" s="39"/>
      <c r="K183" s="39"/>
      <c r="M183" s="346">
        <f>_xll.qlCalendarAdvance(Calendar,M182,"1M","f",,Trigger)</f>
        <v>47584</v>
      </c>
      <c r="N183" s="344">
        <f>_xll.qlCalendarAdvance(Calendar,M183,"3M","f",,Trigger)</f>
        <v>47675</v>
      </c>
      <c r="O183" s="40" t="str">
        <f>_xll.qlMakeDatedOIS(,M183,N183,OvernightIndex,0,,,,EvaluationDate)</f>
        <v>obj_00931#0000</v>
      </c>
      <c r="P183" s="40" t="b">
        <f>_xll.qlInstrumentSetPricingEngine(O183,OisEngine)</f>
        <v>1</v>
      </c>
      <c r="Q183" s="38">
        <f>_xll.qlIndexFixing(Currency&amp;IborType&amp;"6M",_xll.qlInterestRateIndexFixingDate(Currency&amp;IborType&amp;"6M",M183),TRUE,AllTriggers)</f>
        <v>2.4424560159283779E-2</v>
      </c>
      <c r="R183" s="38">
        <f>_xll.qlOvernightIndexedSwapFairRate(O183,AllTriggers)</f>
        <v>2.3029012167777217E-2</v>
      </c>
      <c r="S183" s="345">
        <f t="shared" si="6"/>
        <v>1.3955479915065613E-3</v>
      </c>
    </row>
    <row r="184" spans="5:19" ht="11.25" customHeight="1" x14ac:dyDescent="0.2">
      <c r="E184" s="254"/>
      <c r="F184" s="254"/>
      <c r="G184" s="39"/>
      <c r="J184" s="39"/>
      <c r="K184" s="39"/>
      <c r="M184" s="346">
        <f>_xll.qlCalendarAdvance(Calendar,M183,"1M","f",,Trigger)</f>
        <v>47616</v>
      </c>
      <c r="N184" s="344">
        <f>_xll.qlCalendarAdvance(Calendar,M184,"3M","f",,Trigger)</f>
        <v>47708</v>
      </c>
      <c r="O184" s="40" t="str">
        <f>_xll.qlMakeDatedOIS(,M184,N184,OvernightIndex,0,,,,EvaluationDate)</f>
        <v>obj_008df#0000</v>
      </c>
      <c r="P184" s="40" t="b">
        <f>_xll.qlInstrumentSetPricingEngine(O184,OisEngine)</f>
        <v>1</v>
      </c>
      <c r="Q184" s="38">
        <f>_xll.qlIndexFixing(Currency&amp;IborType&amp;"6M",_xll.qlInterestRateIndexFixingDate(Currency&amp;IborType&amp;"6M",M184),TRUE,AllTriggers)</f>
        <v>2.441409829531203E-2</v>
      </c>
      <c r="R184" s="38">
        <f>_xll.qlOvernightIndexedSwapFairRate(O184,AllTriggers)</f>
        <v>2.3030465253100603E-2</v>
      </c>
      <c r="S184" s="345">
        <f t="shared" si="6"/>
        <v>1.3836330422114275E-3</v>
      </c>
    </row>
    <row r="185" spans="5:19" ht="11.25" customHeight="1" x14ac:dyDescent="0.2">
      <c r="E185" s="254"/>
      <c r="F185" s="254"/>
      <c r="G185" s="39"/>
      <c r="J185" s="39"/>
      <c r="K185" s="39"/>
      <c r="M185" s="346">
        <f>_xll.qlCalendarAdvance(Calendar,M184,"1M","f",,Trigger)</f>
        <v>47647</v>
      </c>
      <c r="N185" s="344">
        <f>_xll.qlCalendarAdvance(Calendar,M185,"3M","f",,Trigger)</f>
        <v>47739</v>
      </c>
      <c r="O185" s="40" t="str">
        <f>_xll.qlMakeDatedOIS(,M185,N185,OvernightIndex,0,,,,EvaluationDate)</f>
        <v>obj_0088c#0000</v>
      </c>
      <c r="P185" s="40" t="b">
        <f>_xll.qlInstrumentSetPricingEngine(O185,OisEngine)</f>
        <v>1</v>
      </c>
      <c r="Q185" s="38">
        <f>_xll.qlIndexFixing(Currency&amp;IborType&amp;"6M",_xll.qlInterestRateIndexFixingDate(Currency&amp;IborType&amp;"6M",M185),TRUE,AllTriggers)</f>
        <v>2.4402077992569687E-2</v>
      </c>
      <c r="R185" s="38">
        <f>_xll.qlOvernightIndexedSwapFairRate(O185,AllTriggers)</f>
        <v>2.3030417122653152E-2</v>
      </c>
      <c r="S185" s="345">
        <f t="shared" si="6"/>
        <v>1.3716608699165349E-3</v>
      </c>
    </row>
    <row r="186" spans="5:19" ht="11.25" customHeight="1" x14ac:dyDescent="0.2">
      <c r="E186" s="254"/>
      <c r="F186" s="254"/>
      <c r="G186" s="39"/>
      <c r="J186" s="39"/>
      <c r="K186" s="39"/>
      <c r="M186" s="346">
        <f>_xll.qlCalendarAdvance(Calendar,M185,"1M","f",,Trigger)</f>
        <v>47679</v>
      </c>
      <c r="N186" s="344">
        <f>_xll.qlCalendarAdvance(Calendar,M186,"3M","f",,Trigger)</f>
        <v>47771</v>
      </c>
      <c r="O186" s="40" t="str">
        <f>_xll.qlMakeDatedOIS(,M186,N186,OvernightIndex,0,,,,EvaluationDate)</f>
        <v>obj_00a26#0000</v>
      </c>
      <c r="P186" s="40" t="b">
        <f>_xll.qlInstrumentSetPricingEngine(O186,OisEngine)</f>
        <v>1</v>
      </c>
      <c r="Q186" s="38">
        <f>_xll.qlIndexFixing(Currency&amp;IborType&amp;"6M",_xll.qlInterestRateIndexFixingDate(Currency&amp;IborType&amp;"6M",M186),TRUE,AllTriggers)</f>
        <v>2.4390285965950657E-2</v>
      </c>
      <c r="R186" s="38">
        <f>_xll.qlOvernightIndexedSwapFairRate(O186,AllTriggers)</f>
        <v>2.3029611252950877E-2</v>
      </c>
      <c r="S186" s="345">
        <f t="shared" si="6"/>
        <v>1.36067471299978E-3</v>
      </c>
    </row>
    <row r="187" spans="5:19" ht="11.25" customHeight="1" x14ac:dyDescent="0.2">
      <c r="E187" s="254"/>
      <c r="F187" s="254"/>
      <c r="G187" s="39"/>
      <c r="J187" s="39"/>
      <c r="K187" s="39"/>
      <c r="M187" s="346">
        <f>_xll.qlCalendarAdvance(Calendar,M186,"1M","f",,Trigger)</f>
        <v>47710</v>
      </c>
      <c r="N187" s="344">
        <f>_xll.qlCalendarAdvance(Calendar,M187,"3M","f",,Trigger)</f>
        <v>47802</v>
      </c>
      <c r="O187" s="40" t="str">
        <f>_xll.qlMakeDatedOIS(,M187,N187,OvernightIndex,0,,,,EvaluationDate)</f>
        <v>obj_0094c#0000</v>
      </c>
      <c r="P187" s="40" t="b">
        <f>_xll.qlInstrumentSetPricingEngine(O187,OisEngine)</f>
        <v>1</v>
      </c>
      <c r="Q187" s="38">
        <f>_xll.qlIndexFixing(Currency&amp;IborType&amp;"6M",_xll.qlInterestRateIndexFixingDate(Currency&amp;IborType&amp;"6M",M187),TRUE,AllTriggers)</f>
        <v>2.4378828426595875E-2</v>
      </c>
      <c r="R187" s="38">
        <f>_xll.qlOvernightIndexedSwapFairRate(O187,AllTriggers)</f>
        <v>2.3028098011292814E-2</v>
      </c>
      <c r="S187" s="345">
        <f t="shared" si="6"/>
        <v>1.3507304153030607E-3</v>
      </c>
    </row>
    <row r="188" spans="5:19" ht="11.25" customHeight="1" x14ac:dyDescent="0.2">
      <c r="E188" s="254"/>
      <c r="F188" s="254"/>
      <c r="G188" s="39"/>
      <c r="J188" s="39"/>
      <c r="K188" s="39"/>
      <c r="M188" s="346">
        <f>_xll.qlCalendarAdvance(Calendar,M187,"1M","f",,Trigger)</f>
        <v>47742</v>
      </c>
      <c r="N188" s="344">
        <f>_xll.qlCalendarAdvance(Calendar,M188,"3M","f",,Trigger)</f>
        <v>47833</v>
      </c>
      <c r="O188" s="40" t="str">
        <f>_xll.qlMakeDatedOIS(,M188,N188,OvernightIndex,0,,,,EvaluationDate)</f>
        <v>obj_009d3#0000</v>
      </c>
      <c r="P188" s="40" t="b">
        <f>_xll.qlInstrumentSetPricingEngine(O188,OisEngine)</f>
        <v>1</v>
      </c>
      <c r="Q188" s="38">
        <f>_xll.qlIndexFixing(Currency&amp;IborType&amp;"6M",_xll.qlInterestRateIndexFixingDate(Currency&amp;IborType&amp;"6M",M188),TRUE,AllTriggers)</f>
        <v>2.4362714865110106E-2</v>
      </c>
      <c r="R188" s="38">
        <f>_xll.qlOvernightIndexedSwapFairRate(O188,AllTriggers)</f>
        <v>2.3025092702956825E-2</v>
      </c>
      <c r="S188" s="345">
        <f t="shared" si="6"/>
        <v>1.3376221621532805E-3</v>
      </c>
    </row>
    <row r="189" spans="5:19" ht="11.25" customHeight="1" x14ac:dyDescent="0.2">
      <c r="E189" s="254"/>
      <c r="F189" s="254"/>
      <c r="G189" s="39"/>
      <c r="J189" s="39"/>
      <c r="K189" s="39"/>
      <c r="M189" s="346">
        <f>_xll.qlCalendarAdvance(Calendar,M188,"1M","f",,Trigger)</f>
        <v>47772</v>
      </c>
      <c r="N189" s="344">
        <f>_xll.qlCalendarAdvance(Calendar,M189,"3M","f",,Trigger)</f>
        <v>47864</v>
      </c>
      <c r="O189" s="40" t="str">
        <f>_xll.qlMakeDatedOIS(,M189,N189,OvernightIndex,0,,,,EvaluationDate)</f>
        <v>obj_0099b#0000</v>
      </c>
      <c r="P189" s="40" t="b">
        <f>_xll.qlInstrumentSetPricingEngine(O189,OisEngine)</f>
        <v>1</v>
      </c>
      <c r="Q189" s="38">
        <f>_xll.qlIndexFixing(Currency&amp;IborType&amp;"6M",_xll.qlInterestRateIndexFixingDate(Currency&amp;IborType&amp;"6M",M189),TRUE,AllTriggers)</f>
        <v>2.4349265347860308E-2</v>
      </c>
      <c r="R189" s="38">
        <f>_xll.qlOvernightIndexedSwapFairRate(O189,AllTriggers)</f>
        <v>2.302290874915195E-2</v>
      </c>
      <c r="S189" s="345">
        <f t="shared" si="6"/>
        <v>1.326356598708358E-3</v>
      </c>
    </row>
    <row r="190" spans="5:19" ht="11.25" customHeight="1" x14ac:dyDescent="0.2">
      <c r="E190" s="254"/>
      <c r="F190" s="254"/>
      <c r="G190" s="39"/>
      <c r="J190" s="39"/>
      <c r="K190" s="39"/>
      <c r="M190" s="346">
        <f>_xll.qlCalendarAdvance(Calendar,M189,"1M","f",,Trigger)</f>
        <v>47805</v>
      </c>
      <c r="N190" s="344">
        <f>_xll.qlCalendarAdvance(Calendar,M190,"3M","f",,Trigger)</f>
        <v>47897</v>
      </c>
      <c r="O190" s="40" t="str">
        <f>_xll.qlMakeDatedOIS(,M190,N190,OvernightIndex,0,,,,EvaluationDate)</f>
        <v>obj_008a3#0000</v>
      </c>
      <c r="P190" s="40" t="b">
        <f>_xll.qlInstrumentSetPricingEngine(O190,OisEngine)</f>
        <v>1</v>
      </c>
      <c r="Q190" s="38">
        <f>_xll.qlIndexFixing(Currency&amp;IborType&amp;"6M",_xll.qlInterestRateIndexFixingDate(Currency&amp;IborType&amp;"6M",M190),TRUE,AllTriggers)</f>
        <v>2.4333796483569717E-2</v>
      </c>
      <c r="R190" s="38">
        <f>_xll.qlOvernightIndexedSwapFairRate(O190,AllTriggers)</f>
        <v>2.3018970813168563E-2</v>
      </c>
      <c r="S190" s="345">
        <f t="shared" si="6"/>
        <v>1.3148256704011534E-3</v>
      </c>
    </row>
    <row r="191" spans="5:19" ht="11.25" customHeight="1" x14ac:dyDescent="0.2">
      <c r="E191" s="254"/>
      <c r="F191" s="254"/>
      <c r="G191" s="39"/>
      <c r="J191" s="39"/>
      <c r="K191" s="39"/>
      <c r="M191" s="346">
        <f>_xll.qlCalendarAdvance(Calendar,M190,"1M","f",,Trigger)</f>
        <v>47835</v>
      </c>
      <c r="N191" s="344">
        <f>_xll.qlCalendarAdvance(Calendar,M191,"3M","f",,Trigger)</f>
        <v>47925</v>
      </c>
      <c r="O191" s="40" t="str">
        <f>_xll.qlMakeDatedOIS(,M191,N191,OvernightIndex,0,,,,EvaluationDate)</f>
        <v>obj_00930#0000</v>
      </c>
      <c r="P191" s="40" t="b">
        <f>_xll.qlInstrumentSetPricingEngine(O191,OisEngine)</f>
        <v>1</v>
      </c>
      <c r="Q191" s="38">
        <f>_xll.qlIndexFixing(Currency&amp;IborType&amp;"6M",_xll.qlInterestRateIndexFixingDate(Currency&amp;IborType&amp;"6M",M191),TRUE,AllTriggers)</f>
        <v>2.4319120806367008E-2</v>
      </c>
      <c r="R191" s="38">
        <f>_xll.qlOvernightIndexedSwapFairRate(O191,AllTriggers)</f>
        <v>2.3013378766225223E-2</v>
      </c>
      <c r="S191" s="345">
        <f t="shared" si="6"/>
        <v>1.3057420401417844E-3</v>
      </c>
    </row>
    <row r="192" spans="5:19" ht="11.25" customHeight="1" x14ac:dyDescent="0.2">
      <c r="E192" s="254"/>
      <c r="F192" s="254"/>
      <c r="G192" s="39"/>
      <c r="J192" s="39"/>
      <c r="K192" s="39"/>
      <c r="M192" s="346">
        <f>_xll.qlCalendarAdvance(Calendar,M191,"1M","f",,Trigger)</f>
        <v>47868</v>
      </c>
      <c r="N192" s="344">
        <f>_xll.qlCalendarAdvance(Calendar,M192,"3M","f",,Trigger)</f>
        <v>47959</v>
      </c>
      <c r="O192" s="40" t="str">
        <f>_xll.qlMakeDatedOIS(,M192,N192,OvernightIndex,0,,,,EvaluationDate)</f>
        <v>obj_008de#0000</v>
      </c>
      <c r="P192" s="40" t="b">
        <f>_xll.qlInstrumentSetPricingEngine(O192,OisEngine)</f>
        <v>1</v>
      </c>
      <c r="Q192" s="38">
        <f>_xll.qlIndexFixing(Currency&amp;IborType&amp;"6M",_xll.qlInterestRateIndexFixingDate(Currency&amp;IborType&amp;"6M",M192),TRUE,AllTriggers)</f>
        <v>2.4302303196631417E-2</v>
      </c>
      <c r="R192" s="38">
        <f>_xll.qlOvernightIndexedSwapFairRate(O192,AllTriggers)</f>
        <v>2.3008545646695366E-2</v>
      </c>
      <c r="S192" s="345">
        <f t="shared" si="6"/>
        <v>1.2937575499360511E-3</v>
      </c>
    </row>
    <row r="193" spans="5:19" ht="11.25" customHeight="1" x14ac:dyDescent="0.2">
      <c r="E193" s="254"/>
      <c r="F193" s="254"/>
      <c r="G193" s="39"/>
      <c r="J193" s="39"/>
      <c r="K193" s="39"/>
      <c r="M193" s="346">
        <f>_xll.qlCalendarAdvance(Calendar,M192,"1M","f",,Trigger)</f>
        <v>47899</v>
      </c>
      <c r="N193" s="344">
        <f>_xll.qlCalendarAdvance(Calendar,M193,"3M","f",,Trigger)</f>
        <v>47988</v>
      </c>
      <c r="O193" s="40" t="str">
        <f>_xll.qlMakeDatedOIS(,M193,N193,OvernightIndex,0,,,,EvaluationDate)</f>
        <v>obj_00694#0000</v>
      </c>
      <c r="P193" s="40" t="b">
        <f>_xll.qlInstrumentSetPricingEngine(O193,OisEngine)</f>
        <v>1</v>
      </c>
      <c r="Q193" s="38">
        <f>_xll.qlIndexFixing(Currency&amp;IborType&amp;"6M",_xll.qlInterestRateIndexFixingDate(Currency&amp;IborType&amp;"6M",M193),TRUE,AllTriggers)</f>
        <v>2.4285325414585762E-2</v>
      </c>
      <c r="R193" s="38">
        <f>_xll.qlOvernightIndexedSwapFairRate(O193,AllTriggers)</f>
        <v>2.3001394916164382E-2</v>
      </c>
      <c r="S193" s="345">
        <f t="shared" si="6"/>
        <v>1.2839304984213797E-3</v>
      </c>
    </row>
    <row r="194" spans="5:19" ht="11.25" customHeight="1" x14ac:dyDescent="0.2">
      <c r="E194" s="254"/>
      <c r="F194" s="254"/>
      <c r="G194" s="39"/>
      <c r="J194" s="39"/>
      <c r="K194" s="39"/>
      <c r="M194" s="346">
        <f>_xll.qlCalendarAdvance(Calendar,M193,"1M","f",,Trigger)</f>
        <v>47927</v>
      </c>
      <c r="N194" s="344">
        <f>_xll.qlCalendarAdvance(Calendar,M194,"3M","f",,Trigger)</f>
        <v>48019</v>
      </c>
      <c r="O194" s="40" t="str">
        <f>_xll.qlMakeDatedOIS(,M194,N194,OvernightIndex,0,,,,EvaluationDate)</f>
        <v>obj_0088b#0000</v>
      </c>
      <c r="P194" s="40" t="b">
        <f>_xll.qlInstrumentSetPricingEngine(O194,OisEngine)</f>
        <v>1</v>
      </c>
      <c r="Q194" s="38">
        <f>_xll.qlIndexFixing(Currency&amp;IborType&amp;"6M",_xll.qlInterestRateIndexFixingDate(Currency&amp;IborType&amp;"6M",M194),TRUE,AllTriggers)</f>
        <v>2.4272575637478633E-2</v>
      </c>
      <c r="R194" s="38">
        <f>_xll.qlOvernightIndexedSwapFairRate(O194,AllTriggers)</f>
        <v>2.299731946900754E-2</v>
      </c>
      <c r="S194" s="345">
        <f t="shared" si="6"/>
        <v>1.2752561684710936E-3</v>
      </c>
    </row>
    <row r="195" spans="5:19" ht="11.25" customHeight="1" x14ac:dyDescent="0.2">
      <c r="E195" s="254"/>
      <c r="F195" s="254"/>
      <c r="G195" s="39"/>
      <c r="J195" s="39"/>
      <c r="K195" s="39"/>
      <c r="M195" s="346">
        <f>_xll.qlCalendarAdvance(Calendar,M194,"1M","f",,Trigger)</f>
        <v>47959</v>
      </c>
      <c r="N195" s="344">
        <f>_xll.qlCalendarAdvance(Calendar,M195,"3M","f",,Trigger)</f>
        <v>48050</v>
      </c>
      <c r="O195" s="40" t="str">
        <f>_xll.qlMakeDatedOIS(,M195,N195,OvernightIndex,0,,,,EvaluationDate)</f>
        <v>obj_00a25#0000</v>
      </c>
      <c r="P195" s="40" t="b">
        <f>_xll.qlInstrumentSetPricingEngine(O195,OisEngine)</f>
        <v>1</v>
      </c>
      <c r="Q195" s="38">
        <f>_xll.qlIndexFixing(Currency&amp;IborType&amp;"6M",_xll.qlInterestRateIndexFixingDate(Currency&amp;IborType&amp;"6M",M195),TRUE,AllTriggers)</f>
        <v>2.4252781278118831E-2</v>
      </c>
      <c r="R195" s="38">
        <f>_xll.qlOvernightIndexedSwapFairRate(O195,AllTriggers)</f>
        <v>2.2989188624515936E-2</v>
      </c>
      <c r="S195" s="345">
        <f t="shared" ref="S195:S258" si="7">Q195-R195</f>
        <v>1.2635926536028949E-3</v>
      </c>
    </row>
    <row r="196" spans="5:19" ht="11.25" customHeight="1" x14ac:dyDescent="0.2">
      <c r="E196" s="254"/>
      <c r="F196" s="254"/>
      <c r="G196" s="39"/>
      <c r="J196" s="39"/>
      <c r="K196" s="39"/>
      <c r="M196" s="346">
        <f>_xll.qlCalendarAdvance(Calendar,M195,"1M","f",,Trigger)</f>
        <v>47989</v>
      </c>
      <c r="N196" s="344">
        <f>_xll.qlCalendarAdvance(Calendar,M196,"3M","f",,Trigger)</f>
        <v>48081</v>
      </c>
      <c r="O196" s="40" t="str">
        <f>_xll.qlMakeDatedOIS(,M196,N196,OvernightIndex,0,,,,EvaluationDate)</f>
        <v>obj_00698#0000</v>
      </c>
      <c r="P196" s="40" t="b">
        <f>_xll.qlInstrumentSetPricingEngine(O196,OisEngine)</f>
        <v>1</v>
      </c>
      <c r="Q196" s="38">
        <f>_xll.qlIndexFixing(Currency&amp;IborType&amp;"6M",_xll.qlInterestRateIndexFixingDate(Currency&amp;IborType&amp;"6M",M196),TRUE,AllTriggers)</f>
        <v>2.423560047759411E-2</v>
      </c>
      <c r="R196" s="38">
        <f>_xll.qlOvernightIndexedSwapFairRate(O196,AllTriggers)</f>
        <v>2.2982037366088764E-2</v>
      </c>
      <c r="S196" s="345">
        <f t="shared" si="7"/>
        <v>1.2535631115053458E-3</v>
      </c>
    </row>
    <row r="197" spans="5:19" ht="11.25" customHeight="1" x14ac:dyDescent="0.2">
      <c r="E197" s="254"/>
      <c r="F197" s="254"/>
      <c r="G197" s="39"/>
      <c r="J197" s="39"/>
      <c r="K197" s="39"/>
      <c r="M197" s="346">
        <f>_xll.qlCalendarAdvance(Calendar,M196,"1M","f",,Trigger)</f>
        <v>48022</v>
      </c>
      <c r="N197" s="344">
        <f>_xll.qlCalendarAdvance(Calendar,M197,"3M","f",,Trigger)</f>
        <v>48114</v>
      </c>
      <c r="O197" s="40" t="str">
        <f>_xll.qlMakeDatedOIS(,M197,N197,OvernightIndex,0,,,,EvaluationDate)</f>
        <v>obj_0069a#0000</v>
      </c>
      <c r="P197" s="40" t="b">
        <f>_xll.qlInstrumentSetPricingEngine(O197,OisEngine)</f>
        <v>1</v>
      </c>
      <c r="Q197" s="38">
        <f>_xll.qlIndexFixing(Currency&amp;IborType&amp;"6M",_xll.qlInterestRateIndexFixingDate(Currency&amp;IborType&amp;"6M",M197),TRUE,AllTriggers)</f>
        <v>2.4214971347561436E-2</v>
      </c>
      <c r="R197" s="38">
        <f>_xll.qlOvernightIndexedSwapFairRate(O197,AllTriggers)</f>
        <v>2.297272746942822E-2</v>
      </c>
      <c r="S197" s="345">
        <f t="shared" si="7"/>
        <v>1.242243878133216E-3</v>
      </c>
    </row>
    <row r="198" spans="5:19" ht="11.25" customHeight="1" x14ac:dyDescent="0.2">
      <c r="E198" s="254"/>
      <c r="F198" s="254"/>
      <c r="G198" s="39"/>
      <c r="J198" s="39"/>
      <c r="K198" s="39"/>
      <c r="M198" s="346">
        <f>_xll.qlCalendarAdvance(Calendar,M197,"1M","f",,Trigger)</f>
        <v>48052</v>
      </c>
      <c r="N198" s="344">
        <f>_xll.qlCalendarAdvance(Calendar,M198,"3M","f",,Trigger)</f>
        <v>48144</v>
      </c>
      <c r="O198" s="40" t="str">
        <f>_xll.qlMakeDatedOIS(,M198,N198,OvernightIndex,0,,,,EvaluationDate)</f>
        <v>obj_00902#0000</v>
      </c>
      <c r="P198" s="40" t="b">
        <f>_xll.qlInstrumentSetPricingEngine(O198,OisEngine)</f>
        <v>1</v>
      </c>
      <c r="Q198" s="38">
        <f>_xll.qlIndexFixing(Currency&amp;IborType&amp;"6M",_xll.qlInterestRateIndexFixingDate(Currency&amp;IborType&amp;"6M",M198),TRUE,AllTriggers)</f>
        <v>2.4196541478109356E-2</v>
      </c>
      <c r="R198" s="38">
        <f>_xll.qlOvernightIndexedSwapFairRate(O198,AllTriggers)</f>
        <v>2.2963555033027369E-2</v>
      </c>
      <c r="S198" s="345">
        <f t="shared" si="7"/>
        <v>1.232986445081987E-3</v>
      </c>
    </row>
    <row r="199" spans="5:19" ht="11.25" customHeight="1" x14ac:dyDescent="0.2">
      <c r="E199" s="254"/>
      <c r="F199" s="254"/>
      <c r="G199" s="39"/>
      <c r="J199" s="39"/>
      <c r="K199" s="39"/>
      <c r="M199" s="346">
        <f>_xll.qlCalendarAdvance(Calendar,M198,"1M","f",,Trigger)</f>
        <v>48085</v>
      </c>
      <c r="N199" s="344">
        <f>_xll.qlCalendarAdvance(Calendar,M199,"3M","f",,Trigger)</f>
        <v>48177</v>
      </c>
      <c r="O199" s="40" t="str">
        <f>_xll.qlMakeDatedOIS(,M199,N199,OvernightIndex,0,,,,EvaluationDate)</f>
        <v>obj_009d2#0000</v>
      </c>
      <c r="P199" s="40" t="b">
        <f>_xll.qlInstrumentSetPricingEngine(O199,OisEngine)</f>
        <v>1</v>
      </c>
      <c r="Q199" s="38">
        <f>_xll.qlIndexFixing(Currency&amp;IborType&amp;"6M",_xll.qlInterestRateIndexFixingDate(Currency&amp;IborType&amp;"6M",M199),TRUE,AllTriggers)</f>
        <v>2.4175054445603486E-2</v>
      </c>
      <c r="R199" s="38">
        <f>_xll.qlOvernightIndexedSwapFairRate(O199,AllTriggers)</f>
        <v>2.2952685575421215E-2</v>
      </c>
      <c r="S199" s="345">
        <f t="shared" si="7"/>
        <v>1.2223688701822714E-3</v>
      </c>
    </row>
    <row r="200" spans="5:19" ht="11.25" customHeight="1" x14ac:dyDescent="0.2">
      <c r="E200" s="254"/>
      <c r="F200" s="254"/>
      <c r="G200" s="39"/>
      <c r="J200" s="39"/>
      <c r="K200" s="39"/>
      <c r="M200" s="346">
        <f>_xll.qlCalendarAdvance(Calendar,M199,"1M","f",,Trigger)</f>
        <v>48116</v>
      </c>
      <c r="N200" s="344">
        <f>_xll.qlCalendarAdvance(Calendar,M200,"3M","f",,Trigger)</f>
        <v>48211</v>
      </c>
      <c r="O200" s="40" t="str">
        <f>_xll.qlMakeDatedOIS(,M200,N200,OvernightIndex,0,,,,EvaluationDate)</f>
        <v>obj_0069e#0000</v>
      </c>
      <c r="P200" s="40" t="b">
        <f>_xll.qlInstrumentSetPricingEngine(O200,OisEngine)</f>
        <v>1</v>
      </c>
      <c r="Q200" s="38">
        <f>_xll.qlIndexFixing(Currency&amp;IborType&amp;"6M",_xll.qlInterestRateIndexFixingDate(Currency&amp;IborType&amp;"6M",M200),TRUE,AllTriggers)</f>
        <v>2.4153313542342365E-2</v>
      </c>
      <c r="R200" s="38">
        <f>_xll.qlOvernightIndexedSwapFairRate(O200,AllTriggers)</f>
        <v>2.2943353610839223E-2</v>
      </c>
      <c r="S200" s="345">
        <f t="shared" si="7"/>
        <v>1.209959931503142E-3</v>
      </c>
    </row>
    <row r="201" spans="5:19" ht="11.25" customHeight="1" x14ac:dyDescent="0.2">
      <c r="E201" s="254"/>
      <c r="F201" s="254"/>
      <c r="G201" s="39"/>
      <c r="J201" s="39"/>
      <c r="K201" s="39"/>
      <c r="M201" s="346">
        <f>_xll.qlCalendarAdvance(Calendar,M200,"1M","f",,Trigger)</f>
        <v>48148</v>
      </c>
      <c r="N201" s="344">
        <f>_xll.qlCalendarAdvance(Calendar,M201,"3M","f",,Trigger)</f>
        <v>48240</v>
      </c>
      <c r="O201" s="40" t="str">
        <f>_xll.qlMakeDatedOIS(,M201,N201,OvernightIndex,0,,,,EvaluationDate)</f>
        <v>obj_0099a#0000</v>
      </c>
      <c r="P201" s="40" t="b">
        <f>_xll.qlInstrumentSetPricingEngine(O201,OisEngine)</f>
        <v>1</v>
      </c>
      <c r="Q201" s="38">
        <f>_xll.qlIndexFixing(Currency&amp;IborType&amp;"6M",_xll.qlInterestRateIndexFixingDate(Currency&amp;IborType&amp;"6M",M201),TRUE,AllTriggers)</f>
        <v>2.4131627807828879E-2</v>
      </c>
      <c r="R201" s="38">
        <f>_xll.qlOvernightIndexedSwapFairRate(O201,AllTriggers)</f>
        <v>2.2929666373262887E-2</v>
      </c>
      <c r="S201" s="345">
        <f t="shared" si="7"/>
        <v>1.2019614345659922E-3</v>
      </c>
    </row>
    <row r="202" spans="5:19" ht="11.25" customHeight="1" x14ac:dyDescent="0.2">
      <c r="E202" s="254"/>
      <c r="F202" s="254"/>
      <c r="G202" s="39"/>
      <c r="J202" s="39"/>
      <c r="K202" s="39"/>
      <c r="M202" s="346">
        <f>_xll.qlCalendarAdvance(Calendar,M201,"1M","f",,Trigger)</f>
        <v>48179</v>
      </c>
      <c r="N202" s="344">
        <f>_xll.qlCalendarAdvance(Calendar,M202,"3M","f",,Trigger)</f>
        <v>48271</v>
      </c>
      <c r="O202" s="40" t="str">
        <f>_xll.qlMakeDatedOIS(,M202,N202,OvernightIndex,0,,,,EvaluationDate)</f>
        <v>obj_006a1#0000</v>
      </c>
      <c r="P202" s="40" t="b">
        <f>_xll.qlInstrumentSetPricingEngine(O202,OisEngine)</f>
        <v>1</v>
      </c>
      <c r="Q202" s="38">
        <f>_xll.qlIndexFixing(Currency&amp;IborType&amp;"6M",_xll.qlInterestRateIndexFixingDate(Currency&amp;IborType&amp;"6M",M202),TRUE,AllTriggers)</f>
        <v>2.4109111185883769E-2</v>
      </c>
      <c r="R202" s="38">
        <f>_xll.qlOvernightIndexedSwapFairRate(O202,AllTriggers)</f>
        <v>2.291724652503737E-2</v>
      </c>
      <c r="S202" s="345">
        <f t="shared" si="7"/>
        <v>1.1918646608463992E-3</v>
      </c>
    </row>
    <row r="203" spans="5:19" ht="11.25" customHeight="1" x14ac:dyDescent="0.2">
      <c r="E203" s="254"/>
      <c r="F203" s="254"/>
      <c r="G203" s="39"/>
      <c r="J203" s="39"/>
      <c r="K203" s="39"/>
      <c r="M203" s="346">
        <f>_xll.qlCalendarAdvance(Calendar,M202,"1M","f",,Trigger)</f>
        <v>48211</v>
      </c>
      <c r="N203" s="344">
        <f>_xll.qlCalendarAdvance(Calendar,M203,"3M","f",,Trigger)</f>
        <v>48303</v>
      </c>
      <c r="O203" s="40" t="str">
        <f>_xll.qlMakeDatedOIS(,M203,N203,OvernightIndex,0,,,,EvaluationDate)</f>
        <v>obj_008f4#0000</v>
      </c>
      <c r="P203" s="40" t="b">
        <f>_xll.qlInstrumentSetPricingEngine(O203,OisEngine)</f>
        <v>1</v>
      </c>
      <c r="Q203" s="38">
        <f>_xll.qlIndexFixing(Currency&amp;IborType&amp;"6M",_xll.qlInterestRateIndexFixingDate(Currency&amp;IborType&amp;"6M",M203),TRUE,AllTriggers)</f>
        <v>2.4086094521964932E-2</v>
      </c>
      <c r="R203" s="38">
        <f>_xll.qlOvernightIndexedSwapFairRate(O203,AllTriggers)</f>
        <v>2.290366991518971E-2</v>
      </c>
      <c r="S203" s="345">
        <f t="shared" si="7"/>
        <v>1.1824246067752217E-3</v>
      </c>
    </row>
    <row r="204" spans="5:19" ht="11.25" customHeight="1" x14ac:dyDescent="0.2">
      <c r="E204" s="254"/>
      <c r="F204" s="254"/>
      <c r="G204" s="39"/>
      <c r="J204" s="39"/>
      <c r="K204" s="39"/>
      <c r="M204" s="346">
        <f>_xll.qlCalendarAdvance(Calendar,M203,"1M","f",,Trigger)</f>
        <v>48242</v>
      </c>
      <c r="N204" s="344">
        <f>_xll.qlCalendarAdvance(Calendar,M204,"3M","f",,Trigger)</f>
        <v>48333</v>
      </c>
      <c r="O204" s="40" t="str">
        <f>_xll.qlMakeDatedOIS(,M204,N204,OvernightIndex,0,,,,EvaluationDate)</f>
        <v>obj_006a4#0000</v>
      </c>
      <c r="P204" s="40" t="b">
        <f>_xll.qlInstrumentSetPricingEngine(O204,OisEngine)</f>
        <v>1</v>
      </c>
      <c r="Q204" s="38">
        <f>_xll.qlIndexFixing(Currency&amp;IborType&amp;"6M",_xll.qlInterestRateIndexFixingDate(Currency&amp;IborType&amp;"6M",M204),TRUE,AllTriggers)</f>
        <v>2.4062334790890767E-2</v>
      </c>
      <c r="R204" s="38">
        <f>_xll.qlOvernightIndexedSwapFairRate(O204,AllTriggers)</f>
        <v>2.2889294195221302E-2</v>
      </c>
      <c r="S204" s="345">
        <f t="shared" si="7"/>
        <v>1.1730405956694653E-3</v>
      </c>
    </row>
    <row r="205" spans="5:19" ht="11.25" customHeight="1" x14ac:dyDescent="0.2">
      <c r="E205" s="254"/>
      <c r="F205" s="254"/>
      <c r="G205" s="39"/>
      <c r="J205" s="39"/>
      <c r="K205" s="39"/>
      <c r="M205" s="346">
        <f>_xll.qlCalendarAdvance(Calendar,M204,"1M","f",,Trigger)</f>
        <v>48274</v>
      </c>
      <c r="N205" s="344">
        <f>_xll.qlCalendarAdvance(Calendar,M205,"3M","f",,Trigger)</f>
        <v>48366</v>
      </c>
      <c r="O205" s="40" t="str">
        <f>_xll.qlMakeDatedOIS(,M205,N205,OvernightIndex,0,,,,EvaluationDate)</f>
        <v>obj_006a6#0000</v>
      </c>
      <c r="P205" s="40" t="b">
        <f>_xll.qlInstrumentSetPricingEngine(O205,OisEngine)</f>
        <v>1</v>
      </c>
      <c r="Q205" s="38">
        <f>_xll.qlIndexFixing(Currency&amp;IborType&amp;"6M",_xll.qlInterestRateIndexFixingDate(Currency&amp;IborType&amp;"6M",M205),TRUE,AllTriggers)</f>
        <v>2.403838437927372E-2</v>
      </c>
      <c r="R205" s="38">
        <f>_xll.qlOvernightIndexedSwapFairRate(O205,AllTriggers)</f>
        <v>2.2874696260197974E-2</v>
      </c>
      <c r="S205" s="345">
        <f t="shared" si="7"/>
        <v>1.1636881190757453E-3</v>
      </c>
    </row>
    <row r="206" spans="5:19" ht="11.25" customHeight="1" x14ac:dyDescent="0.2">
      <c r="E206" s="254"/>
      <c r="F206" s="254"/>
      <c r="G206" s="39"/>
      <c r="J206" s="39"/>
      <c r="K206" s="39"/>
      <c r="M206" s="346">
        <f>_xll.qlCalendarAdvance(Calendar,M205,"1M","f",,Trigger)</f>
        <v>48305</v>
      </c>
      <c r="N206" s="344">
        <f>_xll.qlCalendarAdvance(Calendar,M206,"3M","f",,Trigger)</f>
        <v>48396</v>
      </c>
      <c r="O206" s="40" t="str">
        <f>_xll.qlMakeDatedOIS(,M206,N206,OvernightIndex,0,,,,EvaluationDate)</f>
        <v>obj_0092f#0000</v>
      </c>
      <c r="P206" s="40" t="b">
        <f>_xll.qlInstrumentSetPricingEngine(O206,OisEngine)</f>
        <v>1</v>
      </c>
      <c r="Q206" s="38">
        <f>_xll.qlIndexFixing(Currency&amp;IborType&amp;"6M",_xll.qlInterestRateIndexFixingDate(Currency&amp;IborType&amp;"6M",M206),TRUE,AllTriggers)</f>
        <v>2.4013370343163965E-2</v>
      </c>
      <c r="R206" s="38">
        <f>_xll.qlOvernightIndexedSwapFairRate(O206,AllTriggers)</f>
        <v>2.2858881148936853E-2</v>
      </c>
      <c r="S206" s="345">
        <f t="shared" si="7"/>
        <v>1.1544891942271117E-3</v>
      </c>
    </row>
    <row r="207" spans="5:19" ht="11.25" customHeight="1" x14ac:dyDescent="0.2">
      <c r="E207" s="254"/>
      <c r="F207" s="254"/>
      <c r="G207" s="39"/>
      <c r="J207" s="39"/>
      <c r="K207" s="39"/>
      <c r="M207" s="346">
        <f>_xll.qlCalendarAdvance(Calendar,M206,"1M","f",,Trigger)</f>
        <v>48337</v>
      </c>
      <c r="N207" s="344">
        <f>_xll.qlCalendarAdvance(Calendar,M207,"3M","f",,Trigger)</f>
        <v>48429</v>
      </c>
      <c r="O207" s="40" t="str">
        <f>_xll.qlMakeDatedOIS(,M207,N207,OvernightIndex,0,,,,EvaluationDate)</f>
        <v>obj_008dd#0000</v>
      </c>
      <c r="P207" s="40" t="b">
        <f>_xll.qlInstrumentSetPricingEngine(O207,OisEngine)</f>
        <v>1</v>
      </c>
      <c r="Q207" s="38">
        <f>_xll.qlIndexFixing(Currency&amp;IborType&amp;"6M",_xll.qlInterestRateIndexFixingDate(Currency&amp;IborType&amp;"6M",M207),TRUE,AllTriggers)</f>
        <v>2.3987679267958403E-2</v>
      </c>
      <c r="R207" s="38">
        <f>_xll.qlOvernightIndexedSwapFairRate(O207,AllTriggers)</f>
        <v>2.2842745474036821E-2</v>
      </c>
      <c r="S207" s="345">
        <f t="shared" si="7"/>
        <v>1.144933793921582E-3</v>
      </c>
    </row>
    <row r="208" spans="5:19" ht="11.25" customHeight="1" x14ac:dyDescent="0.2">
      <c r="E208" s="254"/>
      <c r="F208" s="254"/>
      <c r="G208" s="39"/>
      <c r="J208" s="39"/>
      <c r="K208" s="39"/>
      <c r="M208" s="346">
        <f>_xll.qlCalendarAdvance(Calendar,M207,"1M","f",,Trigger)</f>
        <v>48368</v>
      </c>
      <c r="N208" s="344">
        <f>_xll.qlCalendarAdvance(Calendar,M208,"3M","f",,Trigger)</f>
        <v>48460</v>
      </c>
      <c r="O208" s="40" t="str">
        <f>_xll.qlMakeDatedOIS(,M208,N208,OvernightIndex,0,,,,EvaluationDate)</f>
        <v>obj_006aa#0000</v>
      </c>
      <c r="P208" s="40" t="b">
        <f>_xll.qlInstrumentSetPricingEngine(O208,OisEngine)</f>
        <v>1</v>
      </c>
      <c r="Q208" s="38">
        <f>_xll.qlIndexFixing(Currency&amp;IborType&amp;"6M",_xll.qlInterestRateIndexFixingDate(Currency&amp;IborType&amp;"6M",M208),TRUE,AllTriggers)</f>
        <v>2.3961422557203467E-2</v>
      </c>
      <c r="R208" s="38">
        <f>_xll.qlOvernightIndexedSwapFairRate(O208,AllTriggers)</f>
        <v>2.2825930790547767E-2</v>
      </c>
      <c r="S208" s="345">
        <f t="shared" si="7"/>
        <v>1.1354917666556996E-3</v>
      </c>
    </row>
    <row r="209" spans="5:19" ht="11.25" customHeight="1" x14ac:dyDescent="0.2">
      <c r="E209" s="254"/>
      <c r="F209" s="254"/>
      <c r="G209" s="39"/>
      <c r="J209" s="39"/>
      <c r="K209" s="39"/>
      <c r="M209" s="346">
        <f>_xll.qlCalendarAdvance(Calendar,M208,"1M","f",,Trigger)</f>
        <v>48400</v>
      </c>
      <c r="N209" s="344">
        <f>_xll.qlCalendarAdvance(Calendar,M209,"3M","f",,Trigger)</f>
        <v>48492</v>
      </c>
      <c r="O209" s="40" t="str">
        <f>_xll.qlMakeDatedOIS(,M209,N209,OvernightIndex,0,,,,EvaluationDate)</f>
        <v>obj_0088a#0000</v>
      </c>
      <c r="P209" s="40" t="b">
        <f>_xll.qlInstrumentSetPricingEngine(O209,OisEngine)</f>
        <v>1</v>
      </c>
      <c r="Q209" s="38">
        <f>_xll.qlIndexFixing(Currency&amp;IborType&amp;"6M",_xll.qlInterestRateIndexFixingDate(Currency&amp;IborType&amp;"6M",M209),TRUE,AllTriggers)</f>
        <v>2.3934400266614152E-2</v>
      </c>
      <c r="R209" s="38">
        <f>_xll.qlOvernightIndexedSwapFairRate(O209,AllTriggers)</f>
        <v>2.2807817629212603E-2</v>
      </c>
      <c r="S209" s="345">
        <f t="shared" si="7"/>
        <v>1.1265826374015492E-3</v>
      </c>
    </row>
    <row r="210" spans="5:19" ht="11.25" customHeight="1" x14ac:dyDescent="0.2">
      <c r="E210" s="254"/>
      <c r="F210" s="254"/>
      <c r="G210" s="39"/>
      <c r="J210" s="39"/>
      <c r="K210" s="39"/>
      <c r="M210" s="346">
        <f>_xll.qlCalendarAdvance(Calendar,M209,"1M","f",,Trigger)</f>
        <v>48431</v>
      </c>
      <c r="N210" s="344">
        <f>_xll.qlCalendarAdvance(Calendar,M210,"3M","f",,Trigger)</f>
        <v>48523</v>
      </c>
      <c r="O210" s="40" t="str">
        <f>_xll.qlMakeDatedOIS(,M210,N210,OvernightIndex,0,,,,EvaluationDate)</f>
        <v>obj_00a24#0000</v>
      </c>
      <c r="P210" s="40" t="b">
        <f>_xll.qlInstrumentSetPricingEngine(O210,OisEngine)</f>
        <v>1</v>
      </c>
      <c r="Q210" s="38">
        <f>_xll.qlIndexFixing(Currency&amp;IborType&amp;"6M",_xll.qlInterestRateIndexFixingDate(Currency&amp;IborType&amp;"6M",M210),TRUE,AllTriggers)</f>
        <v>2.3907913438459064E-2</v>
      </c>
      <c r="R210" s="38">
        <f>_xll.qlOvernightIndexedSwapFairRate(O210,AllTriggers)</f>
        <v>2.2789538072519069E-2</v>
      </c>
      <c r="S210" s="345">
        <f t="shared" si="7"/>
        <v>1.1183753659399949E-3</v>
      </c>
    </row>
    <row r="211" spans="5:19" ht="11.25" customHeight="1" x14ac:dyDescent="0.2">
      <c r="E211" s="254"/>
      <c r="F211" s="254"/>
      <c r="G211" s="39"/>
      <c r="J211" s="39"/>
      <c r="K211" s="39"/>
      <c r="M211" s="346">
        <f>_xll.qlCalendarAdvance(Calendar,M210,"1M","f",,Trigger)</f>
        <v>48463</v>
      </c>
      <c r="N211" s="344">
        <f>_xll.qlCalendarAdvance(Calendar,M211,"3M","f",,Trigger)</f>
        <v>48554</v>
      </c>
      <c r="O211" s="40" t="str">
        <f>_xll.qlMakeDatedOIS(,M211,N211,OvernightIndex,0,,,,EvaluationDate)</f>
        <v>obj_009fd#0000</v>
      </c>
      <c r="P211" s="40" t="b">
        <f>_xll.qlInstrumentSetPricingEngine(O211,OisEngine)</f>
        <v>1</v>
      </c>
      <c r="Q211" s="38">
        <f>_xll.qlIndexFixing(Currency&amp;IborType&amp;"6M",_xll.qlInterestRateIndexFixingDate(Currency&amp;IborType&amp;"6M",M211),TRUE,AllTriggers)</f>
        <v>2.3877896527196938E-2</v>
      </c>
      <c r="R211" s="38">
        <f>_xll.qlOvernightIndexedSwapFairRate(O211,AllTriggers)</f>
        <v>2.2769512368144468E-2</v>
      </c>
      <c r="S211" s="345">
        <f t="shared" si="7"/>
        <v>1.1083841590524696E-3</v>
      </c>
    </row>
    <row r="212" spans="5:19" ht="11.25" customHeight="1" x14ac:dyDescent="0.2">
      <c r="E212" s="254"/>
      <c r="F212" s="254"/>
      <c r="G212" s="39"/>
      <c r="J212" s="39"/>
      <c r="K212" s="39"/>
      <c r="M212" s="346">
        <f>_xll.qlCalendarAdvance(Calendar,M211,"1M","f",,Trigger)</f>
        <v>48493</v>
      </c>
      <c r="N212" s="344">
        <f>_xll.qlCalendarAdvance(Calendar,M212,"3M","f",,Trigger)</f>
        <v>48585</v>
      </c>
      <c r="O212" s="40" t="str">
        <f>_xll.qlMakeDatedOIS(,M212,N212,OvernightIndex,0,,,,EvaluationDate)</f>
        <v>obj_006af#0000</v>
      </c>
      <c r="P212" s="40" t="b">
        <f>_xll.qlInstrumentSetPricingEngine(O212,OisEngine)</f>
        <v>1</v>
      </c>
      <c r="Q212" s="38">
        <f>_xll.qlIndexFixing(Currency&amp;IborType&amp;"6M",_xll.qlInterestRateIndexFixingDate(Currency&amp;IborType&amp;"6M",M212),TRUE,AllTriggers)</f>
        <v>2.3850418564335389E-2</v>
      </c>
      <c r="R212" s="38">
        <f>_xll.qlOvernightIndexedSwapFairRate(O212,AllTriggers)</f>
        <v>2.2750816582760139E-2</v>
      </c>
      <c r="S212" s="345">
        <f t="shared" si="7"/>
        <v>1.0996019815752503E-3</v>
      </c>
    </row>
    <row r="213" spans="5:19" ht="11.25" customHeight="1" x14ac:dyDescent="0.2">
      <c r="E213" s="254"/>
      <c r="F213" s="254"/>
      <c r="G213" s="39"/>
      <c r="J213" s="39"/>
      <c r="K213" s="39"/>
      <c r="M213" s="346">
        <f>_xll.qlCalendarAdvance(Calendar,M212,"1M","f",,Trigger)</f>
        <v>48526</v>
      </c>
      <c r="N213" s="344">
        <f>_xll.qlCalendarAdvance(Calendar,M213,"3M","f",,Trigger)</f>
        <v>48618</v>
      </c>
      <c r="O213" s="40" t="str">
        <f>_xll.qlMakeDatedOIS(,M213,N213,OvernightIndex,0,,,,EvaluationDate)</f>
        <v>obj_009d1#0000</v>
      </c>
      <c r="P213" s="40" t="b">
        <f>_xll.qlInstrumentSetPricingEngine(O213,OisEngine)</f>
        <v>1</v>
      </c>
      <c r="Q213" s="38">
        <f>_xll.qlIndexFixing(Currency&amp;IborType&amp;"6M",_xll.qlInterestRateIndexFixingDate(Currency&amp;IborType&amp;"6M",M213),TRUE,AllTriggers)</f>
        <v>2.3819518914388521E-2</v>
      </c>
      <c r="R213" s="38">
        <f>_xll.qlOvernightIndexedSwapFairRate(O213,AllTriggers)</f>
        <v>2.2729031087380284E-2</v>
      </c>
      <c r="S213" s="345">
        <f t="shared" si="7"/>
        <v>1.0904878270082373E-3</v>
      </c>
    </row>
    <row r="214" spans="5:19" ht="11.25" customHeight="1" x14ac:dyDescent="0.2">
      <c r="E214" s="254"/>
      <c r="F214" s="254"/>
      <c r="G214" s="39"/>
      <c r="J214" s="39"/>
      <c r="K214" s="39"/>
      <c r="M214" s="346">
        <f>_xll.qlCalendarAdvance(Calendar,M213,"1M","f",,Trigger)</f>
        <v>48556</v>
      </c>
      <c r="N214" s="344">
        <f>_xll.qlCalendarAdvance(Calendar,M214,"3M","f",,Trigger)</f>
        <v>48646</v>
      </c>
      <c r="O214" s="40" t="str">
        <f>_xll.qlMakeDatedOIS(,M214,N214,OvernightIndex,0,,,,EvaluationDate)</f>
        <v>obj_00999#0000</v>
      </c>
      <c r="P214" s="40" t="b">
        <f>_xll.qlInstrumentSetPricingEngine(O214,OisEngine)</f>
        <v>1</v>
      </c>
      <c r="Q214" s="38">
        <f>_xll.qlIndexFixing(Currency&amp;IborType&amp;"6M",_xll.qlInterestRateIndexFixingDate(Currency&amp;IborType&amp;"6M",M214),TRUE,AllTriggers)</f>
        <v>2.3790815722190082E-2</v>
      </c>
      <c r="R214" s="38">
        <f>_xll.qlOvernightIndexedSwapFairRate(O214,AllTriggers)</f>
        <v>2.270779367162223E-2</v>
      </c>
      <c r="S214" s="345">
        <f t="shared" si="7"/>
        <v>1.0830220505678514E-3</v>
      </c>
    </row>
    <row r="215" spans="5:19" ht="11.25" customHeight="1" x14ac:dyDescent="0.2">
      <c r="E215" s="254"/>
      <c r="F215" s="254"/>
      <c r="G215" s="39"/>
      <c r="J215" s="39"/>
      <c r="K215" s="39"/>
      <c r="M215" s="346">
        <f>_xll.qlCalendarAdvance(Calendar,M214,"1M","f",,Trigger)</f>
        <v>48589</v>
      </c>
      <c r="N215" s="344">
        <f>_xll.qlCalendarAdvance(Calendar,M215,"3M","f",,Trigger)</f>
        <v>48680</v>
      </c>
      <c r="O215" s="40" t="str">
        <f>_xll.qlMakeDatedOIS(,M215,N215,OvernightIndex,0,,,,EvaluationDate)</f>
        <v>obj_00970#0000</v>
      </c>
      <c r="P215" s="40" t="b">
        <f>_xll.qlInstrumentSetPricingEngine(O215,OisEngine)</f>
        <v>1</v>
      </c>
      <c r="Q215" s="38">
        <f>_xll.qlIndexFixing(Currency&amp;IborType&amp;"6M",_xll.qlInterestRateIndexFixingDate(Currency&amp;IborType&amp;"6M",M215),TRUE,AllTriggers)</f>
        <v>2.3758568380233356E-2</v>
      </c>
      <c r="R215" s="38">
        <f>_xll.qlOvernightIndexedSwapFairRate(O215,AllTriggers)</f>
        <v>2.2684824714281671E-2</v>
      </c>
      <c r="S215" s="345">
        <f t="shared" si="7"/>
        <v>1.0737436659516847E-3</v>
      </c>
    </row>
    <row r="216" spans="5:19" ht="11.25" customHeight="1" x14ac:dyDescent="0.2">
      <c r="E216" s="254"/>
      <c r="F216" s="254"/>
      <c r="G216" s="39"/>
      <c r="J216" s="39"/>
      <c r="K216" s="39"/>
      <c r="M216" s="346">
        <f>_xll.qlCalendarAdvance(Calendar,M215,"1M","f",,Trigger)</f>
        <v>48620</v>
      </c>
      <c r="N216" s="344">
        <f>_xll.qlCalendarAdvance(Calendar,M216,"3M","f",,Trigger)</f>
        <v>48709</v>
      </c>
      <c r="O216" s="40" t="str">
        <f>_xll.qlMakeDatedOIS(,M216,N216,OvernightIndex,0,,,,EvaluationDate)</f>
        <v>obj_006b4#0000</v>
      </c>
      <c r="P216" s="40" t="b">
        <f>_xll.qlInstrumentSetPricingEngine(O216,OisEngine)</f>
        <v>1</v>
      </c>
      <c r="Q216" s="38">
        <f>_xll.qlIndexFixing(Currency&amp;IborType&amp;"6M",_xll.qlInterestRateIndexFixingDate(Currency&amp;IborType&amp;"6M",M216),TRUE,AllTriggers)</f>
        <v>2.3727367279280365E-2</v>
      </c>
      <c r="R216" s="38">
        <f>_xll.qlOvernightIndexedSwapFairRate(O216,AllTriggers)</f>
        <v>2.2661493431545783E-2</v>
      </c>
      <c r="S216" s="345">
        <f t="shared" si="7"/>
        <v>1.0658738477345824E-3</v>
      </c>
    </row>
    <row r="217" spans="5:19" ht="11.25" customHeight="1" x14ac:dyDescent="0.2">
      <c r="E217" s="254"/>
      <c r="F217" s="254"/>
      <c r="G217" s="39"/>
      <c r="J217" s="39"/>
      <c r="K217" s="39"/>
      <c r="M217" s="346">
        <f>_xll.qlCalendarAdvance(Calendar,M216,"1M","f",,Trigger)</f>
        <v>48648</v>
      </c>
      <c r="N217" s="344">
        <f>_xll.qlCalendarAdvance(Calendar,M217,"3M","f",,Trigger)</f>
        <v>48740</v>
      </c>
      <c r="O217" s="40" t="str">
        <f>_xll.qlMakeDatedOIS(,M217,N217,OvernightIndex,0,,,,EvaluationDate)</f>
        <v>obj_0092e#0000</v>
      </c>
      <c r="P217" s="40" t="b">
        <f>_xll.qlInstrumentSetPricingEngine(O217,OisEngine)</f>
        <v>1</v>
      </c>
      <c r="Q217" s="38">
        <f>_xll.qlIndexFixing(Currency&amp;IborType&amp;"6M",_xll.qlInterestRateIndexFixingDate(Currency&amp;IborType&amp;"6M",M217),TRUE,AllTriggers)</f>
        <v>2.3700169136256086E-2</v>
      </c>
      <c r="R217" s="38">
        <f>_xll.qlOvernightIndexedSwapFairRate(O217,AllTriggers)</f>
        <v>2.2641399511115264E-2</v>
      </c>
      <c r="S217" s="345">
        <f t="shared" si="7"/>
        <v>1.0587696251408221E-3</v>
      </c>
    </row>
    <row r="218" spans="5:19" ht="11.25" customHeight="1" x14ac:dyDescent="0.2">
      <c r="E218" s="254"/>
      <c r="F218" s="254"/>
      <c r="G218" s="39"/>
      <c r="J218" s="39"/>
      <c r="K218" s="39"/>
      <c r="M218" s="346">
        <f>_xll.qlCalendarAdvance(Calendar,M217,"1M","f",,Trigger)</f>
        <v>48680</v>
      </c>
      <c r="N218" s="344">
        <f>_xll.qlCalendarAdvance(Calendar,M218,"3M","f",,Trigger)</f>
        <v>48771</v>
      </c>
      <c r="O218" s="40" t="str">
        <f>_xll.qlMakeDatedOIS(,M218,N218,OvernightIndex,0,,,,EvaluationDate)</f>
        <v>obj_008dc#0000</v>
      </c>
      <c r="P218" s="40" t="b">
        <f>_xll.qlInstrumentSetPricingEngine(O218,OisEngine)</f>
        <v>1</v>
      </c>
      <c r="Q218" s="38">
        <f>_xll.qlIndexFixing(Currency&amp;IborType&amp;"6M",_xll.qlInterestRateIndexFixingDate(Currency&amp;IborType&amp;"6M",M218),TRUE,AllTriggers)</f>
        <v>2.3666228285625451E-2</v>
      </c>
      <c r="R218" s="38">
        <f>_xll.qlOvernightIndexedSwapFairRate(O218,AllTriggers)</f>
        <v>2.2616256810675257E-2</v>
      </c>
      <c r="S218" s="345">
        <f t="shared" si="7"/>
        <v>1.049971474950194E-3</v>
      </c>
    </row>
    <row r="219" spans="5:19" ht="11.25" customHeight="1" x14ac:dyDescent="0.2">
      <c r="E219" s="254"/>
      <c r="F219" s="254"/>
      <c r="G219" s="39"/>
      <c r="J219" s="39"/>
      <c r="K219" s="39"/>
      <c r="M219" s="346">
        <f>_xll.qlCalendarAdvance(Calendar,M218,"1M","f",,Trigger)</f>
        <v>48710</v>
      </c>
      <c r="N219" s="344">
        <f>_xll.qlCalendarAdvance(Calendar,M219,"3M","f",,Trigger)</f>
        <v>48802</v>
      </c>
      <c r="O219" s="40" t="str">
        <f>_xll.qlMakeDatedOIS(,M219,N219,OvernightIndex,0,,,,EvaluationDate)</f>
        <v>obj_00889#0000</v>
      </c>
      <c r="P219" s="40" t="b">
        <f>_xll.qlInstrumentSetPricingEngine(O219,OisEngine)</f>
        <v>1</v>
      </c>
      <c r="Q219" s="38">
        <f>_xll.qlIndexFixing(Currency&amp;IborType&amp;"6M",_xll.qlInterestRateIndexFixingDate(Currency&amp;IborType&amp;"6M",M219),TRUE,AllTriggers)</f>
        <v>2.363474813197609E-2</v>
      </c>
      <c r="R219" s="38">
        <f>_xll.qlOvernightIndexedSwapFairRate(O219,AllTriggers)</f>
        <v>2.259258759605667E-2</v>
      </c>
      <c r="S219" s="345">
        <f t="shared" si="7"/>
        <v>1.0421605359194203E-3</v>
      </c>
    </row>
    <row r="220" spans="5:19" ht="11.25" customHeight="1" x14ac:dyDescent="0.2">
      <c r="E220" s="254"/>
      <c r="F220" s="254"/>
      <c r="G220" s="39"/>
      <c r="J220" s="39"/>
      <c r="K220" s="39"/>
      <c r="M220" s="346">
        <f>_xll.qlCalendarAdvance(Calendar,M219,"1M","f",,Trigger)</f>
        <v>48743</v>
      </c>
      <c r="N220" s="344">
        <f>_xll.qlCalendarAdvance(Calendar,M220,"3M","f",,Trigger)</f>
        <v>48835</v>
      </c>
      <c r="O220" s="40" t="str">
        <f>_xll.qlMakeDatedOIS(,M220,N220,OvernightIndex,0,,,,EvaluationDate)</f>
        <v>obj_006b9#0000</v>
      </c>
      <c r="P220" s="40" t="b">
        <f>_xll.qlInstrumentSetPricingEngine(O220,OisEngine)</f>
        <v>1</v>
      </c>
      <c r="Q220" s="38">
        <f>_xll.qlIndexFixing(Currency&amp;IborType&amp;"6M",_xll.qlInterestRateIndexFixingDate(Currency&amp;IborType&amp;"6M",M220),TRUE,AllTriggers)</f>
        <v>2.3598964595015495E-2</v>
      </c>
      <c r="R220" s="38">
        <f>_xll.qlOvernightIndexedSwapFairRate(O220,AllTriggers)</f>
        <v>2.2565431530832319E-2</v>
      </c>
      <c r="S220" s="345">
        <f t="shared" si="7"/>
        <v>1.0335330641831758E-3</v>
      </c>
    </row>
    <row r="221" spans="5:19" ht="11.25" customHeight="1" x14ac:dyDescent="0.2">
      <c r="E221" s="254"/>
      <c r="F221" s="254"/>
      <c r="G221" s="39"/>
      <c r="J221" s="39"/>
      <c r="K221" s="39"/>
      <c r="M221" s="346">
        <f>_xll.qlCalendarAdvance(Calendar,M220,"1M","f",,Trigger)</f>
        <v>48773</v>
      </c>
      <c r="N221" s="344">
        <f>_xll.qlCalendarAdvance(Calendar,M221,"3M","f",,Trigger)</f>
        <v>48865</v>
      </c>
      <c r="O221" s="40" t="str">
        <f>_xll.qlMakeDatedOIS(,M221,N221,OvernightIndex,0,,,,EvaluationDate)</f>
        <v>obj_006bb#0000</v>
      </c>
      <c r="P221" s="40" t="b">
        <f>_xll.qlInstrumentSetPricingEngine(O221,OisEngine)</f>
        <v>1</v>
      </c>
      <c r="Q221" s="38">
        <f>_xll.qlIndexFixing(Currency&amp;IborType&amp;"6M",_xll.qlInterestRateIndexFixingDate(Currency&amp;IborType&amp;"6M",M221),TRUE,AllTriggers)</f>
        <v>2.3566234661764548E-2</v>
      </c>
      <c r="R221" s="38">
        <f>_xll.qlOvernightIndexedSwapFairRate(O221,AllTriggers)</f>
        <v>2.2540035524599572E-2</v>
      </c>
      <c r="S221" s="345">
        <f t="shared" si="7"/>
        <v>1.0261991371649758E-3</v>
      </c>
    </row>
    <row r="222" spans="5:19" ht="11.25" customHeight="1" x14ac:dyDescent="0.2">
      <c r="E222" s="254"/>
      <c r="F222" s="254"/>
      <c r="G222" s="39"/>
      <c r="J222" s="39"/>
      <c r="K222" s="39"/>
      <c r="M222" s="346">
        <f>_xll.qlCalendarAdvance(Calendar,M221,"1M","f",,Trigger)</f>
        <v>48806</v>
      </c>
      <c r="N222" s="344">
        <f>_xll.qlCalendarAdvance(Calendar,M222,"3M","f",,Trigger)</f>
        <v>48898</v>
      </c>
      <c r="O222" s="40" t="str">
        <f>_xll.qlMakeDatedOIS(,M222,N222,OvernightIndex,0,,,,EvaluationDate)</f>
        <v>obj_00a23#0000</v>
      </c>
      <c r="P222" s="40" t="b">
        <f>_xll.qlInstrumentSetPricingEngine(O222,OisEngine)</f>
        <v>1</v>
      </c>
      <c r="Q222" s="38">
        <f>_xll.qlIndexFixing(Currency&amp;IborType&amp;"6M",_xll.qlInterestRateIndexFixingDate(Currency&amp;IborType&amp;"6M",M222),TRUE,AllTriggers)</f>
        <v>2.3529320070765362E-2</v>
      </c>
      <c r="R222" s="38">
        <f>_xll.qlOvernightIndexedSwapFairRate(O222,AllTriggers)</f>
        <v>2.2511320392211161E-2</v>
      </c>
      <c r="S222" s="345">
        <f t="shared" si="7"/>
        <v>1.017999678554201E-3</v>
      </c>
    </row>
    <row r="223" spans="5:19" ht="11.25" customHeight="1" x14ac:dyDescent="0.2">
      <c r="E223" s="254"/>
      <c r="F223" s="254"/>
      <c r="G223" s="39"/>
      <c r="J223" s="39"/>
      <c r="K223" s="39"/>
      <c r="M223" s="346">
        <f>_xll.qlCalendarAdvance(Calendar,M222,"1M","f",,Trigger)</f>
        <v>48837</v>
      </c>
      <c r="N223" s="344">
        <f>_xll.qlCalendarAdvance(Calendar,M223,"3M","f",,Trigger)</f>
        <v>48928</v>
      </c>
      <c r="O223" s="40" t="str">
        <f>_xll.qlMakeDatedOIS(,M223,N223,OvernightIndex,0,,,,EvaluationDate)</f>
        <v>obj_008b0#0000</v>
      </c>
      <c r="P223" s="40" t="b">
        <f>_xll.qlInstrumentSetPricingEngine(O223,OisEngine)</f>
        <v>1</v>
      </c>
      <c r="Q223" s="38">
        <f>_xll.qlIndexFixing(Currency&amp;IborType&amp;"6M",_xll.qlInterestRateIndexFixingDate(Currency&amp;IborType&amp;"6M",M223),TRUE,AllTriggers)</f>
        <v>2.3493461930739694E-2</v>
      </c>
      <c r="R223" s="38">
        <f>_xll.qlOvernightIndexedSwapFairRate(O223,AllTriggers)</f>
        <v>2.2483359420822802E-2</v>
      </c>
      <c r="S223" s="345">
        <f t="shared" si="7"/>
        <v>1.0101025099168923E-3</v>
      </c>
    </row>
    <row r="224" spans="5:19" ht="11.25" customHeight="1" x14ac:dyDescent="0.2">
      <c r="E224" s="254"/>
      <c r="F224" s="254"/>
      <c r="G224" s="39"/>
      <c r="J224" s="39"/>
      <c r="K224" s="39"/>
      <c r="M224" s="346">
        <f>_xll.qlCalendarAdvance(Calendar,M223,"1M","f",,Trigger)</f>
        <v>48869</v>
      </c>
      <c r="N224" s="344">
        <f>_xll.qlCalendarAdvance(Calendar,M224,"3M","f",,Trigger)</f>
        <v>48961</v>
      </c>
      <c r="O224" s="40" t="str">
        <f>_xll.qlMakeDatedOIS(,M224,N224,OvernightIndex,0,,,,EvaluationDate)</f>
        <v>obj_009d0#0000</v>
      </c>
      <c r="P224" s="40" t="b">
        <f>_xll.qlInstrumentSetPricingEngine(O224,OisEngine)</f>
        <v>1</v>
      </c>
      <c r="Q224" s="38">
        <f>_xll.qlIndexFixing(Currency&amp;IborType&amp;"6M",_xll.qlInterestRateIndexFixingDate(Currency&amp;IborType&amp;"6M",M224),TRUE,AllTriggers)</f>
        <v>2.3456554278225773E-2</v>
      </c>
      <c r="R224" s="38">
        <f>_xll.qlOvernightIndexedSwapFairRate(O224,AllTriggers)</f>
        <v>2.2454232947014881E-2</v>
      </c>
      <c r="S224" s="345">
        <f t="shared" si="7"/>
        <v>1.0023213312108925E-3</v>
      </c>
    </row>
    <row r="225" spans="5:19" ht="11.25" customHeight="1" x14ac:dyDescent="0.2">
      <c r="E225" s="254"/>
      <c r="F225" s="254"/>
      <c r="G225" s="39"/>
      <c r="J225" s="39"/>
      <c r="K225" s="39"/>
      <c r="M225" s="346">
        <f>_xll.qlCalendarAdvance(Calendar,M224,"1M","f",,Trigger)</f>
        <v>48900</v>
      </c>
      <c r="N225" s="344">
        <f>_xll.qlCalendarAdvance(Calendar,M225,"3M","f",,Trigger)</f>
        <v>48992</v>
      </c>
      <c r="O225" s="40" t="str">
        <f>_xll.qlMakeDatedOIS(,M225,N225,OvernightIndex,0,,,,EvaluationDate)</f>
        <v>obj_006c0#0000</v>
      </c>
      <c r="P225" s="40" t="b">
        <f>_xll.qlInstrumentSetPricingEngine(O225,OisEngine)</f>
        <v>1</v>
      </c>
      <c r="Q225" s="38">
        <f>_xll.qlIndexFixing(Currency&amp;IborType&amp;"6M",_xll.qlInterestRateIndexFixingDate(Currency&amp;IborType&amp;"6M",M225),TRUE,AllTriggers)</f>
        <v>2.3419838963545603E-2</v>
      </c>
      <c r="R225" s="38">
        <f>_xll.qlOvernightIndexedSwapFairRate(O225,AllTriggers)</f>
        <v>2.2425049751397426E-2</v>
      </c>
      <c r="S225" s="345">
        <f t="shared" si="7"/>
        <v>9.9478921214817689E-4</v>
      </c>
    </row>
    <row r="226" spans="5:19" ht="11.25" customHeight="1" x14ac:dyDescent="0.2">
      <c r="E226" s="254"/>
      <c r="F226" s="254"/>
      <c r="G226" s="39"/>
      <c r="J226" s="39"/>
      <c r="K226" s="39"/>
      <c r="M226" s="346">
        <f>_xll.qlCalendarAdvance(Calendar,M225,"1M","f",,Trigger)</f>
        <v>48932</v>
      </c>
      <c r="N226" s="344">
        <f>_xll.qlCalendarAdvance(Calendar,M226,"3M","f",,Trigger)</f>
        <v>49023</v>
      </c>
      <c r="O226" s="40" t="str">
        <f>_xll.qlMakeDatedOIS(,M226,N226,OvernightIndex,0,,,,EvaluationDate)</f>
        <v>obj_00998#0000</v>
      </c>
      <c r="P226" s="40" t="b">
        <f>_xll.qlInstrumentSetPricingEngine(O226,OisEngine)</f>
        <v>1</v>
      </c>
      <c r="Q226" s="38">
        <f>_xll.qlIndexFixing(Currency&amp;IborType&amp;"6M",_xll.qlInterestRateIndexFixingDate(Currency&amp;IborType&amp;"6M",M226),TRUE,AllTriggers)</f>
        <v>2.3381599999277393E-2</v>
      </c>
      <c r="R226" s="38">
        <f>_xll.qlOvernightIndexedSwapFairRate(O226,AllTriggers)</f>
        <v>2.2393968238110094E-2</v>
      </c>
      <c r="S226" s="345">
        <f t="shared" si="7"/>
        <v>9.8763176116729856E-4</v>
      </c>
    </row>
    <row r="227" spans="5:19" ht="11.25" customHeight="1" x14ac:dyDescent="0.2">
      <c r="E227" s="254"/>
      <c r="F227" s="254"/>
      <c r="G227" s="39"/>
      <c r="J227" s="39"/>
      <c r="K227" s="39"/>
      <c r="M227" s="346">
        <f>_xll.qlCalendarAdvance(Calendar,M226,"1M","f",,Trigger)</f>
        <v>48963</v>
      </c>
      <c r="N227" s="344">
        <f>_xll.qlCalendarAdvance(Calendar,M227,"3M","f",,Trigger)</f>
        <v>49053</v>
      </c>
      <c r="O227" s="40" t="str">
        <f>_xll.qlMakeDatedOIS(,M227,N227,OvernightIndex,0,,,,EvaluationDate)</f>
        <v>obj_0092d#0000</v>
      </c>
      <c r="P227" s="40" t="b">
        <f>_xll.qlInstrumentSetPricingEngine(O227,OisEngine)</f>
        <v>1</v>
      </c>
      <c r="Q227" s="38">
        <f>_xll.qlIndexFixing(Currency&amp;IborType&amp;"6M",_xll.qlInterestRateIndexFixingDate(Currency&amp;IborType&amp;"6M",M227),TRUE,AllTriggers)</f>
        <v>2.3343644764698284E-2</v>
      </c>
      <c r="R227" s="38">
        <f>_xll.qlOvernightIndexedSwapFairRate(O227,AllTriggers)</f>
        <v>2.2363146295539593E-2</v>
      </c>
      <c r="S227" s="345">
        <f t="shared" si="7"/>
        <v>9.8049846915869085E-4</v>
      </c>
    </row>
    <row r="228" spans="5:19" ht="11.25" customHeight="1" x14ac:dyDescent="0.2">
      <c r="E228" s="254"/>
      <c r="F228" s="254"/>
      <c r="G228" s="39"/>
      <c r="J228" s="39"/>
      <c r="K228" s="39"/>
      <c r="M228" s="346">
        <f>_xll.qlCalendarAdvance(Calendar,M227,"1M","f",,Trigger)</f>
        <v>48995</v>
      </c>
      <c r="N228" s="344">
        <f>_xll.qlCalendarAdvance(Calendar,M228,"3M","f",,Trigger)</f>
        <v>49086</v>
      </c>
      <c r="O228" s="40" t="str">
        <f>_xll.qlMakeDatedOIS(,M228,N228,OvernightIndex,0,,,,EvaluationDate)</f>
        <v>obj_006c3#0000</v>
      </c>
      <c r="P228" s="40" t="b">
        <f>_xll.qlInstrumentSetPricingEngine(O228,OisEngine)</f>
        <v>1</v>
      </c>
      <c r="Q228" s="38">
        <f>_xll.qlIndexFixing(Currency&amp;IborType&amp;"6M",_xll.qlInterestRateIndexFixingDate(Currency&amp;IborType&amp;"6M",M228),TRUE,AllTriggers)</f>
        <v>2.3304074488178738E-2</v>
      </c>
      <c r="R228" s="38">
        <f>_xll.qlOvernightIndexedSwapFairRate(O228,AllTriggers)</f>
        <v>2.233095609714307E-2</v>
      </c>
      <c r="S228" s="345">
        <f t="shared" si="7"/>
        <v>9.7311839103566763E-4</v>
      </c>
    </row>
    <row r="229" spans="5:19" ht="11.25" customHeight="1" x14ac:dyDescent="0.2">
      <c r="E229" s="254"/>
      <c r="F229" s="254"/>
      <c r="G229" s="39"/>
      <c r="J229" s="39"/>
      <c r="K229" s="39"/>
      <c r="M229" s="346">
        <f>_xll.qlCalendarAdvance(Calendar,M228,"1M","f",,Trigger)</f>
        <v>49023</v>
      </c>
      <c r="N229" s="344">
        <f>_xll.qlCalendarAdvance(Calendar,M229,"3M","f",,Trigger)</f>
        <v>49115</v>
      </c>
      <c r="O229" s="40" t="str">
        <f>_xll.qlMakeDatedOIS(,M229,N229,OvernightIndex,0,,,,EvaluationDate)</f>
        <v>obj_008db#0000</v>
      </c>
      <c r="P229" s="40" t="b">
        <f>_xll.qlInstrumentSetPricingEngine(O229,OisEngine)</f>
        <v>1</v>
      </c>
      <c r="Q229" s="38">
        <f>_xll.qlIndexFixing(Currency&amp;IborType&amp;"6M",_xll.qlInterestRateIndexFixingDate(Currency&amp;IborType&amp;"6M",M229),TRUE,AllTriggers)</f>
        <v>2.3269002266862463E-2</v>
      </c>
      <c r="R229" s="38">
        <f>_xll.qlOvernightIndexedSwapFairRate(O229,AllTriggers)</f>
        <v>2.2302156798645889E-2</v>
      </c>
      <c r="S229" s="345">
        <f t="shared" si="7"/>
        <v>9.6684546821657405E-4</v>
      </c>
    </row>
    <row r="230" spans="5:19" ht="11.25" customHeight="1" x14ac:dyDescent="0.2">
      <c r="E230" s="254"/>
      <c r="F230" s="254"/>
      <c r="G230" s="39"/>
      <c r="J230" s="39"/>
      <c r="K230" s="39"/>
      <c r="M230" s="346">
        <f>_xll.qlCalendarAdvance(Calendar,M229,"1M","f",,Trigger)</f>
        <v>49054</v>
      </c>
      <c r="N230" s="344">
        <f>_xll.qlCalendarAdvance(Calendar,M230,"3M","f",,Trigger)</f>
        <v>49145</v>
      </c>
      <c r="O230" s="40" t="str">
        <f>_xll.qlMakeDatedOIS(,M230,N230,OvernightIndex,0,,,,EvaluationDate)</f>
        <v>obj_00888#0000</v>
      </c>
      <c r="P230" s="40" t="b">
        <f>_xll.qlInstrumentSetPricingEngine(O230,OisEngine)</f>
        <v>1</v>
      </c>
      <c r="Q230" s="38">
        <f>_xll.qlIndexFixing(Currency&amp;IborType&amp;"6M",_xll.qlInterestRateIndexFixingDate(Currency&amp;IborType&amp;"6M",M230),TRUE,AllTriggers)</f>
        <v>2.322923191778864E-2</v>
      </c>
      <c r="R230" s="38">
        <f>_xll.qlOvernightIndexedSwapFairRate(O230,AllTriggers)</f>
        <v>2.2269246402500907E-2</v>
      </c>
      <c r="S230" s="345">
        <f t="shared" si="7"/>
        <v>9.5998551528773263E-4</v>
      </c>
    </row>
    <row r="231" spans="5:19" ht="11.25" customHeight="1" x14ac:dyDescent="0.2">
      <c r="E231" s="254"/>
      <c r="F231" s="254"/>
      <c r="G231" s="39"/>
      <c r="J231" s="39"/>
      <c r="K231" s="39"/>
      <c r="M231" s="346">
        <f>_xll.qlCalendarAdvance(Calendar,M230,"1M","f",,Trigger)</f>
        <v>49086</v>
      </c>
      <c r="N231" s="344">
        <f>_xll.qlCalendarAdvance(Calendar,M231,"3M","f",,Trigger)</f>
        <v>49178</v>
      </c>
      <c r="O231" s="40" t="str">
        <f>_xll.qlMakeDatedOIS(,M231,N231,OvernightIndex,0,,,,EvaluationDate)</f>
        <v>obj_006c6#0000</v>
      </c>
      <c r="P231" s="40" t="b">
        <f>_xll.qlInstrumentSetPricingEngine(O231,OisEngine)</f>
        <v>1</v>
      </c>
      <c r="Q231" s="38">
        <f>_xll.qlIndexFixing(Currency&amp;IborType&amp;"6M",_xll.qlInterestRateIndexFixingDate(Currency&amp;IborType&amp;"6M",M231),TRUE,AllTriggers)</f>
        <v>2.318771986647206E-2</v>
      </c>
      <c r="R231" s="38">
        <f>_xll.qlOvernightIndexedSwapFairRate(O231,AllTriggers)</f>
        <v>2.2234818664453728E-2</v>
      </c>
      <c r="S231" s="345">
        <f t="shared" si="7"/>
        <v>9.5290120201833167E-4</v>
      </c>
    </row>
    <row r="232" spans="5:19" ht="11.25" customHeight="1" x14ac:dyDescent="0.2">
      <c r="E232" s="254"/>
      <c r="F232" s="254"/>
      <c r="G232" s="39"/>
      <c r="J232" s="39"/>
      <c r="K232" s="39"/>
      <c r="M232" s="346">
        <f>_xll.qlCalendarAdvance(Calendar,M231,"1M","f",,Trigger)</f>
        <v>49117</v>
      </c>
      <c r="N232" s="344">
        <f>_xll.qlCalendarAdvance(Calendar,M232,"3M","f",,Trigger)</f>
        <v>49209</v>
      </c>
      <c r="O232" s="40" t="str">
        <f>_xll.qlMakeDatedOIS(,M232,N232,OvernightIndex,0,,,,EvaluationDate)</f>
        <v>obj_006c8#0000</v>
      </c>
      <c r="P232" s="40" t="b">
        <f>_xll.qlInstrumentSetPricingEngine(O232,OisEngine)</f>
        <v>1</v>
      </c>
      <c r="Q232" s="38">
        <f>_xll.qlIndexFixing(Currency&amp;IborType&amp;"6M",_xll.qlInterestRateIndexFixingDate(Currency&amp;IborType&amp;"6M",M232),TRUE,AllTriggers)</f>
        <v>2.3146806095661596E-2</v>
      </c>
      <c r="R232" s="38">
        <f>_xll.qlOvernightIndexedSwapFairRate(O232,AllTriggers)</f>
        <v>2.2200591660336711E-2</v>
      </c>
      <c r="S232" s="345">
        <f t="shared" si="7"/>
        <v>9.4621443532488456E-4</v>
      </c>
    </row>
    <row r="233" spans="5:19" ht="11.25" customHeight="1" x14ac:dyDescent="0.2">
      <c r="E233" s="254"/>
      <c r="F233" s="254"/>
      <c r="G233" s="39"/>
      <c r="J233" s="39"/>
      <c r="K233" s="39"/>
      <c r="M233" s="346">
        <f>_xll.qlCalendarAdvance(Calendar,M232,"1M","f",,Trigger)</f>
        <v>49149</v>
      </c>
      <c r="N233" s="344">
        <f>_xll.qlCalendarAdvance(Calendar,M233,"3M","f",,Trigger)</f>
        <v>49241</v>
      </c>
      <c r="O233" s="40" t="str">
        <f>_xll.qlMakeDatedOIS(,M233,N233,OvernightIndex,0,,,,EvaluationDate)</f>
        <v>obj_0094b#0000</v>
      </c>
      <c r="P233" s="40" t="b">
        <f>_xll.qlInstrumentSetPricingEngine(O233,OisEngine)</f>
        <v>1</v>
      </c>
      <c r="Q233" s="38">
        <f>_xll.qlIndexFixing(Currency&amp;IborType&amp;"6M",_xll.qlInterestRateIndexFixingDate(Currency&amp;IborType&amp;"6M",M233),TRUE,AllTriggers)</f>
        <v>2.3104301665447479E-2</v>
      </c>
      <c r="R233" s="38">
        <f>_xll.qlOvernightIndexedSwapFairRate(O233,AllTriggers)</f>
        <v>2.216450485110109E-2</v>
      </c>
      <c r="S233" s="345">
        <f t="shared" si="7"/>
        <v>9.3979681434638862E-4</v>
      </c>
    </row>
    <row r="234" spans="5:19" ht="11.25" customHeight="1" x14ac:dyDescent="0.2">
      <c r="E234" s="254"/>
      <c r="F234" s="254"/>
      <c r="G234" s="39"/>
      <c r="J234" s="39"/>
      <c r="K234" s="39"/>
      <c r="M234" s="346">
        <f>_xll.qlCalendarAdvance(Calendar,M233,"1M","f",,Trigger)</f>
        <v>49180</v>
      </c>
      <c r="N234" s="344">
        <f>_xll.qlCalendarAdvance(Calendar,M234,"3M","f",,Trigger)</f>
        <v>49272</v>
      </c>
      <c r="O234" s="40" t="str">
        <f>_xll.qlMakeDatedOIS(,M234,N234,OvernightIndex,0,,,,EvaluationDate)</f>
        <v>obj_006cb#0000</v>
      </c>
      <c r="P234" s="40" t="b">
        <f>_xll.qlInstrumentSetPricingEngine(O234,OisEngine)</f>
        <v>1</v>
      </c>
      <c r="Q234" s="38">
        <f>_xll.qlIndexFixing(Currency&amp;IborType&amp;"6M",_xll.qlInterestRateIndexFixingDate(Currency&amp;IborType&amp;"6M",M234),TRUE,AllTriggers)</f>
        <v>2.3062914734125077E-2</v>
      </c>
      <c r="R234" s="38">
        <f>_xll.qlOvernightIndexedSwapFairRate(O234,AllTriggers)</f>
        <v>2.2128833098926368E-2</v>
      </c>
      <c r="S234" s="345">
        <f t="shared" si="7"/>
        <v>9.340816351987094E-4</v>
      </c>
    </row>
    <row r="235" spans="5:19" ht="11.25" customHeight="1" x14ac:dyDescent="0.2">
      <c r="E235" s="254"/>
      <c r="F235" s="254"/>
      <c r="G235" s="39"/>
      <c r="J235" s="39"/>
      <c r="K235" s="39"/>
      <c r="M235" s="346">
        <f>_xll.qlCalendarAdvance(Calendar,M234,"1M","f",,Trigger)</f>
        <v>49212</v>
      </c>
      <c r="N235" s="344">
        <f>_xll.qlCalendarAdvance(Calendar,M235,"3M","f",,Trigger)</f>
        <v>49305</v>
      </c>
      <c r="O235" s="40" t="str">
        <f>_xll.qlMakeDatedOIS(,M235,N235,OvernightIndex,0,,,,EvaluationDate)</f>
        <v>obj_009cf#0000</v>
      </c>
      <c r="P235" s="40" t="b">
        <f>_xll.qlInstrumentSetPricingEngine(O235,OisEngine)</f>
        <v>1</v>
      </c>
      <c r="Q235" s="38">
        <f>_xll.qlIndexFixing(Currency&amp;IborType&amp;"6M",_xll.qlInterestRateIndexFixingDate(Currency&amp;IborType&amp;"6M",M235),TRUE,AllTriggers)</f>
        <v>2.3019735810182591E-2</v>
      </c>
      <c r="R235" s="38">
        <f>_xll.qlOvernightIndexedSwapFairRate(O235,AllTriggers)</f>
        <v>2.2091550021938165E-2</v>
      </c>
      <c r="S235" s="345">
        <f t="shared" si="7"/>
        <v>9.281857882444261E-4</v>
      </c>
    </row>
    <row r="236" spans="5:19" ht="11.25" customHeight="1" x14ac:dyDescent="0.2">
      <c r="E236" s="254"/>
      <c r="F236" s="254"/>
      <c r="G236" s="39"/>
      <c r="J236" s="39"/>
      <c r="K236" s="39"/>
      <c r="M236" s="346">
        <f>_xll.qlCalendarAdvance(Calendar,M235,"1M","f",,Trigger)</f>
        <v>49242</v>
      </c>
      <c r="N236" s="344">
        <f>_xll.qlCalendarAdvance(Calendar,M236,"3M","f",,Trigger)</f>
        <v>49334</v>
      </c>
      <c r="O236" s="40" t="str">
        <f>_xll.qlMakeDatedOIS(,M236,N236,OvernightIndex,0,,,,EvaluationDate)</f>
        <v>obj_00997#0000</v>
      </c>
      <c r="P236" s="40" t="b">
        <f>_xll.qlInstrumentSetPricingEngine(O236,OisEngine)</f>
        <v>1</v>
      </c>
      <c r="Q236" s="38">
        <f>_xll.qlIndexFixing(Currency&amp;IborType&amp;"6M",_xll.qlInterestRateIndexFixingDate(Currency&amp;IborType&amp;"6M",M236),TRUE,AllTriggers)</f>
        <v>2.2979372234348393E-2</v>
      </c>
      <c r="R236" s="38">
        <f>_xll.qlOvernightIndexedSwapFairRate(O236,AllTriggers)</f>
        <v>2.205616343920706E-2</v>
      </c>
      <c r="S236" s="345">
        <f t="shared" si="7"/>
        <v>9.23208795141333E-4</v>
      </c>
    </row>
    <row r="237" spans="5:19" ht="11.25" customHeight="1" x14ac:dyDescent="0.2">
      <c r="E237" s="254"/>
      <c r="F237" s="254"/>
      <c r="G237" s="39"/>
      <c r="J237" s="39"/>
      <c r="K237" s="39"/>
      <c r="M237" s="346">
        <f>_xll.qlCalendarAdvance(Calendar,M236,"1M","f",,Trigger)</f>
        <v>49275</v>
      </c>
      <c r="N237" s="344">
        <f>_xll.qlCalendarAdvance(Calendar,M237,"3M","f",,Trigger)</f>
        <v>49367</v>
      </c>
      <c r="O237" s="40" t="str">
        <f>_xll.qlMakeDatedOIS(,M237,N237,OvernightIndex,0,,,,EvaluationDate)</f>
        <v>obj_006cf#0000</v>
      </c>
      <c r="P237" s="40" t="b">
        <f>_xll.qlInstrumentSetPricingEngine(O237,OisEngine)</f>
        <v>1</v>
      </c>
      <c r="Q237" s="38">
        <f>_xll.qlIndexFixing(Currency&amp;IborType&amp;"6M",_xll.qlInterestRateIndexFixingDate(Currency&amp;IborType&amp;"6M",M237),TRUE,AllTriggers)</f>
        <v>2.293517185898377E-2</v>
      </c>
      <c r="R237" s="38">
        <f>_xll.qlOvernightIndexedSwapFairRate(O237,AllTriggers)</f>
        <v>2.2017290054057073E-2</v>
      </c>
      <c r="S237" s="345">
        <f t="shared" si="7"/>
        <v>9.1788180492669708E-4</v>
      </c>
    </row>
    <row r="238" spans="5:19" ht="11.25" customHeight="1" x14ac:dyDescent="0.2">
      <c r="E238" s="254"/>
      <c r="F238" s="254"/>
      <c r="G238" s="39"/>
      <c r="J238" s="39"/>
      <c r="K238" s="39"/>
      <c r="M238" s="346">
        <f>_xll.qlCalendarAdvance(Calendar,M237,"1M","f",,Trigger)</f>
        <v>49305</v>
      </c>
      <c r="N238" s="344">
        <f>_xll.qlCalendarAdvance(Calendar,M238,"3M","f",,Trigger)</f>
        <v>49395</v>
      </c>
      <c r="O238" s="40" t="str">
        <f>_xll.qlMakeDatedOIS(,M238,N238,OvernightIndex,0,,,,EvaluationDate)</f>
        <v>obj_008f3#0000</v>
      </c>
      <c r="P238" s="40" t="b">
        <f>_xll.qlInstrumentSetPricingEngine(O238,OisEngine)</f>
        <v>1</v>
      </c>
      <c r="Q238" s="38">
        <f>_xll.qlIndexFixing(Currency&amp;IborType&amp;"6M",_xll.qlInterestRateIndexFixingDate(Currency&amp;IborType&amp;"6M",M238),TRUE,AllTriggers)</f>
        <v>2.2895142958617099E-2</v>
      </c>
      <c r="R238" s="38">
        <f>_xll.qlOvernightIndexedSwapFairRate(O238,AllTriggers)</f>
        <v>2.1981811191753131E-2</v>
      </c>
      <c r="S238" s="345">
        <f t="shared" si="7"/>
        <v>9.1333176686396803E-4</v>
      </c>
    </row>
    <row r="239" spans="5:19" ht="11.25" customHeight="1" x14ac:dyDescent="0.2">
      <c r="E239" s="254"/>
      <c r="F239" s="254"/>
      <c r="G239" s="39"/>
      <c r="J239" s="39"/>
      <c r="K239" s="39"/>
      <c r="M239" s="346">
        <f>_xll.qlCalendarAdvance(Calendar,M238,"1M","f",,Trigger)</f>
        <v>49338</v>
      </c>
      <c r="N239" s="344">
        <f>_xll.qlCalendarAdvance(Calendar,M239,"3M","f",,Trigger)</f>
        <v>49429</v>
      </c>
      <c r="O239" s="40" t="str">
        <f>_xll.qlMakeDatedOIS(,M239,N239,OvernightIndex,0,,,,EvaluationDate)</f>
        <v>obj_0092c#0000</v>
      </c>
      <c r="P239" s="40" t="b">
        <f>_xll.qlInstrumentSetPricingEngine(O239,OisEngine)</f>
        <v>1</v>
      </c>
      <c r="Q239" s="38">
        <f>_xll.qlIndexFixing(Currency&amp;IborType&amp;"6M",_xll.qlInterestRateIndexFixingDate(Currency&amp;IborType&amp;"6M",M239),TRUE,AllTriggers)</f>
        <v>2.2851279902607342E-2</v>
      </c>
      <c r="R239" s="38">
        <f>_xll.qlOvernightIndexedSwapFairRate(O239,AllTriggers)</f>
        <v>2.1943074515000854E-2</v>
      </c>
      <c r="S239" s="345">
        <f t="shared" si="7"/>
        <v>9.0820538760648731E-4</v>
      </c>
    </row>
    <row r="240" spans="5:19" ht="11.25" customHeight="1" x14ac:dyDescent="0.2">
      <c r="E240" s="254"/>
      <c r="F240" s="254"/>
      <c r="G240" s="39"/>
      <c r="J240" s="39"/>
      <c r="K240" s="39"/>
      <c r="M240" s="346">
        <f>_xll.qlCalendarAdvance(Calendar,M239,"1M","f",,Trigger)</f>
        <v>49368</v>
      </c>
      <c r="N240" s="344">
        <f>_xll.qlCalendarAdvance(Calendar,M240,"3M","f",,Trigger)</f>
        <v>49457</v>
      </c>
      <c r="O240" s="40" t="str">
        <f>_xll.qlMakeDatedOIS(,M240,N240,OvernightIndex,0,,,,EvaluationDate)</f>
        <v>obj_008da#0000</v>
      </c>
      <c r="P240" s="40" t="b">
        <f>_xll.qlInstrumentSetPricingEngine(O240,OisEngine)</f>
        <v>1</v>
      </c>
      <c r="Q240" s="38">
        <f>_xll.qlIndexFixing(Currency&amp;IborType&amp;"6M",_xll.qlInterestRateIndexFixingDate(Currency&amp;IborType&amp;"6M",M240),TRUE,AllTriggers)</f>
        <v>2.2811680985480542E-2</v>
      </c>
      <c r="R240" s="38">
        <f>_xll.qlOvernightIndexedSwapFairRate(O240,AllTriggers)</f>
        <v>2.1907653232893478E-2</v>
      </c>
      <c r="S240" s="345">
        <f t="shared" si="7"/>
        <v>9.040277525870638E-4</v>
      </c>
    </row>
    <row r="241" spans="5:19" ht="11.25" customHeight="1" x14ac:dyDescent="0.2">
      <c r="E241" s="254"/>
      <c r="F241" s="254"/>
      <c r="G241" s="39"/>
      <c r="J241" s="39"/>
      <c r="K241" s="39"/>
      <c r="M241" s="346">
        <f>_xll.qlCalendarAdvance(Calendar,M240,"1M","f",,Trigger)</f>
        <v>49396</v>
      </c>
      <c r="N241" s="344">
        <f>_xll.qlCalendarAdvance(Calendar,M241,"3M","f",,Trigger)</f>
        <v>49488</v>
      </c>
      <c r="O241" s="40" t="str">
        <f>_xll.qlMakeDatedOIS(,M241,N241,OvernightIndex,0,,,,EvaluationDate)</f>
        <v>obj_006d4#0000</v>
      </c>
      <c r="P241" s="40" t="b">
        <f>_xll.qlInstrumentSetPricingEngine(O241,OisEngine)</f>
        <v>1</v>
      </c>
      <c r="Q241" s="38">
        <f>_xll.qlIndexFixing(Currency&amp;IborType&amp;"6M",_xll.qlInterestRateIndexFixingDate(Currency&amp;IborType&amp;"6M",M241),TRUE,AllTriggers)</f>
        <v>2.277473869040406E-2</v>
      </c>
      <c r="R241" s="38">
        <f>_xll.qlOvernightIndexedSwapFairRate(O241,AllTriggers)</f>
        <v>2.1874992308089796E-2</v>
      </c>
      <c r="S241" s="345">
        <f t="shared" si="7"/>
        <v>8.9974638231426346E-4</v>
      </c>
    </row>
    <row r="242" spans="5:19" ht="11.25" customHeight="1" x14ac:dyDescent="0.2">
      <c r="E242" s="254"/>
      <c r="F242" s="254"/>
      <c r="G242" s="39"/>
      <c r="J242" s="39"/>
      <c r="K242" s="39"/>
      <c r="M242" s="346">
        <f>_xll.qlCalendarAdvance(Calendar,M241,"1M","f",,Trigger)</f>
        <v>49429</v>
      </c>
      <c r="N242" s="344">
        <f>_xll.qlCalendarAdvance(Calendar,M242,"3M","f",,Trigger)</f>
        <v>49520</v>
      </c>
      <c r="O242" s="40" t="str">
        <f>_xll.qlMakeDatedOIS(,M242,N242,OvernightIndex,0,,,,EvaluationDate)</f>
        <v>obj_00887#0000</v>
      </c>
      <c r="P242" s="40" t="b">
        <f>_xll.qlInstrumentSetPricingEngine(O242,OisEngine)</f>
        <v>1</v>
      </c>
      <c r="Q242" s="38">
        <f>_xll.qlIndexFixing(Currency&amp;IborType&amp;"6M",_xll.qlInterestRateIndexFixingDate(Currency&amp;IborType&amp;"6M",M242),TRUE,AllTriggers)</f>
        <v>2.2731362934852357E-2</v>
      </c>
      <c r="R242" s="38">
        <f>_xll.qlOvernightIndexedSwapFairRate(O242,AllTriggers)</f>
        <v>2.1836174612209099E-2</v>
      </c>
      <c r="S242" s="345">
        <f t="shared" si="7"/>
        <v>8.9518832264325748E-4</v>
      </c>
    </row>
    <row r="243" spans="5:19" ht="11.25" customHeight="1" x14ac:dyDescent="0.2">
      <c r="E243" s="254"/>
      <c r="F243" s="254"/>
      <c r="G243" s="39"/>
      <c r="J243" s="39"/>
      <c r="K243" s="39"/>
      <c r="M243" s="346">
        <f>_xll.qlCalendarAdvance(Calendar,M242,"1M","f",,Trigger)</f>
        <v>49459</v>
      </c>
      <c r="N243" s="344">
        <f>_xll.qlCalendarAdvance(Calendar,M243,"3M","f",,Trigger)</f>
        <v>49551</v>
      </c>
      <c r="O243" s="40" t="str">
        <f>_xll.qlMakeDatedOIS(,M243,N243,OvernightIndex,0,,,,EvaluationDate)</f>
        <v>obj_00901#0000</v>
      </c>
      <c r="P243" s="40" t="b">
        <f>_xll.qlInstrumentSetPricingEngine(O243,OisEngine)</f>
        <v>1</v>
      </c>
      <c r="Q243" s="38">
        <f>_xll.qlIndexFixing(Currency&amp;IborType&amp;"6M",_xll.qlInterestRateIndexFixingDate(Currency&amp;IborType&amp;"6M",M243),TRUE,AllTriggers)</f>
        <v>2.2692083815646892E-2</v>
      </c>
      <c r="R243" s="38">
        <f>_xll.qlOvernightIndexedSwapFairRate(O243,AllTriggers)</f>
        <v>2.1801052138331566E-2</v>
      </c>
      <c r="S243" s="345">
        <f t="shared" si="7"/>
        <v>8.9103167731532582E-4</v>
      </c>
    </row>
    <row r="244" spans="5:19" ht="11.25" customHeight="1" x14ac:dyDescent="0.2">
      <c r="E244" s="254"/>
      <c r="F244" s="254"/>
      <c r="G244" s="39"/>
      <c r="J244" s="39"/>
      <c r="K244" s="39"/>
      <c r="M244" s="346">
        <f>_xll.qlCalendarAdvance(Calendar,M243,"1M","f",,Trigger)</f>
        <v>49492</v>
      </c>
      <c r="N244" s="344">
        <f>_xll.qlCalendarAdvance(Calendar,M244,"3M","f",,Trigger)</f>
        <v>49584</v>
      </c>
      <c r="O244" s="40" t="str">
        <f>_xll.qlMakeDatedOIS(,M244,N244,OvernightIndex,0,,,,EvaluationDate)</f>
        <v>obj_009ce#0000</v>
      </c>
      <c r="P244" s="40" t="b">
        <f>_xll.qlInstrumentSetPricingEngine(O244,OisEngine)</f>
        <v>1</v>
      </c>
      <c r="Q244" s="38">
        <f>_xll.qlIndexFixing(Currency&amp;IborType&amp;"6M",_xll.qlInterestRateIndexFixingDate(Currency&amp;IborType&amp;"6M",M244),TRUE,AllTriggers)</f>
        <v>2.2649045498269547E-2</v>
      </c>
      <c r="R244" s="38">
        <f>_xll.qlOvernightIndexedSwapFairRate(O244,AllTriggers)</f>
        <v>2.176236221986343E-2</v>
      </c>
      <c r="S244" s="345">
        <f t="shared" si="7"/>
        <v>8.8668327840611683E-4</v>
      </c>
    </row>
    <row r="245" spans="5:19" ht="11.25" customHeight="1" x14ac:dyDescent="0.2">
      <c r="E245" s="254"/>
      <c r="F245" s="254"/>
      <c r="G245" s="39"/>
      <c r="J245" s="39"/>
      <c r="K245" s="39"/>
      <c r="M245" s="346">
        <f>_xll.qlCalendarAdvance(Calendar,M244,"1M","f",,Trigger)</f>
        <v>49523</v>
      </c>
      <c r="N245" s="344">
        <f>_xll.qlCalendarAdvance(Calendar,M245,"3M","f",,Trigger)</f>
        <v>49615</v>
      </c>
      <c r="O245" s="40" t="str">
        <f>_xll.qlMakeDatedOIS(,M245,N245,OvernightIndex,0,,,,EvaluationDate)</f>
        <v>obj_00996#0000</v>
      </c>
      <c r="P245" s="40" t="b">
        <f>_xll.qlInstrumentSetPricingEngine(O245,OisEngine)</f>
        <v>1</v>
      </c>
      <c r="Q245" s="38">
        <f>_xll.qlIndexFixing(Currency&amp;IborType&amp;"6M",_xll.qlInterestRateIndexFixingDate(Currency&amp;IborType&amp;"6M",M245),TRUE,AllTriggers)</f>
        <v>2.2608899474013424E-2</v>
      </c>
      <c r="R245" s="38">
        <f>_xll.qlOvernightIndexedSwapFairRate(O245,AllTriggers)</f>
        <v>2.1726042599455733E-2</v>
      </c>
      <c r="S245" s="345">
        <f t="shared" si="7"/>
        <v>8.8285687455769146E-4</v>
      </c>
    </row>
    <row r="246" spans="5:19" ht="11.25" customHeight="1" x14ac:dyDescent="0.2">
      <c r="E246" s="254"/>
      <c r="F246" s="254"/>
      <c r="G246" s="39"/>
      <c r="J246" s="39"/>
      <c r="K246" s="39"/>
      <c r="M246" s="346">
        <f>_xll.qlCalendarAdvance(Calendar,M245,"1M","f",,Trigger)</f>
        <v>49555</v>
      </c>
      <c r="N246" s="344">
        <f>_xll.qlCalendarAdvance(Calendar,M246,"3M","f",,Trigger)</f>
        <v>49646</v>
      </c>
      <c r="O246" s="40" t="str">
        <f>_xll.qlMakeDatedOIS(,M246,N246,OvernightIndex,0,,,,EvaluationDate)</f>
        <v>obj_006d9#0000</v>
      </c>
      <c r="P246" s="40" t="b">
        <f>_xll.qlInstrumentSetPricingEngine(O246,OisEngine)</f>
        <v>1</v>
      </c>
      <c r="Q246" s="38">
        <f>_xll.qlIndexFixing(Currency&amp;IborType&amp;"6M",_xll.qlInterestRateIndexFixingDate(Currency&amp;IborType&amp;"6M",M246),TRUE,AllTriggers)</f>
        <v>2.2567249270320604E-2</v>
      </c>
      <c r="R246" s="38">
        <f>_xll.qlOvernightIndexedSwapFairRate(O246,AllTriggers)</f>
        <v>2.168851009998074E-2</v>
      </c>
      <c r="S246" s="345">
        <f t="shared" si="7"/>
        <v>8.7873917033986365E-4</v>
      </c>
    </row>
    <row r="247" spans="5:19" ht="11.25" customHeight="1" x14ac:dyDescent="0.2">
      <c r="E247" s="254"/>
      <c r="F247" s="254"/>
      <c r="G247" s="39"/>
      <c r="J247" s="39"/>
      <c r="K247" s="39"/>
      <c r="M247" s="346">
        <f>_xll.qlCalendarAdvance(Calendar,M246,"1M","f",,Trigger)</f>
        <v>49585</v>
      </c>
      <c r="N247" s="344">
        <f>_xll.qlCalendarAdvance(Calendar,M247,"3M","f",,Trigger)</f>
        <v>49677</v>
      </c>
      <c r="O247" s="40" t="str">
        <f>_xll.qlMakeDatedOIS(,M247,N247,OvernightIndex,0,,,,EvaluationDate)</f>
        <v>obj_008f2#0000</v>
      </c>
      <c r="P247" s="40" t="b">
        <f>_xll.qlInstrumentSetPricingEngine(O247,OisEngine)</f>
        <v>1</v>
      </c>
      <c r="Q247" s="38">
        <f>_xll.qlIndexFixing(Currency&amp;IborType&amp;"6M",_xll.qlInterestRateIndexFixingDate(Currency&amp;IborType&amp;"6M",M247),TRUE,AllTriggers)</f>
        <v>2.2528645036810725E-2</v>
      </c>
      <c r="R247" s="38">
        <f>_xll.qlOvernightIndexedSwapFairRate(O247,AllTriggers)</f>
        <v>2.1653477333081688E-2</v>
      </c>
      <c r="S247" s="345">
        <f t="shared" si="7"/>
        <v>8.7516770372903646E-4</v>
      </c>
    </row>
    <row r="248" spans="5:19" ht="11.25" customHeight="1" x14ac:dyDescent="0.2">
      <c r="E248" s="254"/>
      <c r="F248" s="254"/>
      <c r="G248" s="39"/>
      <c r="J248" s="39"/>
      <c r="K248" s="39"/>
      <c r="M248" s="346">
        <f>_xll.qlCalendarAdvance(Calendar,M247,"1M","f",,Trigger)</f>
        <v>49618</v>
      </c>
      <c r="N248" s="344">
        <f>_xll.qlCalendarAdvance(Calendar,M248,"3M","f",,Trigger)</f>
        <v>49710</v>
      </c>
      <c r="O248" s="40" t="str">
        <f>_xll.qlMakeDatedOIS(,M248,N248,OvernightIndex,0,,,,EvaluationDate)</f>
        <v>obj_0092b#0000</v>
      </c>
      <c r="P248" s="40" t="b">
        <f>_xll.qlInstrumentSetPricingEngine(O248,OisEngine)</f>
        <v>1</v>
      </c>
      <c r="Q248" s="38">
        <f>_xll.qlIndexFixing(Currency&amp;IborType&amp;"6M",_xll.qlInterestRateIndexFixingDate(Currency&amp;IborType&amp;"6M",M248),TRUE,AllTriggers)</f>
        <v>2.2486219894358204E-2</v>
      </c>
      <c r="R248" s="38">
        <f>_xll.qlOvernightIndexedSwapFairRate(O248,AllTriggers)</f>
        <v>2.1614894103592946E-2</v>
      </c>
      <c r="S248" s="345">
        <f t="shared" si="7"/>
        <v>8.7132579076525801E-4</v>
      </c>
    </row>
    <row r="249" spans="5:19" ht="11.25" customHeight="1" x14ac:dyDescent="0.2">
      <c r="E249" s="254"/>
      <c r="F249" s="254"/>
      <c r="G249" s="39"/>
      <c r="J249" s="39"/>
      <c r="K249" s="39"/>
      <c r="M249" s="346">
        <f>_xll.qlCalendarAdvance(Calendar,M248,"1M","f",,Trigger)</f>
        <v>49648</v>
      </c>
      <c r="N249" s="344">
        <f>_xll.qlCalendarAdvance(Calendar,M249,"3M","f",,Trigger)</f>
        <v>49739</v>
      </c>
      <c r="O249" s="40" t="str">
        <f>_xll.qlMakeDatedOIS(,M249,N249,OvernightIndex,0,,,,EvaluationDate)</f>
        <v>obj_008d9#0000</v>
      </c>
      <c r="P249" s="40" t="b">
        <f>_xll.qlInstrumentSetPricingEngine(O249,OisEngine)</f>
        <v>1</v>
      </c>
      <c r="Q249" s="38">
        <f>_xll.qlIndexFixing(Currency&amp;IborType&amp;"6M",_xll.qlInterestRateIndexFixingDate(Currency&amp;IborType&amp;"6M",M249),TRUE,AllTriggers)</f>
        <v>2.2447922369758143E-2</v>
      </c>
      <c r="R249" s="38">
        <f>_xll.qlOvernightIndexedSwapFairRate(O249,AllTriggers)</f>
        <v>2.1579780866884165E-2</v>
      </c>
      <c r="S249" s="345">
        <f t="shared" si="7"/>
        <v>8.6814150287397793E-4</v>
      </c>
    </row>
    <row r="250" spans="5:19" ht="11.25" customHeight="1" x14ac:dyDescent="0.2">
      <c r="E250" s="254"/>
      <c r="F250" s="254"/>
      <c r="G250" s="39"/>
      <c r="J250" s="39"/>
      <c r="K250" s="39"/>
      <c r="M250" s="346">
        <f>_xll.qlCalendarAdvance(Calendar,M249,"1M","f",,Trigger)</f>
        <v>49681</v>
      </c>
      <c r="N250" s="344">
        <f>_xll.qlCalendarAdvance(Calendar,M250,"3M","f",,Trigger)</f>
        <v>49772</v>
      </c>
      <c r="O250" s="40" t="str">
        <f>_xll.qlMakeDatedOIS(,M250,N250,OvernightIndex,0,,,,EvaluationDate)</f>
        <v>obj_006de#0000</v>
      </c>
      <c r="P250" s="40" t="b">
        <f>_xll.qlInstrumentSetPricingEngine(O250,OisEngine)</f>
        <v>1</v>
      </c>
      <c r="Q250" s="38">
        <f>_xll.qlIndexFixing(Currency&amp;IborType&amp;"6M",_xll.qlInterestRateIndexFixingDate(Currency&amp;IborType&amp;"6M",M250),TRUE,AllTriggers)</f>
        <v>2.2405834384778431E-2</v>
      </c>
      <c r="R250" s="38">
        <f>_xll.qlOvernightIndexedSwapFairRate(O250,AllTriggers)</f>
        <v>2.1541252855368939E-2</v>
      </c>
      <c r="S250" s="345">
        <f t="shared" si="7"/>
        <v>8.6458152940949162E-4</v>
      </c>
    </row>
    <row r="251" spans="5:19" ht="11.25" customHeight="1" x14ac:dyDescent="0.2">
      <c r="E251" s="254"/>
      <c r="F251" s="254"/>
      <c r="G251" s="39"/>
      <c r="J251" s="39"/>
      <c r="K251" s="39"/>
      <c r="M251" s="346">
        <f>_xll.qlCalendarAdvance(Calendar,M250,"1M","f",,Trigger)</f>
        <v>49712</v>
      </c>
      <c r="N251" s="344">
        <f>_xll.qlCalendarAdvance(Calendar,M251,"3M","f",,Trigger)</f>
        <v>49802</v>
      </c>
      <c r="O251" s="40" t="str">
        <f>_xll.qlMakeDatedOIS(,M251,N251,OvernightIndex,0,,,,EvaluationDate)</f>
        <v>obj_00a20#0000</v>
      </c>
      <c r="P251" s="40" t="b">
        <f>_xll.qlInstrumentSetPricingEngine(O251,OisEngine)</f>
        <v>1</v>
      </c>
      <c r="Q251" s="38">
        <f>_xll.qlIndexFixing(Currency&amp;IborType&amp;"6M",_xll.qlInterestRateIndexFixingDate(Currency&amp;IborType&amp;"6M",M251),TRUE,AllTriggers)</f>
        <v>2.2366515946731069E-2</v>
      </c>
      <c r="R251" s="38">
        <f>_xll.qlOvernightIndexedSwapFairRate(O251,AllTriggers)</f>
        <v>2.1505027101891727E-2</v>
      </c>
      <c r="S251" s="345">
        <f t="shared" si="7"/>
        <v>8.6148884483934138E-4</v>
      </c>
    </row>
    <row r="252" spans="5:19" ht="11.25" customHeight="1" x14ac:dyDescent="0.2">
      <c r="E252" s="254"/>
      <c r="F252" s="254"/>
      <c r="G252" s="39"/>
      <c r="J252" s="39"/>
      <c r="K252" s="39"/>
      <c r="M252" s="346">
        <f>_xll.qlCalendarAdvance(Calendar,M251,"1M","f",,Trigger)</f>
        <v>49741</v>
      </c>
      <c r="N252" s="344">
        <f>_xll.qlCalendarAdvance(Calendar,M252,"3M","f",,Trigger)</f>
        <v>49835</v>
      </c>
      <c r="O252" s="40" t="str">
        <f>_xll.qlMakeDatedOIS(,M252,N252,OvernightIndex,0,,,,EvaluationDate)</f>
        <v>obj_009fc#0000</v>
      </c>
      <c r="P252" s="40" t="b">
        <f>_xll.qlInstrumentSetPricingEngine(O252,OisEngine)</f>
        <v>1</v>
      </c>
      <c r="Q252" s="38">
        <f>_xll.qlIndexFixing(Currency&amp;IborType&amp;"6M",_xll.qlInterestRateIndexFixingDate(Currency&amp;IborType&amp;"6M",M252),TRUE,AllTriggers)</f>
        <v>2.233006080152352E-2</v>
      </c>
      <c r="R252" s="38">
        <f>_xll.qlOvernightIndexedSwapFairRate(O252,AllTriggers)</f>
        <v>2.1471443007711366E-2</v>
      </c>
      <c r="S252" s="345">
        <f t="shared" si="7"/>
        <v>8.5861779381215392E-4</v>
      </c>
    </row>
    <row r="253" spans="5:19" ht="11.25" customHeight="1" x14ac:dyDescent="0.2">
      <c r="E253" s="254"/>
      <c r="F253" s="254"/>
      <c r="G253" s="39"/>
      <c r="J253" s="39"/>
      <c r="K253" s="39"/>
      <c r="M253" s="346">
        <f>_xll.qlCalendarAdvance(Calendar,M252,"1M","f",,Trigger)</f>
        <v>49772</v>
      </c>
      <c r="N253" s="344">
        <f>_xll.qlCalendarAdvance(Calendar,M253,"3M","f",,Trigger)</f>
        <v>49863</v>
      </c>
      <c r="O253" s="40" t="str">
        <f>_xll.qlMakeDatedOIS(,M253,N253,OvernightIndex,0,,,,EvaluationDate)</f>
        <v>obj_009cd#0000</v>
      </c>
      <c r="P253" s="40" t="b">
        <f>_xll.qlInstrumentSetPricingEngine(O253,OisEngine)</f>
        <v>1</v>
      </c>
      <c r="Q253" s="38">
        <f>_xll.qlIndexFixing(Currency&amp;IborType&amp;"6M",_xll.qlInterestRateIndexFixingDate(Currency&amp;IborType&amp;"6M",M253),TRUE,AllTriggers)</f>
        <v>2.2290920468894006E-2</v>
      </c>
      <c r="R253" s="38">
        <f>_xll.qlOvernightIndexedSwapFairRate(O253,AllTriggers)</f>
        <v>2.1435153660887392E-2</v>
      </c>
      <c r="S253" s="345">
        <f t="shared" si="7"/>
        <v>8.5576680800661387E-4</v>
      </c>
    </row>
    <row r="254" spans="5:19" ht="11.25" customHeight="1" x14ac:dyDescent="0.2">
      <c r="E254" s="254"/>
      <c r="F254" s="254"/>
      <c r="G254" s="39"/>
      <c r="J254" s="39"/>
      <c r="K254" s="39"/>
      <c r="M254" s="346">
        <f>_xll.qlCalendarAdvance(Calendar,M253,"1M","f",,Trigger)</f>
        <v>49802</v>
      </c>
      <c r="N254" s="344">
        <f>_xll.qlCalendarAdvance(Calendar,M254,"3M","f",,Trigger)</f>
        <v>49894</v>
      </c>
      <c r="O254" s="40" t="str">
        <f>_xll.qlMakeDatedOIS(,M254,N254,OvernightIndex,0,,,,EvaluationDate)</f>
        <v>obj_00995#0000</v>
      </c>
      <c r="P254" s="40" t="b">
        <f>_xll.qlInstrumentSetPricingEngine(O254,OisEngine)</f>
        <v>1</v>
      </c>
      <c r="Q254" s="38">
        <f>_xll.qlIndexFixing(Currency&amp;IborType&amp;"6M",_xll.qlInterestRateIndexFixingDate(Currency&amp;IborType&amp;"6M",M254),TRUE,AllTriggers)</f>
        <v>2.2253372886118894E-2</v>
      </c>
      <c r="R254" s="38">
        <f>_xll.qlOvernightIndexedSwapFairRate(O254,AllTriggers)</f>
        <v>2.1400275561520868E-2</v>
      </c>
      <c r="S254" s="345">
        <f t="shared" si="7"/>
        <v>8.5309732459802612E-4</v>
      </c>
    </row>
    <row r="255" spans="5:19" ht="11.25" customHeight="1" x14ac:dyDescent="0.2">
      <c r="E255" s="254"/>
      <c r="F255" s="254"/>
      <c r="G255" s="39"/>
      <c r="J255" s="39"/>
      <c r="K255" s="39"/>
      <c r="M255" s="346">
        <f>_xll.qlCalendarAdvance(Calendar,M254,"1M","f",,Trigger)</f>
        <v>49835</v>
      </c>
      <c r="N255" s="344">
        <f>_xll.qlCalendarAdvance(Calendar,M255,"3M","f",,Trigger)</f>
        <v>49927</v>
      </c>
      <c r="O255" s="40" t="str">
        <f>_xll.qlMakeDatedOIS(,M255,N255,OvernightIndex,0,,,,EvaluationDate)</f>
        <v>obj_008a1#0000</v>
      </c>
      <c r="P255" s="40" t="b">
        <f>_xll.qlInstrumentSetPricingEngine(O255,OisEngine)</f>
        <v>1</v>
      </c>
      <c r="Q255" s="38">
        <f>_xll.qlIndexFixing(Currency&amp;IborType&amp;"6M",_xll.qlInterestRateIndexFixingDate(Currency&amp;IborType&amp;"6M",M255),TRUE,AllTriggers)</f>
        <v>2.2212108794845479E-2</v>
      </c>
      <c r="R255" s="38">
        <f>_xll.qlOvernightIndexedSwapFairRate(O255,AllTriggers)</f>
        <v>2.1361876046347192E-2</v>
      </c>
      <c r="S255" s="345">
        <f t="shared" si="7"/>
        <v>8.5023274849828703E-4</v>
      </c>
    </row>
    <row r="256" spans="5:19" ht="11.25" customHeight="1" x14ac:dyDescent="0.2">
      <c r="E256" s="254"/>
      <c r="F256" s="254"/>
      <c r="G256" s="39"/>
      <c r="J256" s="39"/>
      <c r="K256" s="39"/>
      <c r="M256" s="346">
        <f>_xll.qlCalendarAdvance(Calendar,M255,"1M","f",,Trigger)</f>
        <v>49865</v>
      </c>
      <c r="N256" s="344">
        <f>_xll.qlCalendarAdvance(Calendar,M256,"3M","f",,Trigger)</f>
        <v>49957</v>
      </c>
      <c r="O256" s="40" t="str">
        <f>_xll.qlMakeDatedOIS(,M256,N256,OvernightIndex,0,,,,EvaluationDate)</f>
        <v>obj_006e4#0000</v>
      </c>
      <c r="P256" s="40" t="b">
        <f>_xll.qlInstrumentSetPricingEngine(O256,OisEngine)</f>
        <v>1</v>
      </c>
      <c r="Q256" s="38">
        <f>_xll.qlIndexFixing(Currency&amp;IborType&amp;"6M",_xll.qlInterestRateIndexFixingDate(Currency&amp;IborType&amp;"6M",M256),TRUE,AllTriggers)</f>
        <v>2.2174868017071241E-2</v>
      </c>
      <c r="R256" s="38">
        <f>_xll.qlOvernightIndexedSwapFairRate(O256,AllTriggers)</f>
        <v>2.1326991637365719E-2</v>
      </c>
      <c r="S256" s="345">
        <f t="shared" si="7"/>
        <v>8.4787637970552138E-4</v>
      </c>
    </row>
    <row r="257" spans="5:19" ht="11.25" customHeight="1" x14ac:dyDescent="0.2">
      <c r="E257" s="254"/>
      <c r="F257" s="254"/>
      <c r="G257" s="39"/>
      <c r="J257" s="39"/>
      <c r="K257" s="39"/>
      <c r="M257" s="346">
        <f>_xll.qlCalendarAdvance(Calendar,M256,"1M","f",,Trigger)</f>
        <v>49898</v>
      </c>
      <c r="N257" s="344">
        <f>_xll.qlCalendarAdvance(Calendar,M257,"3M","f",,Trigger)</f>
        <v>49990</v>
      </c>
      <c r="O257" s="40" t="str">
        <f>_xll.qlMakeDatedOIS(,M257,N257,OvernightIndex,0,,,,EvaluationDate)</f>
        <v>obj_006e6#0000</v>
      </c>
      <c r="P257" s="40" t="b">
        <f>_xll.qlInstrumentSetPricingEngine(O257,OisEngine)</f>
        <v>1</v>
      </c>
      <c r="Q257" s="38">
        <f>_xll.qlIndexFixing(Currency&amp;IborType&amp;"6M",_xll.qlInterestRateIndexFixingDate(Currency&amp;IborType&amp;"6M",M257),TRUE,AllTriggers)</f>
        <v>2.2134003311133427E-2</v>
      </c>
      <c r="R257" s="38">
        <f>_xll.qlOvernightIndexedSwapFairRate(O257,AllTriggers)</f>
        <v>2.1288645452033447E-2</v>
      </c>
      <c r="S257" s="345">
        <f t="shared" si="7"/>
        <v>8.453578590999801E-4</v>
      </c>
    </row>
    <row r="258" spans="5:19" ht="11.25" customHeight="1" x14ac:dyDescent="0.2">
      <c r="E258" s="254"/>
      <c r="F258" s="254"/>
      <c r="G258" s="39"/>
      <c r="J258" s="39"/>
      <c r="K258" s="39"/>
      <c r="M258" s="346">
        <f>_xll.qlCalendarAdvance(Calendar,M257,"1M","f",,Trigger)</f>
        <v>49929</v>
      </c>
      <c r="N258" s="344">
        <f>_xll.qlCalendarAdvance(Calendar,M258,"3M","f",,Trigger)</f>
        <v>50020</v>
      </c>
      <c r="O258" s="40" t="str">
        <f>_xll.qlMakeDatedOIS(,M258,N258,OvernightIndex,0,,,,EvaluationDate)</f>
        <v>obj_0092a#0000</v>
      </c>
      <c r="P258" s="40" t="b">
        <f>_xll.qlInstrumentSetPricingEngine(O258,OisEngine)</f>
        <v>1</v>
      </c>
      <c r="Q258" s="38">
        <f>_xll.qlIndexFixing(Currency&amp;IborType&amp;"6M",_xll.qlInterestRateIndexFixingDate(Currency&amp;IborType&amp;"6M",M258),TRUE,AllTriggers)</f>
        <v>2.2095588012841328E-2</v>
      </c>
      <c r="R258" s="38">
        <f>_xll.qlOvernightIndexedSwapFairRate(O258,AllTriggers)</f>
        <v>2.1252602711469407E-2</v>
      </c>
      <c r="S258" s="345">
        <f t="shared" si="7"/>
        <v>8.4298530137192143E-4</v>
      </c>
    </row>
    <row r="259" spans="5:19" ht="11.25" customHeight="1" x14ac:dyDescent="0.2">
      <c r="E259" s="254"/>
      <c r="F259" s="254"/>
      <c r="G259" s="39"/>
      <c r="J259" s="39"/>
      <c r="K259" s="39"/>
      <c r="M259" s="346">
        <f>_xll.qlCalendarAdvance(Calendar,M258,"1M","f",,Trigger)</f>
        <v>49961</v>
      </c>
      <c r="N259" s="344">
        <f>_xll.qlCalendarAdvance(Calendar,M259,"3M","f",,Trigger)</f>
        <v>50053</v>
      </c>
      <c r="O259" s="40" t="str">
        <f>_xll.qlMakeDatedOIS(,M259,N259,OvernightIndex,0,,,,EvaluationDate)</f>
        <v>obj_006e9#0000</v>
      </c>
      <c r="P259" s="40" t="b">
        <f>_xll.qlInstrumentSetPricingEngine(O259,OisEngine)</f>
        <v>1</v>
      </c>
      <c r="Q259" s="38">
        <f>_xll.qlIndexFixing(Currency&amp;IborType&amp;"6M",_xll.qlInterestRateIndexFixingDate(Currency&amp;IborType&amp;"6M",M259),TRUE,AllTriggers)</f>
        <v>2.2056353445130617E-2</v>
      </c>
      <c r="R259" s="38">
        <f>_xll.qlOvernightIndexedSwapFairRate(O259,AllTriggers)</f>
        <v>2.1215516664941494E-2</v>
      </c>
      <c r="S259" s="345">
        <f t="shared" ref="S259:S322" si="8">Q259-R259</f>
        <v>8.408367801891227E-4</v>
      </c>
    </row>
    <row r="260" spans="5:19" ht="11.25" customHeight="1" x14ac:dyDescent="0.2">
      <c r="E260" s="254"/>
      <c r="F260" s="254"/>
      <c r="G260" s="39"/>
      <c r="J260" s="39"/>
      <c r="K260" s="39"/>
      <c r="M260" s="346">
        <f>_xll.qlCalendarAdvance(Calendar,M259,"1M","f",,Trigger)</f>
        <v>49992</v>
      </c>
      <c r="N260" s="344">
        <f>_xll.qlCalendarAdvance(Calendar,M260,"3M","f",,Trigger)</f>
        <v>50084</v>
      </c>
      <c r="O260" s="40" t="str">
        <f>_xll.qlMakeDatedOIS(,M260,N260,OvernightIndex,0,,,,EvaluationDate)</f>
        <v>obj_006eb#0000</v>
      </c>
      <c r="P260" s="40" t="b">
        <f>_xll.qlInstrumentSetPricingEngine(O260,OisEngine)</f>
        <v>1</v>
      </c>
      <c r="Q260" s="38">
        <f>_xll.qlIndexFixing(Currency&amp;IborType&amp;"6M",_xll.qlInterestRateIndexFixingDate(Currency&amp;IborType&amp;"6M",M260),TRUE,AllTriggers)</f>
        <v>2.201837943121469E-2</v>
      </c>
      <c r="R260" s="38">
        <f>_xll.qlOvernightIndexedSwapFairRate(O260,AllTriggers)</f>
        <v>2.1179570029799949E-2</v>
      </c>
      <c r="S260" s="345">
        <f t="shared" si="8"/>
        <v>8.3880940141474111E-4</v>
      </c>
    </row>
    <row r="261" spans="5:19" ht="11.25" customHeight="1" x14ac:dyDescent="0.2">
      <c r="E261" s="254"/>
      <c r="F261" s="254"/>
      <c r="G261" s="39"/>
      <c r="J261" s="39"/>
      <c r="K261" s="39"/>
      <c r="M261" s="346">
        <f>_xll.qlCalendarAdvance(Calendar,M260,"1M","f",,Trigger)</f>
        <v>50024</v>
      </c>
      <c r="N261" s="344">
        <f>_xll.qlCalendarAdvance(Calendar,M261,"3M","f",,Trigger)</f>
        <v>50115</v>
      </c>
      <c r="O261" s="40" t="str">
        <f>_xll.qlMakeDatedOIS(,M261,N261,OvernightIndex,0,,,,EvaluationDate)</f>
        <v>obj_008d8#0000</v>
      </c>
      <c r="P261" s="40" t="b">
        <f>_xll.qlInstrumentSetPricingEngine(O261,OisEngine)</f>
        <v>1</v>
      </c>
      <c r="Q261" s="38">
        <f>_xll.qlIndexFixing(Currency&amp;IborType&amp;"6M",_xll.qlInterestRateIndexFixingDate(Currency&amp;IborType&amp;"6M",M261),TRUE,AllTriggers)</f>
        <v>2.197947208941594E-2</v>
      </c>
      <c r="R261" s="38">
        <f>_xll.qlOvernightIndexedSwapFairRate(O261,AllTriggers)</f>
        <v>2.1142448918215085E-2</v>
      </c>
      <c r="S261" s="345">
        <f t="shared" si="8"/>
        <v>8.3702317120085482E-4</v>
      </c>
    </row>
    <row r="262" spans="5:19" ht="11.25" customHeight="1" x14ac:dyDescent="0.2">
      <c r="E262" s="254"/>
      <c r="F262" s="254"/>
      <c r="G262" s="39"/>
      <c r="J262" s="39"/>
      <c r="K262" s="39"/>
      <c r="M262" s="346">
        <f>_xll.qlCalendarAdvance(Calendar,M261,"1M","f",,Trigger)</f>
        <v>50055</v>
      </c>
      <c r="N262" s="344">
        <f>_xll.qlCalendarAdvance(Calendar,M262,"3M","f",,Trigger)</f>
        <v>50145</v>
      </c>
      <c r="O262" s="40" t="str">
        <f>_xll.qlMakeDatedOIS(,M262,N262,OvernightIndex,0,,,,EvaluationDate)</f>
        <v>obj_00885#0000</v>
      </c>
      <c r="P262" s="40" t="b">
        <f>_xll.qlInstrumentSetPricingEngine(O262,OisEngine)</f>
        <v>1</v>
      </c>
      <c r="Q262" s="38">
        <f>_xll.qlIndexFixing(Currency&amp;IborType&amp;"6M",_xll.qlInterestRateIndexFixingDate(Currency&amp;IborType&amp;"6M",M262),TRUE,AllTriggers)</f>
        <v>2.1941814211072799E-2</v>
      </c>
      <c r="R262" s="38">
        <f>_xll.qlOvernightIndexedSwapFairRate(O262,AllTriggers)</f>
        <v>2.1106514983981306E-2</v>
      </c>
      <c r="S262" s="345">
        <f t="shared" si="8"/>
        <v>8.352992270914926E-4</v>
      </c>
    </row>
    <row r="263" spans="5:19" ht="11.25" customHeight="1" x14ac:dyDescent="0.2">
      <c r="E263" s="254"/>
      <c r="F263" s="254"/>
      <c r="G263" s="39"/>
      <c r="J263" s="39"/>
      <c r="K263" s="39"/>
      <c r="M263" s="346">
        <f>_xll.qlCalendarAdvance(Calendar,M262,"1M","f",,Trigger)</f>
        <v>50087</v>
      </c>
      <c r="N263" s="344">
        <f>_xll.qlCalendarAdvance(Calendar,M263,"3M","f",,Trigger)</f>
        <v>50178</v>
      </c>
      <c r="O263" s="40" t="str">
        <f>_xll.qlMakeDatedOIS(,M263,N263,OvernightIndex,0,,,,EvaluationDate)</f>
        <v>obj_009fb#0000</v>
      </c>
      <c r="P263" s="40" t="b">
        <f>_xll.qlInstrumentSetPricingEngine(O263,OisEngine)</f>
        <v>1</v>
      </c>
      <c r="Q263" s="38">
        <f>_xll.qlIndexFixing(Currency&amp;IborType&amp;"6M",_xll.qlInterestRateIndexFixingDate(Currency&amp;IborType&amp;"6M",M263),TRUE,AllTriggers)</f>
        <v>2.1903234112482725E-2</v>
      </c>
      <c r="R263" s="38">
        <f>_xll.qlOvernightIndexedSwapFairRate(O263,AllTriggers)</f>
        <v>2.1069527184817027E-2</v>
      </c>
      <c r="S263" s="345">
        <f t="shared" si="8"/>
        <v>8.3370692766569776E-4</v>
      </c>
    </row>
    <row r="264" spans="5:19" ht="11.25" customHeight="1" x14ac:dyDescent="0.2">
      <c r="E264" s="254"/>
      <c r="F264" s="254"/>
      <c r="G264" s="39"/>
      <c r="J264" s="39"/>
      <c r="K264" s="39"/>
      <c r="M264" s="346">
        <f>_xll.qlCalendarAdvance(Calendar,M263,"1M","f",,Trigger)</f>
        <v>50115</v>
      </c>
      <c r="N264" s="344">
        <f>_xll.qlCalendarAdvance(Calendar,M264,"3M","f",,Trigger)</f>
        <v>50207</v>
      </c>
      <c r="O264" s="40" t="str">
        <f>_xll.qlMakeDatedOIS(,M264,N264,OvernightIndex,0,,,,EvaluationDate)</f>
        <v>obj_009cc#0000</v>
      </c>
      <c r="P264" s="40" t="b">
        <f>_xll.qlInstrumentSetPricingEngine(O264,OisEngine)</f>
        <v>1</v>
      </c>
      <c r="Q264" s="38">
        <f>_xll.qlIndexFixing(Currency&amp;IborType&amp;"6M",_xll.qlInterestRateIndexFixingDate(Currency&amp;IborType&amp;"6M",M264),TRUE,AllTriggers)</f>
        <v>2.1869685172522694E-2</v>
      </c>
      <c r="R264" s="38">
        <f>_xll.qlOvernightIndexedSwapFairRate(O264,AllTriggers)</f>
        <v>2.1037185968375272E-2</v>
      </c>
      <c r="S264" s="345">
        <f t="shared" si="8"/>
        <v>8.3249920414742162E-4</v>
      </c>
    </row>
    <row r="265" spans="5:19" ht="11.25" customHeight="1" x14ac:dyDescent="0.2">
      <c r="E265" s="254"/>
      <c r="F265" s="254"/>
      <c r="G265" s="39"/>
      <c r="J265" s="39"/>
      <c r="K265" s="39"/>
      <c r="M265" s="346">
        <f>_xll.qlCalendarAdvance(Calendar,M264,"1M","f",,Trigger)</f>
        <v>50146</v>
      </c>
      <c r="N265" s="344">
        <f>_xll.qlCalendarAdvance(Calendar,M265,"3M","f",,Trigger)</f>
        <v>50237</v>
      </c>
      <c r="O265" s="40" t="str">
        <f>_xll.qlMakeDatedOIS(,M265,N265,OvernightIndex,0,,,,EvaluationDate)</f>
        <v>obj_00994#0000</v>
      </c>
      <c r="P265" s="40" t="b">
        <f>_xll.qlInstrumentSetPricingEngine(O265,OisEngine)</f>
        <v>1</v>
      </c>
      <c r="Q265" s="38">
        <f>_xll.qlIndexFixing(Currency&amp;IborType&amp;"6M",_xll.qlInterestRateIndexFixingDate(Currency&amp;IborType&amp;"6M",M265),TRUE,AllTriggers)</f>
        <v>2.1832484298492192E-2</v>
      </c>
      <c r="R265" s="38">
        <f>_xll.qlOvernightIndexedSwapFairRate(O265,AllTriggers)</f>
        <v>2.1001327685419732E-2</v>
      </c>
      <c r="S265" s="345">
        <f t="shared" si="8"/>
        <v>8.3115661307246042E-4</v>
      </c>
    </row>
    <row r="266" spans="5:19" ht="11.25" customHeight="1" x14ac:dyDescent="0.2">
      <c r="E266" s="254"/>
      <c r="F266" s="254"/>
      <c r="G266" s="39"/>
      <c r="J266" s="39"/>
      <c r="K266" s="39"/>
      <c r="M266" s="346">
        <f>_xll.qlCalendarAdvance(Calendar,M265,"1M","f",,Trigger)</f>
        <v>50178</v>
      </c>
      <c r="N266" s="344">
        <f>_xll.qlCalendarAdvance(Calendar,M266,"3M","f",,Trigger)</f>
        <v>50270</v>
      </c>
      <c r="O266" s="40" t="str">
        <f>_xll.qlMakeDatedOIS(,M266,N266,OvernightIndex,0,,,,EvaluationDate)</f>
        <v>obj_0096f#0000</v>
      </c>
      <c r="P266" s="40" t="b">
        <f>_xll.qlInstrumentSetPricingEngine(O266,OisEngine)</f>
        <v>1</v>
      </c>
      <c r="Q266" s="38">
        <f>_xll.qlIndexFixing(Currency&amp;IborType&amp;"6M",_xll.qlInterestRateIndexFixingDate(Currency&amp;IborType&amp;"6M",M266),TRUE,AllTriggers)</f>
        <v>2.1794377518212348E-2</v>
      </c>
      <c r="R266" s="38">
        <f>_xll.qlOvernightIndexedSwapFairRate(O266,AllTriggers)</f>
        <v>2.0964407807592175E-2</v>
      </c>
      <c r="S266" s="345">
        <f t="shared" si="8"/>
        <v>8.2996971062017366E-4</v>
      </c>
    </row>
    <row r="267" spans="5:19" ht="11.25" customHeight="1" x14ac:dyDescent="0.2">
      <c r="E267" s="254"/>
      <c r="F267" s="254"/>
      <c r="G267" s="39"/>
      <c r="J267" s="39"/>
      <c r="K267" s="39"/>
      <c r="M267" s="346">
        <f>_xll.qlCalendarAdvance(Calendar,M266,"1M","f",,Trigger)</f>
        <v>50209</v>
      </c>
      <c r="N267" s="344">
        <f>_xll.qlCalendarAdvance(Calendar,M267,"3M","f",,Trigger)</f>
        <v>50301</v>
      </c>
      <c r="O267" s="40" t="str">
        <f>_xll.qlMakeDatedOIS(,M267,N267,OvernightIndex,0,,,,EvaluationDate)</f>
        <v>obj_00929#0000</v>
      </c>
      <c r="P267" s="40" t="b">
        <f>_xll.qlInstrumentSetPricingEngine(O267,OisEngine)</f>
        <v>1</v>
      </c>
      <c r="Q267" s="38">
        <f>_xll.qlIndexFixing(Currency&amp;IborType&amp;"6M",_xll.qlInterestRateIndexFixingDate(Currency&amp;IborType&amp;"6M",M267),TRUE,AllTriggers)</f>
        <v>2.1757492611327423E-2</v>
      </c>
      <c r="R267" s="38">
        <f>_xll.qlOvernightIndexedSwapFairRate(O267,AllTriggers)</f>
        <v>2.0928633695761915E-2</v>
      </c>
      <c r="S267" s="345">
        <f t="shared" si="8"/>
        <v>8.2885891556550712E-4</v>
      </c>
    </row>
    <row r="268" spans="5:19" ht="11.25" customHeight="1" x14ac:dyDescent="0.2">
      <c r="E268" s="254"/>
      <c r="F268" s="254"/>
      <c r="G268" s="39"/>
      <c r="J268" s="39"/>
      <c r="K268" s="39"/>
      <c r="M268" s="346">
        <f>_xll.qlCalendarAdvance(Calendar,M267,"1M","f",,Trigger)</f>
        <v>50241</v>
      </c>
      <c r="N268" s="344">
        <f>_xll.qlCalendarAdvance(Calendar,M268,"3M","f",,Trigger)</f>
        <v>50333</v>
      </c>
      <c r="O268" s="40" t="str">
        <f>_xll.qlMakeDatedOIS(,M268,N268,OvernightIndex,0,,,,EvaluationDate)</f>
        <v>obj_008d7#0000</v>
      </c>
      <c r="P268" s="40" t="b">
        <f>_xll.qlInstrumentSetPricingEngine(O268,OisEngine)</f>
        <v>1</v>
      </c>
      <c r="Q268" s="38">
        <f>_xll.qlIndexFixing(Currency&amp;IborType&amp;"6M",_xll.qlInterestRateIndexFixingDate(Currency&amp;IborType&amp;"6M",M268),TRUE,AllTriggers)</f>
        <v>2.1719713171680789E-2</v>
      </c>
      <c r="R268" s="38">
        <f>_xll.qlOvernightIndexedSwapFairRate(O268,AllTriggers)</f>
        <v>2.0891731429086461E-2</v>
      </c>
      <c r="S268" s="345">
        <f t="shared" si="8"/>
        <v>8.2798174259432825E-4</v>
      </c>
    </row>
    <row r="269" spans="5:19" ht="11.25" customHeight="1" x14ac:dyDescent="0.2">
      <c r="E269" s="254"/>
      <c r="F269" s="254"/>
      <c r="G269" s="39"/>
      <c r="J269" s="39"/>
      <c r="K269" s="39"/>
      <c r="M269" s="346">
        <f>_xll.qlCalendarAdvance(Calendar,M268,"1M","f",,Trigger)</f>
        <v>50272</v>
      </c>
      <c r="N269" s="344">
        <f>_xll.qlCalendarAdvance(Calendar,M269,"3M","f",,Trigger)</f>
        <v>50364</v>
      </c>
      <c r="O269" s="40" t="str">
        <f>_xll.qlMakeDatedOIS(,M269,N269,OvernightIndex,0,,,,EvaluationDate)</f>
        <v>obj_00884#0000</v>
      </c>
      <c r="P269" s="40" t="b">
        <f>_xll.qlInstrumentSetPricingEngine(O269,OisEngine)</f>
        <v>1</v>
      </c>
      <c r="Q269" s="38">
        <f>_xll.qlIndexFixing(Currency&amp;IborType&amp;"6M",_xll.qlInterestRateIndexFixingDate(Currency&amp;IborType&amp;"6M",M269),TRUE,AllTriggers)</f>
        <v>2.1683340860645023E-2</v>
      </c>
      <c r="R269" s="38">
        <f>_xll.qlOvernightIndexedSwapFairRate(O269,AllTriggers)</f>
        <v>2.0856007398545755E-2</v>
      </c>
      <c r="S269" s="345">
        <f t="shared" si="8"/>
        <v>8.2733346209926811E-4</v>
      </c>
    </row>
    <row r="270" spans="5:19" ht="11.25" customHeight="1" x14ac:dyDescent="0.2">
      <c r="E270" s="254"/>
      <c r="F270" s="254"/>
      <c r="G270" s="39"/>
      <c r="J270" s="39"/>
      <c r="K270" s="39"/>
      <c r="M270" s="346">
        <f>_xll.qlCalendarAdvance(Calendar,M269,"1M","f",,Trigger)</f>
        <v>50304</v>
      </c>
      <c r="N270" s="344">
        <f>_xll.qlCalendarAdvance(Calendar,M270,"3M","f",,Trigger)</f>
        <v>50395</v>
      </c>
      <c r="O270" s="40" t="str">
        <f>_xll.qlMakeDatedOIS(,M270,N270,OvernightIndex,0,,,,EvaluationDate)</f>
        <v>obj_00a1e#0000</v>
      </c>
      <c r="P270" s="40" t="b">
        <f>_xll.qlInstrumentSetPricingEngine(O270,OisEngine)</f>
        <v>1</v>
      </c>
      <c r="Q270" s="38">
        <f>_xll.qlIndexFixing(Currency&amp;IborType&amp;"6M",_xll.qlInterestRateIndexFixingDate(Currency&amp;IborType&amp;"6M",M270),TRUE,AllTriggers)</f>
        <v>2.1645560250427812E-2</v>
      </c>
      <c r="R270" s="38">
        <f>_xll.qlOvernightIndexedSwapFairRate(O270,AllTriggers)</f>
        <v>2.0819131269499698E-2</v>
      </c>
      <c r="S270" s="345">
        <f t="shared" si="8"/>
        <v>8.2642898092811362E-4</v>
      </c>
    </row>
    <row r="271" spans="5:19" ht="11.25" customHeight="1" x14ac:dyDescent="0.2">
      <c r="E271" s="254"/>
      <c r="F271" s="254"/>
      <c r="G271" s="39"/>
      <c r="J271" s="39"/>
      <c r="K271" s="39"/>
      <c r="M271" s="346">
        <f>_xll.qlCalendarAdvance(Calendar,M270,"1M","f",,Trigger)</f>
        <v>50334</v>
      </c>
      <c r="N271" s="344">
        <f>_xll.qlCalendarAdvance(Calendar,M271,"3M","f",,Trigger)</f>
        <v>50426</v>
      </c>
      <c r="O271" s="40" t="str">
        <f>_xll.qlMakeDatedOIS(,M271,N271,OvernightIndex,0,,,,EvaluationDate)</f>
        <v>obj_009fa#0000</v>
      </c>
      <c r="P271" s="40" t="b">
        <f>_xll.qlInstrumentSetPricingEngine(O271,OisEngine)</f>
        <v>1</v>
      </c>
      <c r="Q271" s="38">
        <f>_xll.qlIndexFixing(Currency&amp;IborType&amp;"6M",_xll.qlInterestRateIndexFixingDate(Currency&amp;IborType&amp;"6M",M271),TRUE,AllTriggers)</f>
        <v>2.1610537486040304E-2</v>
      </c>
      <c r="R271" s="38">
        <f>_xll.qlOvernightIndexedSwapFairRate(O271,AllTriggers)</f>
        <v>2.0784633263298491E-2</v>
      </c>
      <c r="S271" s="345">
        <f t="shared" si="8"/>
        <v>8.2590422274181341E-4</v>
      </c>
    </row>
    <row r="272" spans="5:19" ht="11.25" customHeight="1" x14ac:dyDescent="0.2">
      <c r="E272" s="254"/>
      <c r="F272" s="254"/>
      <c r="G272" s="39"/>
      <c r="J272" s="39"/>
      <c r="K272" s="39"/>
      <c r="M272" s="346">
        <f>_xll.qlCalendarAdvance(Calendar,M271,"1M","f",,Trigger)</f>
        <v>50367</v>
      </c>
      <c r="N272" s="344">
        <f>_xll.qlCalendarAdvance(Calendar,M272,"3M","f",,Trigger)</f>
        <v>50459</v>
      </c>
      <c r="O272" s="40" t="str">
        <f>_xll.qlMakeDatedOIS(,M272,N272,OvernightIndex,0,,,,EvaluationDate)</f>
        <v>obj_009cb#0000</v>
      </c>
      <c r="P272" s="40" t="b">
        <f>_xll.qlInstrumentSetPricingEngine(O272,OisEngine)</f>
        <v>1</v>
      </c>
      <c r="Q272" s="38">
        <f>_xll.qlIndexFixing(Currency&amp;IborType&amp;"6M",_xll.qlInterestRateIndexFixingDate(Currency&amp;IborType&amp;"6M",M272),TRUE,AllTriggers)</f>
        <v>2.1572180855914599E-2</v>
      </c>
      <c r="R272" s="38">
        <f>_xll.qlOvernightIndexedSwapFairRate(O272,AllTriggers)</f>
        <v>2.0746683996550313E-2</v>
      </c>
      <c r="S272" s="345">
        <f t="shared" si="8"/>
        <v>8.2549685936428654E-4</v>
      </c>
    </row>
    <row r="273" spans="5:19" ht="11.25" customHeight="1" x14ac:dyDescent="0.2">
      <c r="E273" s="254"/>
      <c r="F273" s="254"/>
      <c r="G273" s="39"/>
      <c r="J273" s="39"/>
      <c r="K273" s="39"/>
      <c r="M273" s="346">
        <f>_xll.qlCalendarAdvance(Calendar,M272,"1M","f",,Trigger)</f>
        <v>50397</v>
      </c>
      <c r="N273" s="344">
        <f>_xll.qlCalendarAdvance(Calendar,M273,"3M","f",,Trigger)</f>
        <v>50487</v>
      </c>
      <c r="O273" s="40" t="str">
        <f>_xll.qlMakeDatedOIS(,M273,N273,OvernightIndex,0,,,,EvaluationDate)</f>
        <v>obj_00993#0000</v>
      </c>
      <c r="P273" s="40" t="b">
        <f>_xll.qlInstrumentSetPricingEngine(O273,OisEngine)</f>
        <v>1</v>
      </c>
      <c r="Q273" s="38">
        <f>_xll.qlIndexFixing(Currency&amp;IborType&amp;"6M",_xll.qlInterestRateIndexFixingDate(Currency&amp;IborType&amp;"6M",M273),TRUE,AllTriggers)</f>
        <v>2.15374642845488E-2</v>
      </c>
      <c r="R273" s="38">
        <f>_xll.qlOvernightIndexedSwapFairRate(O273,AllTriggers)</f>
        <v>2.0712167663887726E-2</v>
      </c>
      <c r="S273" s="345">
        <f t="shared" si="8"/>
        <v>8.2529662066107429E-4</v>
      </c>
    </row>
    <row r="274" spans="5:19" ht="11.25" customHeight="1" x14ac:dyDescent="0.2">
      <c r="E274" s="254"/>
      <c r="F274" s="254"/>
      <c r="G274" s="39"/>
      <c r="J274" s="39"/>
      <c r="K274" s="39"/>
      <c r="M274" s="346">
        <f>_xll.qlCalendarAdvance(Calendar,M273,"1M","f",,Trigger)</f>
        <v>50430</v>
      </c>
      <c r="N274" s="344">
        <f>_xll.qlCalendarAdvance(Calendar,M274,"3M","f",,Trigger)</f>
        <v>50522</v>
      </c>
      <c r="O274" s="40" t="str">
        <f>_xll.qlMakeDatedOIS(,M274,N274,OvernightIndex,0,,,,EvaluationDate)</f>
        <v>obj_0096e#0000</v>
      </c>
      <c r="P274" s="40" t="b">
        <f>_xll.qlInstrumentSetPricingEngine(O274,OisEngine)</f>
        <v>1</v>
      </c>
      <c r="Q274" s="38">
        <f>_xll.qlIndexFixing(Currency&amp;IborType&amp;"6M",_xll.qlInterestRateIndexFixingDate(Currency&amp;IborType&amp;"6M",M274),TRUE,AllTriggers)</f>
        <v>2.1499444448338928E-2</v>
      </c>
      <c r="R274" s="38">
        <f>_xll.qlOvernightIndexedSwapFairRate(O274,AllTriggers)</f>
        <v>2.0674312931361832E-2</v>
      </c>
      <c r="S274" s="345">
        <f t="shared" si="8"/>
        <v>8.2513151697709633E-4</v>
      </c>
    </row>
    <row r="275" spans="5:19" ht="11.25" customHeight="1" x14ac:dyDescent="0.2">
      <c r="E275" s="254"/>
      <c r="F275" s="254"/>
      <c r="G275" s="39"/>
      <c r="J275" s="39"/>
      <c r="K275" s="39"/>
      <c r="M275" s="346">
        <f>_xll.qlCalendarAdvance(Calendar,M274,"1M","f",,Trigger)</f>
        <v>50461</v>
      </c>
      <c r="N275" s="344">
        <f>_xll.qlCalendarAdvance(Calendar,M275,"3M","f",,Trigger)</f>
        <v>50550</v>
      </c>
      <c r="O275" s="40" t="str">
        <f>_xll.qlMakeDatedOIS(,M275,N275,OvernightIndex,0,,,,EvaluationDate)</f>
        <v>obj_00928#0000</v>
      </c>
      <c r="P275" s="40" t="b">
        <f>_xll.qlInstrumentSetPricingEngine(O275,OisEngine)</f>
        <v>1</v>
      </c>
      <c r="Q275" s="38">
        <f>_xll.qlIndexFixing(Currency&amp;IborType&amp;"6M",_xll.qlInterestRateIndexFixingDate(Currency&amp;IborType&amp;"6M",M275),TRUE,AllTriggers)</f>
        <v>2.1463821746501778E-2</v>
      </c>
      <c r="R275" s="38">
        <f>_xll.qlOvernightIndexedSwapFairRate(O275,AllTriggers)</f>
        <v>2.0638687396821627E-2</v>
      </c>
      <c r="S275" s="345">
        <f t="shared" si="8"/>
        <v>8.2513434968015109E-4</v>
      </c>
    </row>
    <row r="276" spans="5:19" ht="11.25" customHeight="1" x14ac:dyDescent="0.2">
      <c r="E276" s="254"/>
      <c r="F276" s="254"/>
      <c r="G276" s="39"/>
      <c r="J276" s="39"/>
      <c r="K276" s="39"/>
      <c r="M276" s="346">
        <f>_xll.qlCalendarAdvance(Calendar,M275,"1M","f",,Trigger)</f>
        <v>50489</v>
      </c>
      <c r="N276" s="344">
        <f>_xll.qlCalendarAdvance(Calendar,M276,"3M","f",,Trigger)</f>
        <v>50581</v>
      </c>
      <c r="O276" s="40" t="str">
        <f>_xll.qlMakeDatedOIS(,M276,N276,OvernightIndex,0,,,,EvaluationDate)</f>
        <v>obj_008d6#0000</v>
      </c>
      <c r="P276" s="40" t="b">
        <f>_xll.qlInstrumentSetPricingEngine(O276,OisEngine)</f>
        <v>1</v>
      </c>
      <c r="Q276" s="38">
        <f>_xll.qlIndexFixing(Currency&amp;IborType&amp;"6M",_xll.qlInterestRateIndexFixingDate(Currency&amp;IborType&amp;"6M",M276),TRUE,AllTriggers)</f>
        <v>2.1432181965608182E-2</v>
      </c>
      <c r="R276" s="38">
        <f>_xll.qlOvernightIndexedSwapFairRate(O276,AllTriggers)</f>
        <v>2.0606629128189276E-2</v>
      </c>
      <c r="S276" s="345">
        <f t="shared" si="8"/>
        <v>8.2555283741890528E-4</v>
      </c>
    </row>
    <row r="277" spans="5:19" ht="11.25" customHeight="1" x14ac:dyDescent="0.2">
      <c r="E277" s="254"/>
      <c r="F277" s="254"/>
      <c r="G277" s="39"/>
      <c r="J277" s="39"/>
      <c r="K277" s="39"/>
      <c r="M277" s="346">
        <f>_xll.qlCalendarAdvance(Calendar,M276,"1M","f",,Trigger)</f>
        <v>50522</v>
      </c>
      <c r="N277" s="344">
        <f>_xll.qlCalendarAdvance(Calendar,M277,"3M","f",,Trigger)</f>
        <v>50613</v>
      </c>
      <c r="O277" s="40" t="str">
        <f>_xll.qlMakeDatedOIS(,M277,N277,OvernightIndex,0,,,,EvaluationDate)</f>
        <v>obj_00883#0000</v>
      </c>
      <c r="P277" s="40" t="b">
        <f>_xll.qlInstrumentSetPricingEngine(O277,OisEngine)</f>
        <v>1</v>
      </c>
      <c r="Q277" s="38">
        <f>_xll.qlIndexFixing(Currency&amp;IborType&amp;"6M",_xll.qlInterestRateIndexFixingDate(Currency&amp;IborType&amp;"6M",M277),TRUE,AllTriggers)</f>
        <v>2.1394449757144943E-2</v>
      </c>
      <c r="R277" s="38">
        <f>_xll.qlOvernightIndexedSwapFairRate(O277,AllTriggers)</f>
        <v>2.0568797004083369E-2</v>
      </c>
      <c r="S277" s="345">
        <f t="shared" si="8"/>
        <v>8.2565275306157454E-4</v>
      </c>
    </row>
    <row r="278" spans="5:19" ht="11.25" customHeight="1" x14ac:dyDescent="0.2">
      <c r="E278" s="254"/>
      <c r="F278" s="254"/>
      <c r="G278" s="39"/>
      <c r="J278" s="39"/>
      <c r="K278" s="39"/>
      <c r="M278" s="346">
        <f>_xll.qlCalendarAdvance(Calendar,M277,"1M","f",,Trigger)</f>
        <v>50552</v>
      </c>
      <c r="N278" s="344">
        <f>_xll.qlCalendarAdvance(Calendar,M278,"3M","f",,Trigger)</f>
        <v>50644</v>
      </c>
      <c r="O278" s="40" t="str">
        <f>_xll.qlMakeDatedOIS(,M278,N278,OvernightIndex,0,,,,EvaluationDate)</f>
        <v>obj_00a1d#0000</v>
      </c>
      <c r="P278" s="40" t="b">
        <f>_xll.qlInstrumentSetPricingEngine(O278,OisEngine)</f>
        <v>1</v>
      </c>
      <c r="Q278" s="38">
        <f>_xll.qlIndexFixing(Currency&amp;IborType&amp;"6M",_xll.qlInterestRateIndexFixingDate(Currency&amp;IborType&amp;"6M",M278),TRUE,AllTriggers)</f>
        <v>2.1360694015291774E-2</v>
      </c>
      <c r="R278" s="38">
        <f>_xll.qlOvernightIndexedSwapFairRate(O278,AllTriggers)</f>
        <v>2.0534455116929626E-2</v>
      </c>
      <c r="S278" s="345">
        <f t="shared" si="8"/>
        <v>8.2623889836214853E-4</v>
      </c>
    </row>
    <row r="279" spans="5:19" ht="11.25" customHeight="1" x14ac:dyDescent="0.2">
      <c r="E279" s="254"/>
      <c r="F279" s="254"/>
      <c r="G279" s="39"/>
      <c r="J279" s="39"/>
      <c r="K279" s="39"/>
      <c r="M279" s="346">
        <f>_xll.qlCalendarAdvance(Calendar,M278,"1M","f",,Trigger)</f>
        <v>50584</v>
      </c>
      <c r="N279" s="344">
        <f>_xll.qlCalendarAdvance(Calendar,M279,"3M","f",,Trigger)</f>
        <v>50676</v>
      </c>
      <c r="O279" s="40" t="str">
        <f>_xll.qlMakeDatedOIS(,M279,N279,OvernightIndex,0,,,,EvaluationDate)</f>
        <v>obj_009e0#0000</v>
      </c>
      <c r="P279" s="40" t="b">
        <f>_xll.qlInstrumentSetPricingEngine(O279,OisEngine)</f>
        <v>1</v>
      </c>
      <c r="Q279" s="38">
        <f>_xll.qlIndexFixing(Currency&amp;IborType&amp;"6M",_xll.qlInterestRateIndexFixingDate(Currency&amp;IborType&amp;"6M",M279),TRUE,AllTriggers)</f>
        <v>2.132442031304908E-2</v>
      </c>
      <c r="R279" s="38">
        <f>_xll.qlOvernightIndexedSwapFairRate(O279,AllTriggers)</f>
        <v>2.0497834268721832E-2</v>
      </c>
      <c r="S279" s="345">
        <f t="shared" si="8"/>
        <v>8.2658604432724742E-4</v>
      </c>
    </row>
    <row r="280" spans="5:19" ht="11.25" customHeight="1" x14ac:dyDescent="0.2">
      <c r="E280" s="254"/>
      <c r="F280" s="254"/>
      <c r="G280" s="39"/>
      <c r="J280" s="39"/>
      <c r="K280" s="39"/>
      <c r="M280" s="346">
        <f>_xll.qlCalendarAdvance(Calendar,M279,"1M","f",,Trigger)</f>
        <v>50614</v>
      </c>
      <c r="N280" s="344">
        <f>_xll.qlCalendarAdvance(Calendar,M280,"3M","f",,Trigger)</f>
        <v>50706</v>
      </c>
      <c r="O280" s="40" t="str">
        <f>_xll.qlMakeDatedOIS(,M280,N280,OvernightIndex,0,,,,EvaluationDate)</f>
        <v>obj_009ca#0000</v>
      </c>
      <c r="P280" s="40" t="b">
        <f>_xll.qlInstrumentSetPricingEngine(O280,OisEngine)</f>
        <v>1</v>
      </c>
      <c r="Q280" s="38">
        <f>_xll.qlIndexFixing(Currency&amp;IborType&amp;"6M",_xll.qlInterestRateIndexFixingDate(Currency&amp;IborType&amp;"6M",M280),TRUE,AllTriggers)</f>
        <v>2.1290828572104254E-2</v>
      </c>
      <c r="R280" s="38">
        <f>_xll.qlOvernightIndexedSwapFairRate(O280,AllTriggers)</f>
        <v>2.0463526064342652E-2</v>
      </c>
      <c r="S280" s="345">
        <f t="shared" si="8"/>
        <v>8.2730250776160211E-4</v>
      </c>
    </row>
    <row r="281" spans="5:19" ht="11.25" customHeight="1" x14ac:dyDescent="0.2">
      <c r="E281" s="254"/>
      <c r="F281" s="254"/>
      <c r="G281" s="39"/>
      <c r="J281" s="39"/>
      <c r="K281" s="39"/>
      <c r="M281" s="346">
        <f>_xll.qlCalendarAdvance(Calendar,M280,"1M","f",,Trigger)</f>
        <v>50647</v>
      </c>
      <c r="N281" s="344">
        <f>_xll.qlCalendarAdvance(Calendar,M281,"3M","f",,Trigger)</f>
        <v>50739</v>
      </c>
      <c r="O281" s="40" t="str">
        <f>_xll.qlMakeDatedOIS(,M281,N281,OvernightIndex,0,,,,EvaluationDate)</f>
        <v>obj_00992#0000</v>
      </c>
      <c r="P281" s="40" t="b">
        <f>_xll.qlInstrumentSetPricingEngine(O281,OisEngine)</f>
        <v>1</v>
      </c>
      <c r="Q281" s="38">
        <f>_xll.qlIndexFixing(Currency&amp;IborType&amp;"6M",_xll.qlInterestRateIndexFixingDate(Currency&amp;IborType&amp;"6M",M281),TRUE,AllTriggers)</f>
        <v>2.1253828595034618E-2</v>
      </c>
      <c r="R281" s="38">
        <f>_xll.qlOvernightIndexedSwapFairRate(O281,AllTriggers)</f>
        <v>2.0425813686673261E-2</v>
      </c>
      <c r="S281" s="345">
        <f t="shared" si="8"/>
        <v>8.280149083613568E-4</v>
      </c>
    </row>
    <row r="282" spans="5:19" ht="11.25" customHeight="1" x14ac:dyDescent="0.2">
      <c r="E282" s="254"/>
      <c r="F282" s="254"/>
      <c r="G282" s="39"/>
      <c r="J282" s="39"/>
      <c r="K282" s="39"/>
      <c r="M282" s="346">
        <f>_xll.qlCalendarAdvance(Calendar,M281,"1M","f",,Trigger)</f>
        <v>50678</v>
      </c>
      <c r="N282" s="344">
        <f>_xll.qlCalendarAdvance(Calendar,M282,"3M","f",,Trigger)</f>
        <v>50769</v>
      </c>
      <c r="O282" s="40" t="str">
        <f>_xll.qlMakeDatedOIS(,M282,N282,OvernightIndex,0,,,,EvaluationDate)</f>
        <v>obj_0096d#0000</v>
      </c>
      <c r="P282" s="40" t="b">
        <f>_xll.qlInstrumentSetPricingEngine(O282,OisEngine)</f>
        <v>1</v>
      </c>
      <c r="Q282" s="38">
        <f>_xll.qlIndexFixing(Currency&amp;IborType&amp;"6M",_xll.qlInterestRateIndexFixingDate(Currency&amp;IborType&amp;"6M",M282),TRUE,AllTriggers)</f>
        <v>2.1219363120883926E-2</v>
      </c>
      <c r="R282" s="38">
        <f>_xll.qlOvernightIndexedSwapFairRate(O282,AllTriggers)</f>
        <v>2.0390406459818083E-2</v>
      </c>
      <c r="S282" s="345">
        <f t="shared" si="8"/>
        <v>8.2895666106584318E-4</v>
      </c>
    </row>
    <row r="283" spans="5:19" ht="11.25" customHeight="1" x14ac:dyDescent="0.2">
      <c r="E283" s="254"/>
      <c r="F283" s="254"/>
      <c r="G283" s="39"/>
      <c r="J283" s="39"/>
      <c r="K283" s="39"/>
      <c r="M283" s="346">
        <f>_xll.qlCalendarAdvance(Calendar,M282,"1M","f",,Trigger)</f>
        <v>50710</v>
      </c>
      <c r="N283" s="344">
        <f>_xll.qlCalendarAdvance(Calendar,M283,"3M","f",,Trigger)</f>
        <v>50802</v>
      </c>
      <c r="O283" s="40" t="str">
        <f>_xll.qlMakeDatedOIS(,M283,N283,OvernightIndex,0,,,,EvaluationDate)</f>
        <v>obj_00927#0000</v>
      </c>
      <c r="P283" s="40" t="b">
        <f>_xll.qlInstrumentSetPricingEngine(O283,OisEngine)</f>
        <v>1</v>
      </c>
      <c r="Q283" s="38">
        <f>_xll.qlIndexFixing(Currency&amp;IborType&amp;"6M",_xll.qlInterestRateIndexFixingDate(Currency&amp;IborType&amp;"6M",M283),TRUE,AllTriggers)</f>
        <v>2.1183949069219114E-2</v>
      </c>
      <c r="R283" s="38">
        <f>_xll.qlOvernightIndexedSwapFairRate(O283,AllTriggers)</f>
        <v>2.0353894845467398E-2</v>
      </c>
      <c r="S283" s="345">
        <f t="shared" si="8"/>
        <v>8.3005422375171528E-4</v>
      </c>
    </row>
    <row r="284" spans="5:19" ht="11.25" customHeight="1" x14ac:dyDescent="0.2">
      <c r="E284" s="254"/>
      <c r="F284" s="254"/>
      <c r="G284" s="39"/>
      <c r="J284" s="39"/>
      <c r="K284" s="39"/>
      <c r="M284" s="346">
        <f>_xll.qlCalendarAdvance(Calendar,M283,"1M","f",,Trigger)</f>
        <v>50740</v>
      </c>
      <c r="N284" s="344">
        <f>_xll.qlCalendarAdvance(Calendar,M284,"3M","f",,Trigger)</f>
        <v>50830</v>
      </c>
      <c r="O284" s="40" t="str">
        <f>_xll.qlMakeDatedOIS(,M284,N284,OvernightIndex,0,,,,EvaluationDate)</f>
        <v>obj_008d5#0000</v>
      </c>
      <c r="P284" s="40" t="b">
        <f>_xll.qlInstrumentSetPricingEngine(O284,OisEngine)</f>
        <v>1</v>
      </c>
      <c r="Q284" s="38">
        <f>_xll.qlIndexFixing(Currency&amp;IborType&amp;"6M",_xll.qlInterestRateIndexFixingDate(Currency&amp;IborType&amp;"6M",M284),TRUE,AllTriggers)</f>
        <v>2.1150898970527018E-2</v>
      </c>
      <c r="R284" s="38">
        <f>_xll.qlOvernightIndexedSwapFairRate(O284,AllTriggers)</f>
        <v>2.0319678136847763E-2</v>
      </c>
      <c r="S284" s="345">
        <f t="shared" si="8"/>
        <v>8.3122083367925467E-4</v>
      </c>
    </row>
    <row r="285" spans="5:19" ht="11.25" customHeight="1" x14ac:dyDescent="0.2">
      <c r="E285" s="254"/>
      <c r="F285" s="254"/>
      <c r="G285" s="39"/>
      <c r="J285" s="39"/>
      <c r="K285" s="39"/>
      <c r="M285" s="346">
        <f>_xll.qlCalendarAdvance(Calendar,M284,"1M","f",,Trigger)</f>
        <v>50773</v>
      </c>
      <c r="N285" s="344">
        <f>_xll.qlCalendarAdvance(Calendar,M285,"3M","f",,Trigger)</f>
        <v>50864</v>
      </c>
      <c r="O285" s="40" t="str">
        <f>_xll.qlMakeDatedOIS(,M285,N285,OvernightIndex,0,,,,EvaluationDate)</f>
        <v>obj_00882#0000</v>
      </c>
      <c r="P285" s="40" t="b">
        <f>_xll.qlInstrumentSetPricingEngine(O285,OisEngine)</f>
        <v>1</v>
      </c>
      <c r="Q285" s="38">
        <f>_xll.qlIndexFixing(Currency&amp;IborType&amp;"6M",_xll.qlInterestRateIndexFixingDate(Currency&amp;IborType&amp;"6M",M285),TRUE,AllTriggers)</f>
        <v>2.1114712156882966E-2</v>
      </c>
      <c r="R285" s="38">
        <f>_xll.qlOvernightIndexedSwapFairRate(O285,AllTriggers)</f>
        <v>2.0282076749396669E-2</v>
      </c>
      <c r="S285" s="345">
        <f t="shared" si="8"/>
        <v>8.3263540748629641E-4</v>
      </c>
    </row>
    <row r="286" spans="5:19" ht="11.25" customHeight="1" x14ac:dyDescent="0.2">
      <c r="E286" s="254"/>
      <c r="F286" s="254"/>
      <c r="G286" s="39"/>
      <c r="J286" s="39"/>
      <c r="K286" s="39"/>
      <c r="M286" s="346">
        <f>_xll.qlCalendarAdvance(Calendar,M285,"1M","f",,Trigger)</f>
        <v>50804</v>
      </c>
      <c r="N286" s="344">
        <f>_xll.qlCalendarAdvance(Calendar,M286,"3M","f",,Trigger)</f>
        <v>50893</v>
      </c>
      <c r="O286" s="40" t="str">
        <f>_xll.qlMakeDatedOIS(,M286,N286,OvernightIndex,0,,,,EvaluationDate)</f>
        <v>obj_00a1c#0000</v>
      </c>
      <c r="P286" s="40" t="b">
        <f>_xll.qlInstrumentSetPricingEngine(O286,OisEngine)</f>
        <v>1</v>
      </c>
      <c r="Q286" s="38">
        <f>_xll.qlIndexFixing(Currency&amp;IborType&amp;"6M",_xll.qlInterestRateIndexFixingDate(Currency&amp;IborType&amp;"6M",M286),TRUE,AllTriggers)</f>
        <v>2.1080806035221111E-2</v>
      </c>
      <c r="R286" s="38">
        <f>_xll.qlOvernightIndexedSwapFairRate(O286,AllTriggers)</f>
        <v>2.0246778189990617E-2</v>
      </c>
      <c r="S286" s="345">
        <f t="shared" si="8"/>
        <v>8.3402784523049431E-4</v>
      </c>
    </row>
    <row r="287" spans="5:19" ht="11.25" customHeight="1" x14ac:dyDescent="0.2">
      <c r="E287" s="254"/>
      <c r="F287" s="254"/>
      <c r="G287" s="39"/>
      <c r="J287" s="39"/>
      <c r="K287" s="39"/>
      <c r="M287" s="346">
        <f>_xll.qlCalendarAdvance(Calendar,M286,"1M","f",,Trigger)</f>
        <v>50832</v>
      </c>
      <c r="N287" s="344">
        <f>_xll.qlCalendarAdvance(Calendar,M287,"3M","f",,Trigger)</f>
        <v>50924</v>
      </c>
      <c r="O287" s="40" t="str">
        <f>_xll.qlMakeDatedOIS(,M287,N287,OvernightIndex,0,,,,EvaluationDate)</f>
        <v>obj_00973#0000</v>
      </c>
      <c r="P287" s="40" t="b">
        <f>_xll.qlInstrumentSetPricingEngine(O287,OisEngine)</f>
        <v>1</v>
      </c>
      <c r="Q287" s="38">
        <f>_xll.qlIndexFixing(Currency&amp;IborType&amp;"6M",_xll.qlInterestRateIndexFixingDate(Currency&amp;IborType&amp;"6M",M287),TRUE,AllTriggers)</f>
        <v>2.1050748196094919E-2</v>
      </c>
      <c r="R287" s="38">
        <f>_xll.qlOvernightIndexedSwapFairRate(O287,AllTriggers)</f>
        <v>2.0214912696314608E-2</v>
      </c>
      <c r="S287" s="345">
        <f t="shared" si="8"/>
        <v>8.3583549978031094E-4</v>
      </c>
    </row>
    <row r="288" spans="5:19" ht="11.25" customHeight="1" x14ac:dyDescent="0.2">
      <c r="E288" s="254"/>
      <c r="F288" s="254"/>
      <c r="G288" s="39"/>
      <c r="J288" s="39"/>
      <c r="K288" s="39"/>
      <c r="M288" s="346">
        <f>_xll.qlCalendarAdvance(Calendar,M287,"1M","f",,Trigger)</f>
        <v>50864</v>
      </c>
      <c r="N288" s="344">
        <f>_xll.qlCalendarAdvance(Calendar,M288,"3M","f",,Trigger)</f>
        <v>50955</v>
      </c>
      <c r="O288" s="40" t="str">
        <f>_xll.qlMakeDatedOIS(,M288,N288,OvernightIndex,0,,,,EvaluationDate)</f>
        <v>obj_00707#0000</v>
      </c>
      <c r="P288" s="40" t="b">
        <f>_xll.qlInstrumentSetPricingEngine(O288,OisEngine)</f>
        <v>1</v>
      </c>
      <c r="Q288" s="38">
        <f>_xll.qlIndexFixing(Currency&amp;IborType&amp;"6M",_xll.qlInterestRateIndexFixingDate(Currency&amp;IborType&amp;"6M",M288),TRUE,AllTriggers)</f>
        <v>2.1015911772166076E-2</v>
      </c>
      <c r="R288" s="38">
        <f>_xll.qlOvernightIndexedSwapFairRate(O288,AllTriggers)</f>
        <v>2.0178525163639535E-2</v>
      </c>
      <c r="S288" s="345">
        <f t="shared" si="8"/>
        <v>8.3738660852654065E-4</v>
      </c>
    </row>
    <row r="289" spans="5:19" ht="11.25" customHeight="1" x14ac:dyDescent="0.2">
      <c r="E289" s="254"/>
      <c r="F289" s="254"/>
      <c r="G289" s="39"/>
      <c r="J289" s="39"/>
      <c r="K289" s="39"/>
      <c r="M289" s="346">
        <f>_xll.qlCalendarAdvance(Calendar,M288,"1M","f",,Trigger)</f>
        <v>50894</v>
      </c>
      <c r="N289" s="344">
        <f>_xll.qlCalendarAdvance(Calendar,M289,"3M","f",,Trigger)</f>
        <v>50986</v>
      </c>
      <c r="O289" s="40" t="str">
        <f>_xll.qlMakeDatedOIS(,M289,N289,OvernightIndex,0,,,,EvaluationDate)</f>
        <v>obj_009c9#0000</v>
      </c>
      <c r="P289" s="40" t="b">
        <f>_xll.qlInstrumentSetPricingEngine(O289,OisEngine)</f>
        <v>1</v>
      </c>
      <c r="Q289" s="38">
        <f>_xll.qlIndexFixing(Currency&amp;IborType&amp;"6M",_xll.qlInterestRateIndexFixingDate(Currency&amp;IborType&amp;"6M",M289),TRUE,AllTriggers)</f>
        <v>2.098368486873561E-2</v>
      </c>
      <c r="R289" s="38">
        <f>_xll.qlOvernightIndexedSwapFairRate(O289,AllTriggers)</f>
        <v>2.0144428618609791E-2</v>
      </c>
      <c r="S289" s="345">
        <f t="shared" si="8"/>
        <v>8.3925625012581939E-4</v>
      </c>
    </row>
    <row r="290" spans="5:19" ht="11.25" customHeight="1" x14ac:dyDescent="0.2">
      <c r="E290" s="254"/>
      <c r="F290" s="254"/>
      <c r="G290" s="39"/>
      <c r="J290" s="39"/>
      <c r="K290" s="39"/>
      <c r="M290" s="346">
        <f>_xll.qlCalendarAdvance(Calendar,M289,"1M","f",,Trigger)</f>
        <v>50927</v>
      </c>
      <c r="N290" s="344">
        <f>_xll.qlCalendarAdvance(Calendar,M290,"3M","f",,Trigger)</f>
        <v>51019</v>
      </c>
      <c r="O290" s="40" t="str">
        <f>_xll.qlMakeDatedOIS(,M290,N290,OvernightIndex,0,,,,EvaluationDate)</f>
        <v>obj_00991#0000</v>
      </c>
      <c r="P290" s="40" t="b">
        <f>_xll.qlInstrumentSetPricingEngine(O290,OisEngine)</f>
        <v>1</v>
      </c>
      <c r="Q290" s="38">
        <f>_xll.qlIndexFixing(Currency&amp;IborType&amp;"6M",_xll.qlInterestRateIndexFixingDate(Currency&amp;IborType&amp;"6M",M290),TRUE,AllTriggers)</f>
        <v>2.0948273311437358E-2</v>
      </c>
      <c r="R290" s="38">
        <f>_xll.qlOvernightIndexedSwapFairRate(O290,AllTriggers)</f>
        <v>2.0106953072712853E-2</v>
      </c>
      <c r="S290" s="345">
        <f t="shared" si="8"/>
        <v>8.4132023872450501E-4</v>
      </c>
    </row>
    <row r="291" spans="5:19" ht="11.25" customHeight="1" x14ac:dyDescent="0.2">
      <c r="E291" s="254"/>
      <c r="F291" s="254"/>
      <c r="G291" s="39"/>
      <c r="J291" s="39"/>
      <c r="K291" s="39"/>
      <c r="M291" s="346">
        <f>_xll.qlCalendarAdvance(Calendar,M290,"1M","f",,Trigger)</f>
        <v>50957</v>
      </c>
      <c r="N291" s="344">
        <f>_xll.qlCalendarAdvance(Calendar,M291,"3M","f",,Trigger)</f>
        <v>51049</v>
      </c>
      <c r="O291" s="40" t="str">
        <f>_xll.qlMakeDatedOIS(,M291,N291,OvernightIndex,0,,,,EvaluationDate)</f>
        <v>obj_0096c#0000</v>
      </c>
      <c r="P291" s="40" t="b">
        <f>_xll.qlInstrumentSetPricingEngine(O291,OisEngine)</f>
        <v>1</v>
      </c>
      <c r="Q291" s="38">
        <f>_xll.qlIndexFixing(Currency&amp;IborType&amp;"6M",_xll.qlInterestRateIndexFixingDate(Currency&amp;IborType&amp;"6M",M291),TRUE,AllTriggers)</f>
        <v>2.0916498110975706E-2</v>
      </c>
      <c r="R291" s="38">
        <f>_xll.qlOvernightIndexedSwapFairRate(O291,AllTriggers)</f>
        <v>2.007290861281558E-2</v>
      </c>
      <c r="S291" s="345">
        <f t="shared" si="8"/>
        <v>8.4358949816012649E-4</v>
      </c>
    </row>
    <row r="292" spans="5:19" ht="11.25" customHeight="1" x14ac:dyDescent="0.2">
      <c r="E292" s="254"/>
      <c r="F292" s="254"/>
      <c r="G292" s="39"/>
      <c r="J292" s="39"/>
      <c r="K292" s="39"/>
      <c r="M292" s="346">
        <f>_xll.qlCalendarAdvance(Calendar,M291,"1M","f",,Trigger)</f>
        <v>50990</v>
      </c>
      <c r="N292" s="344">
        <f>_xll.qlCalendarAdvance(Calendar,M292,"3M","f",,Trigger)</f>
        <v>51082</v>
      </c>
      <c r="O292" s="40" t="str">
        <f>_xll.qlMakeDatedOIS(,M292,N292,OvernightIndex,0,,,,EvaluationDate)</f>
        <v>obj_0070c#0000</v>
      </c>
      <c r="P292" s="40" t="b">
        <f>_xll.qlInstrumentSetPricingEngine(O292,OisEngine)</f>
        <v>1</v>
      </c>
      <c r="Q292" s="38">
        <f>_xll.qlIndexFixing(Currency&amp;IborType&amp;"6M",_xll.qlInterestRateIndexFixingDate(Currency&amp;IborType&amp;"6M",M292),TRUE,AllTriggers)</f>
        <v>2.0881870039584954E-2</v>
      </c>
      <c r="R292" s="38">
        <f>_xll.qlOvernightIndexedSwapFairRate(O292,AllTriggers)</f>
        <v>2.0035487394049263E-2</v>
      </c>
      <c r="S292" s="345">
        <f t="shared" si="8"/>
        <v>8.4638264553569056E-4</v>
      </c>
    </row>
    <row r="293" spans="5:19" ht="11.25" customHeight="1" x14ac:dyDescent="0.2">
      <c r="E293" s="254"/>
      <c r="F293" s="254"/>
      <c r="G293" s="39"/>
      <c r="J293" s="39"/>
      <c r="K293" s="39"/>
      <c r="M293" s="346">
        <f>_xll.qlCalendarAdvance(Calendar,M292,"1M","f",,Trigger)</f>
        <v>51021</v>
      </c>
      <c r="N293" s="344">
        <f>_xll.qlCalendarAdvance(Calendar,M293,"3M","f",,Trigger)</f>
        <v>51112</v>
      </c>
      <c r="O293" s="40" t="str">
        <f>_xll.qlMakeDatedOIS(,M293,N293,OvernightIndex,0,,,,EvaluationDate)</f>
        <v>obj_0070e#0000</v>
      </c>
      <c r="P293" s="40" t="b">
        <f>_xll.qlInstrumentSetPricingEngine(O293,OisEngine)</f>
        <v>1</v>
      </c>
      <c r="Q293" s="38">
        <f>_xll.qlIndexFixing(Currency&amp;IborType&amp;"6M",_xll.qlInterestRateIndexFixingDate(Currency&amp;IborType&amp;"6M",M293),TRUE,AllTriggers)</f>
        <v>2.0849639187835896E-2</v>
      </c>
      <c r="R293" s="38">
        <f>_xll.qlOvernightIndexedSwapFairRate(O293,AllTriggers)</f>
        <v>2.0000482596426256E-2</v>
      </c>
      <c r="S293" s="345">
        <f t="shared" si="8"/>
        <v>8.4915659140964023E-4</v>
      </c>
    </row>
    <row r="294" spans="5:19" ht="11.25" customHeight="1" x14ac:dyDescent="0.2">
      <c r="E294" s="254"/>
      <c r="F294" s="254"/>
      <c r="G294" s="39"/>
      <c r="J294" s="39"/>
      <c r="K294" s="39"/>
      <c r="M294" s="346">
        <f>_xll.qlCalendarAdvance(Calendar,M293,"1M","f",,Trigger)</f>
        <v>51053</v>
      </c>
      <c r="N294" s="344">
        <f>_xll.qlCalendarAdvance(Calendar,M294,"3M","f",,Trigger)</f>
        <v>51145</v>
      </c>
      <c r="O294" s="40" t="str">
        <f>_xll.qlMakeDatedOIS(,M294,N294,OvernightIndex,0,,,,EvaluationDate)</f>
        <v>obj_00926#0000</v>
      </c>
      <c r="P294" s="40" t="b">
        <f>_xll.qlInstrumentSetPricingEngine(O294,OisEngine)</f>
        <v>1</v>
      </c>
      <c r="Q294" s="38">
        <f>_xll.qlIndexFixing(Currency&amp;IborType&amp;"6M",_xll.qlInterestRateIndexFixingDate(Currency&amp;IborType&amp;"6M",M294),TRUE,AllTriggers)</f>
        <v>2.0817278351891087E-2</v>
      </c>
      <c r="R294" s="38">
        <f>_xll.qlOvernightIndexedSwapFairRate(O294,AllTriggers)</f>
        <v>1.9964853806482566E-2</v>
      </c>
      <c r="S294" s="345">
        <f t="shared" si="8"/>
        <v>8.5242454540852136E-4</v>
      </c>
    </row>
    <row r="295" spans="5:19" ht="11.25" customHeight="1" x14ac:dyDescent="0.2">
      <c r="E295" s="254"/>
      <c r="F295" s="254"/>
      <c r="G295" s="39"/>
      <c r="J295" s="39"/>
      <c r="K295" s="39"/>
      <c r="M295" s="346">
        <f>_xll.qlCalendarAdvance(Calendar,M294,"1M","f",,Trigger)</f>
        <v>51084</v>
      </c>
      <c r="N295" s="344">
        <f>_xll.qlCalendarAdvance(Calendar,M295,"3M","f",,Trigger)</f>
        <v>51176</v>
      </c>
      <c r="O295" s="40" t="str">
        <f>_xll.qlMakeDatedOIS(,M295,N295,OvernightIndex,0,,,,EvaluationDate)</f>
        <v>obj_008d4#0000</v>
      </c>
      <c r="P295" s="40" t="b">
        <f>_xll.qlInstrumentSetPricingEngine(O295,OisEngine)</f>
        <v>1</v>
      </c>
      <c r="Q295" s="38">
        <f>_xll.qlIndexFixing(Currency&amp;IborType&amp;"6M",_xll.qlInterestRateIndexFixingDate(Currency&amp;IborType&amp;"6M",M295),TRUE,AllTriggers)</f>
        <v>2.0786412410705966E-2</v>
      </c>
      <c r="R295" s="38">
        <f>_xll.qlOvernightIndexedSwapFairRate(O295,AllTriggers)</f>
        <v>1.9931212277146382E-2</v>
      </c>
      <c r="S295" s="345">
        <f t="shared" si="8"/>
        <v>8.5520013355958394E-4</v>
      </c>
    </row>
    <row r="296" spans="5:19" ht="11.25" customHeight="1" x14ac:dyDescent="0.2">
      <c r="E296" s="254"/>
      <c r="F296" s="254"/>
      <c r="G296" s="39"/>
      <c r="J296" s="39"/>
      <c r="K296" s="39"/>
      <c r="M296" s="346">
        <f>_xll.qlCalendarAdvance(Calendar,M295,"1M","f",,Trigger)</f>
        <v>51116</v>
      </c>
      <c r="N296" s="344">
        <f>_xll.qlCalendarAdvance(Calendar,M296,"3M","f",,Trigger)</f>
        <v>51207</v>
      </c>
      <c r="O296" s="40" t="str">
        <f>_xll.qlMakeDatedOIS(,M296,N296,OvernightIndex,0,,,,EvaluationDate)</f>
        <v>obj_00712#0000</v>
      </c>
      <c r="P296" s="40" t="b">
        <f>_xll.qlInstrumentSetPricingEngine(O296,OisEngine)</f>
        <v>1</v>
      </c>
      <c r="Q296" s="38">
        <f>_xll.qlIndexFixing(Currency&amp;IborType&amp;"6M",_xll.qlInterestRateIndexFixingDate(Currency&amp;IborType&amp;"6M",M296),TRUE,AllTriggers)</f>
        <v>2.0755586264392251E-2</v>
      </c>
      <c r="R296" s="38">
        <f>_xll.qlOvernightIndexedSwapFairRate(O296,AllTriggers)</f>
        <v>1.989758831956303E-2</v>
      </c>
      <c r="S296" s="345">
        <f t="shared" si="8"/>
        <v>8.5799794482922104E-4</v>
      </c>
    </row>
    <row r="297" spans="5:19" ht="11.25" customHeight="1" x14ac:dyDescent="0.2">
      <c r="E297" s="254"/>
      <c r="F297" s="254"/>
      <c r="G297" s="39"/>
      <c r="J297" s="39"/>
      <c r="K297" s="39"/>
      <c r="M297" s="346">
        <f>_xll.qlCalendarAdvance(Calendar,M296,"1M","f",,Trigger)</f>
        <v>51147</v>
      </c>
      <c r="N297" s="344">
        <f>_xll.qlCalendarAdvance(Calendar,M297,"3M","f",,Trigger)</f>
        <v>51238</v>
      </c>
      <c r="O297" s="40" t="str">
        <f>_xll.qlMakeDatedOIS(,M297,N297,OvernightIndex,0,,,,EvaluationDate)</f>
        <v>obj_00881#0000</v>
      </c>
      <c r="P297" s="40" t="b">
        <f>_xll.qlInstrumentSetPricingEngine(O297,OisEngine)</f>
        <v>1</v>
      </c>
      <c r="Q297" s="38">
        <f>_xll.qlIndexFixing(Currency&amp;IborType&amp;"6M",_xll.qlInterestRateIndexFixingDate(Currency&amp;IborType&amp;"6M",M297),TRUE,AllTriggers)</f>
        <v>2.0726237541172126E-2</v>
      </c>
      <c r="R297" s="38">
        <f>_xll.qlOvernightIndexedSwapFairRate(O297,AllTriggers)</f>
        <v>1.9866167865150677E-2</v>
      </c>
      <c r="S297" s="345">
        <f t="shared" si="8"/>
        <v>8.6006967602144865E-4</v>
      </c>
    </row>
    <row r="298" spans="5:19" ht="11.25" customHeight="1" x14ac:dyDescent="0.2">
      <c r="E298" s="254"/>
      <c r="F298" s="254"/>
      <c r="G298" s="39"/>
      <c r="J298" s="39"/>
      <c r="K298" s="39"/>
      <c r="M298" s="346">
        <f>_xll.qlCalendarAdvance(Calendar,M297,"1M","f",,Trigger)</f>
        <v>51179</v>
      </c>
      <c r="N298" s="344">
        <f>_xll.qlCalendarAdvance(Calendar,M298,"3M","f",,Trigger)</f>
        <v>51270</v>
      </c>
      <c r="O298" s="40" t="str">
        <f>_xll.qlMakeDatedOIS(,M298,N298,OvernightIndex,0,,,,EvaluationDate)</f>
        <v>obj_00715#0000</v>
      </c>
      <c r="P298" s="40" t="b">
        <f>_xll.qlInstrumentSetPricingEngine(O298,OisEngine)</f>
        <v>1</v>
      </c>
      <c r="Q298" s="38">
        <f>_xll.qlIndexFixing(Currency&amp;IborType&amp;"6M",_xll.qlInterestRateIndexFixingDate(Currency&amp;IborType&amp;"6M",M298),TRUE,AllTriggers)</f>
        <v>2.0696874050884075E-2</v>
      </c>
      <c r="R298" s="38">
        <f>_xll.qlOvernightIndexedSwapFairRate(O298,AllTriggers)</f>
        <v>1.9834898229919642E-2</v>
      </c>
      <c r="S298" s="345">
        <f t="shared" si="8"/>
        <v>8.6197582096443279E-4</v>
      </c>
    </row>
    <row r="299" spans="5:19" ht="11.25" customHeight="1" x14ac:dyDescent="0.2">
      <c r="E299" s="254"/>
      <c r="F299" s="254"/>
      <c r="G299" s="39"/>
      <c r="J299" s="39"/>
      <c r="K299" s="39"/>
      <c r="M299" s="346">
        <f>_xll.qlCalendarAdvance(Calendar,M298,"1M","f",,Trigger)</f>
        <v>51208</v>
      </c>
      <c r="N299" s="344">
        <f>_xll.qlCalendarAdvance(Calendar,M299,"3M","f",,Trigger)</f>
        <v>51300</v>
      </c>
      <c r="O299" s="40" t="str">
        <f>_xll.qlMakeDatedOIS(,M299,N299,OvernightIndex,0,,,,EvaluationDate)</f>
        <v>obj_00a1b#0000</v>
      </c>
      <c r="P299" s="40" t="b">
        <f>_xll.qlInstrumentSetPricingEngine(O299,OisEngine)</f>
        <v>1</v>
      </c>
      <c r="Q299" s="38">
        <f>_xll.qlIndexFixing(Currency&amp;IborType&amp;"6M",_xll.qlInterestRateIndexFixingDate(Currency&amp;IborType&amp;"6M",M299),TRUE,AllTriggers)</f>
        <v>2.0671287720850171E-2</v>
      </c>
      <c r="R299" s="38">
        <f>_xll.qlOvernightIndexedSwapFairRate(O299,AllTriggers)</f>
        <v>1.9807672169355729E-2</v>
      </c>
      <c r="S299" s="345">
        <f t="shared" si="8"/>
        <v>8.63615551494442E-4</v>
      </c>
    </row>
    <row r="300" spans="5:19" ht="11.25" customHeight="1" x14ac:dyDescent="0.2">
      <c r="E300" s="254"/>
      <c r="F300" s="254"/>
      <c r="G300" s="39"/>
      <c r="J300" s="39"/>
      <c r="K300" s="39"/>
      <c r="M300" s="346">
        <f>_xll.qlCalendarAdvance(Calendar,M299,"1M","f",,Trigger)</f>
        <v>51239</v>
      </c>
      <c r="N300" s="344">
        <f>_xll.qlCalendarAdvance(Calendar,M300,"3M","f",,Trigger)</f>
        <v>51330</v>
      </c>
      <c r="O300" s="40" t="str">
        <f>_xll.qlMakeDatedOIS(,M300,N300,OvernightIndex,0,,,,EvaluationDate)</f>
        <v>obj_00718#0000</v>
      </c>
      <c r="P300" s="40" t="b">
        <f>_xll.qlInstrumentSetPricingEngine(O300,OisEngine)</f>
        <v>1</v>
      </c>
      <c r="Q300" s="38">
        <f>_xll.qlIndexFixing(Currency&amp;IborType&amp;"6M",_xll.qlInterestRateIndexFixingDate(Currency&amp;IborType&amp;"6M",M300),TRUE,AllTriggers)</f>
        <v>2.0644519356437168E-2</v>
      </c>
      <c r="R300" s="38">
        <f>_xll.qlOvernightIndexedSwapFairRate(O300,AllTriggers)</f>
        <v>1.977945575774594E-2</v>
      </c>
      <c r="S300" s="345">
        <f t="shared" si="8"/>
        <v>8.6506359869122779E-4</v>
      </c>
    </row>
    <row r="301" spans="5:19" ht="11.25" customHeight="1" x14ac:dyDescent="0.2">
      <c r="E301" s="254"/>
      <c r="F301" s="254"/>
      <c r="G301" s="39"/>
      <c r="J301" s="39"/>
      <c r="K301" s="39"/>
      <c r="M301" s="346">
        <f>_xll.qlCalendarAdvance(Calendar,M300,"1M","f",,Trigger)</f>
        <v>51270</v>
      </c>
      <c r="N301" s="344">
        <f>_xll.qlCalendarAdvance(Calendar,M301,"3M","f",,Trigger)</f>
        <v>51362</v>
      </c>
      <c r="O301" s="40" t="str">
        <f>_xll.qlMakeDatedOIS(,M301,N301,OvernightIndex,0,,,,EvaluationDate)</f>
        <v>obj_009ab#0000</v>
      </c>
      <c r="P301" s="40" t="b">
        <f>_xll.qlInstrumentSetPricingEngine(O301,OisEngine)</f>
        <v>1</v>
      </c>
      <c r="Q301" s="38">
        <f>_xll.qlIndexFixing(Currency&amp;IborType&amp;"6M",_xll.qlInterestRateIndexFixingDate(Currency&amp;IborType&amp;"6M",M301),TRUE,AllTriggers)</f>
        <v>2.0618163285185304E-2</v>
      </c>
      <c r="R301" s="38">
        <f>_xll.qlOvernightIndexedSwapFairRate(O301,AllTriggers)</f>
        <v>1.9752562845397569E-2</v>
      </c>
      <c r="S301" s="345">
        <f t="shared" si="8"/>
        <v>8.656004397877351E-4</v>
      </c>
    </row>
    <row r="302" spans="5:19" ht="11.25" customHeight="1" x14ac:dyDescent="0.2">
      <c r="E302" s="254"/>
      <c r="F302" s="254"/>
      <c r="G302" s="39"/>
      <c r="J302" s="39"/>
      <c r="K302" s="39"/>
      <c r="M302" s="346">
        <f>_xll.qlCalendarAdvance(Calendar,M301,"1M","f",,Trigger)</f>
        <v>51301</v>
      </c>
      <c r="N302" s="344">
        <f>_xll.qlCalendarAdvance(Calendar,M302,"3M","f",,Trigger)</f>
        <v>51393</v>
      </c>
      <c r="O302" s="40" t="str">
        <f>_xll.qlMakeDatedOIS(,M302,N302,OvernightIndex,0,,,,EvaluationDate)</f>
        <v>obj_009c8#0000</v>
      </c>
      <c r="P302" s="40" t="b">
        <f>_xll.qlInstrumentSetPricingEngine(O302,OisEngine)</f>
        <v>1</v>
      </c>
      <c r="Q302" s="38">
        <f>_xll.qlIndexFixing(Currency&amp;IborType&amp;"6M",_xll.qlInterestRateIndexFixingDate(Currency&amp;IborType&amp;"6M",M302),TRUE,AllTriggers)</f>
        <v>2.0592545492448849E-2</v>
      </c>
      <c r="R302" s="38">
        <f>_xll.qlOvernightIndexedSwapFairRate(O302,AllTriggers)</f>
        <v>1.972667328178029E-2</v>
      </c>
      <c r="S302" s="345">
        <f t="shared" si="8"/>
        <v>8.6587221066855916E-4</v>
      </c>
    </row>
    <row r="303" spans="5:19" ht="11.25" customHeight="1" x14ac:dyDescent="0.2">
      <c r="E303" s="254"/>
      <c r="F303" s="254"/>
      <c r="G303" s="39"/>
      <c r="J303" s="39"/>
      <c r="K303" s="39"/>
      <c r="M303" s="346">
        <f>_xll.qlCalendarAdvance(Calendar,M302,"1M","f",,Trigger)</f>
        <v>51333</v>
      </c>
      <c r="N303" s="344">
        <f>_xll.qlCalendarAdvance(Calendar,M303,"3M","f",,Trigger)</f>
        <v>51425</v>
      </c>
      <c r="O303" s="40" t="str">
        <f>_xll.qlMakeDatedOIS(,M303,N303,OvernightIndex,0,,,,EvaluationDate)</f>
        <v>obj_00990#0000</v>
      </c>
      <c r="P303" s="40" t="b">
        <f>_xll.qlInstrumentSetPricingEngine(O303,OisEngine)</f>
        <v>1</v>
      </c>
      <c r="Q303" s="38">
        <f>_xll.qlIndexFixing(Currency&amp;IborType&amp;"6M",_xll.qlInterestRateIndexFixingDate(Currency&amp;IborType&amp;"6M",M303),TRUE,AllTriggers)</f>
        <v>2.05672943146438E-2</v>
      </c>
      <c r="R303" s="38">
        <f>_xll.qlOvernightIndexedSwapFairRate(O303,AllTriggers)</f>
        <v>1.970111289570823E-2</v>
      </c>
      <c r="S303" s="345">
        <f t="shared" si="8"/>
        <v>8.6618141893557085E-4</v>
      </c>
    </row>
    <row r="304" spans="5:19" ht="11.25" customHeight="1" x14ac:dyDescent="0.2">
      <c r="E304" s="254"/>
      <c r="F304" s="254"/>
      <c r="G304" s="39"/>
      <c r="J304" s="39"/>
      <c r="K304" s="39"/>
      <c r="M304" s="346">
        <f>_xll.qlCalendarAdvance(Calendar,M303,"1M","f",,Trigger)</f>
        <v>51364</v>
      </c>
      <c r="N304" s="344">
        <f>_xll.qlCalendarAdvance(Calendar,M304,"3M","f",,Trigger)</f>
        <v>51456</v>
      </c>
      <c r="O304" s="40" t="str">
        <f>_xll.qlMakeDatedOIS(,M304,N304,OvernightIndex,0,,,,EvaluationDate)</f>
        <v>obj_0071d#0000</v>
      </c>
      <c r="P304" s="40" t="b">
        <f>_xll.qlInstrumentSetPricingEngine(O304,OisEngine)</f>
        <v>1</v>
      </c>
      <c r="Q304" s="38">
        <f>_xll.qlIndexFixing(Currency&amp;IborType&amp;"6M",_xll.qlInterestRateIndexFixingDate(Currency&amp;IborType&amp;"6M",M304),TRUE,AllTriggers)</f>
        <v>2.0543850030578001E-2</v>
      </c>
      <c r="R304" s="38">
        <f>_xll.qlOvernightIndexedSwapFairRate(O304,AllTriggers)</f>
        <v>1.9677479189778555E-2</v>
      </c>
      <c r="S304" s="345">
        <f t="shared" si="8"/>
        <v>8.6637084079944568E-4</v>
      </c>
    </row>
    <row r="305" spans="5:19" ht="11.25" customHeight="1" x14ac:dyDescent="0.2">
      <c r="E305" s="254"/>
      <c r="F305" s="254"/>
      <c r="G305" s="39"/>
      <c r="J305" s="39"/>
      <c r="K305" s="39"/>
      <c r="M305" s="346">
        <f>_xll.qlCalendarAdvance(Calendar,M304,"1M","f",,Trigger)</f>
        <v>51396</v>
      </c>
      <c r="N305" s="344">
        <f>_xll.qlCalendarAdvance(Calendar,M305,"3M","f",,Trigger)</f>
        <v>51487</v>
      </c>
      <c r="O305" s="40" t="str">
        <f>_xll.qlMakeDatedOIS(,M305,N305,OvernightIndex,0,,,,EvaluationDate)</f>
        <v>obj_00944#0000</v>
      </c>
      <c r="P305" s="40" t="b">
        <f>_xll.qlInstrumentSetPricingEngine(O305,OisEngine)</f>
        <v>1</v>
      </c>
      <c r="Q305" s="38">
        <f>_xll.qlIndexFixing(Currency&amp;IborType&amp;"6M",_xll.qlInterestRateIndexFixingDate(Currency&amp;IborType&amp;"6M",M305),TRUE,AllTriggers)</f>
        <v>2.0519105808236938E-2</v>
      </c>
      <c r="R305" s="38">
        <f>_xll.qlOvernightIndexedSwapFairRate(O305,AllTriggers)</f>
        <v>1.9654056856171262E-2</v>
      </c>
      <c r="S305" s="345">
        <f t="shared" si="8"/>
        <v>8.650489520656765E-4</v>
      </c>
    </row>
    <row r="306" spans="5:19" ht="11.25" customHeight="1" x14ac:dyDescent="0.2">
      <c r="E306" s="254"/>
      <c r="F306" s="254"/>
      <c r="G306" s="39"/>
      <c r="J306" s="39"/>
      <c r="K306" s="39"/>
      <c r="M306" s="346">
        <f>_xll.qlCalendarAdvance(Calendar,M305,"1M","f",,Trigger)</f>
        <v>51426</v>
      </c>
      <c r="N306" s="344">
        <f>_xll.qlCalendarAdvance(Calendar,M306,"3M","f",,Trigger)</f>
        <v>51518</v>
      </c>
      <c r="O306" s="40" t="str">
        <f>_xll.qlMakeDatedOIS(,M306,N306,OvernightIndex,0,,,,EvaluationDate)</f>
        <v>obj_00925#0000</v>
      </c>
      <c r="P306" s="40" t="b">
        <f>_xll.qlInstrumentSetPricingEngine(O306,OisEngine)</f>
        <v>1</v>
      </c>
      <c r="Q306" s="38">
        <f>_xll.qlIndexFixing(Currency&amp;IborType&amp;"6M",_xll.qlInterestRateIndexFixingDate(Currency&amp;IborType&amp;"6M",M306),TRUE,AllTriggers)</f>
        <v>2.0497457524989156E-2</v>
      </c>
      <c r="R306" s="38">
        <f>_xll.qlOvernightIndexedSwapFairRate(O306,AllTriggers)</f>
        <v>1.9633541741996736E-2</v>
      </c>
      <c r="S306" s="345">
        <f t="shared" si="8"/>
        <v>8.6391578299242072E-4</v>
      </c>
    </row>
    <row r="307" spans="5:19" ht="11.25" customHeight="1" x14ac:dyDescent="0.2">
      <c r="E307" s="254"/>
      <c r="F307" s="254"/>
      <c r="G307" s="39"/>
      <c r="J307" s="39"/>
      <c r="K307" s="39"/>
      <c r="M307" s="346">
        <f>_xll.qlCalendarAdvance(Calendar,M306,"1M","f",,Trigger)</f>
        <v>51459</v>
      </c>
      <c r="N307" s="344">
        <f>_xll.qlCalendarAdvance(Calendar,M307,"3M","f",,Trigger)</f>
        <v>51551</v>
      </c>
      <c r="O307" s="40" t="str">
        <f>_xll.qlMakeDatedOIS(,M307,N307,OvernightIndex,0,,,,EvaluationDate)</f>
        <v>obj_008d3#0000</v>
      </c>
      <c r="P307" s="40" t="b">
        <f>_xll.qlInstrumentSetPricingEngine(O307,OisEngine)</f>
        <v>1</v>
      </c>
      <c r="Q307" s="38">
        <f>_xll.qlIndexFixing(Currency&amp;IborType&amp;"6M",_xll.qlInterestRateIndexFixingDate(Currency&amp;IborType&amp;"6M",M307),TRUE,AllTriggers)</f>
        <v>2.0474465817803569E-2</v>
      </c>
      <c r="R307" s="38">
        <f>_xll.qlOvernightIndexedSwapFairRate(O307,AllTriggers)</f>
        <v>1.9611966156380368E-2</v>
      </c>
      <c r="S307" s="345">
        <f t="shared" si="8"/>
        <v>8.6249966142320014E-4</v>
      </c>
    </row>
    <row r="308" spans="5:19" ht="11.25" customHeight="1" x14ac:dyDescent="0.2">
      <c r="E308" s="254"/>
      <c r="F308" s="254"/>
      <c r="G308" s="39"/>
      <c r="J308" s="39"/>
      <c r="K308" s="39"/>
      <c r="M308" s="346">
        <f>_xll.qlCalendarAdvance(Calendar,M307,"1M","f",,Trigger)</f>
        <v>51489</v>
      </c>
      <c r="N308" s="344">
        <f>_xll.qlCalendarAdvance(Calendar,M308,"3M","f",,Trigger)</f>
        <v>51579</v>
      </c>
      <c r="O308" s="40" t="str">
        <f>_xll.qlMakeDatedOIS(,M308,N308,OvernightIndex,0,,,,EvaluationDate)</f>
        <v>obj_00722#0000</v>
      </c>
      <c r="P308" s="40" t="b">
        <f>_xll.qlInstrumentSetPricingEngine(O308,OisEngine)</f>
        <v>1</v>
      </c>
      <c r="Q308" s="38">
        <f>_xll.qlIndexFixing(Currency&amp;IborType&amp;"6M",_xll.qlInterestRateIndexFixingDate(Currency&amp;IborType&amp;"6M",M308),TRUE,AllTriggers)</f>
        <v>2.0454310972873858E-2</v>
      </c>
      <c r="R308" s="38">
        <f>_xll.qlOvernightIndexedSwapFairRate(O308,AllTriggers)</f>
        <v>1.9592961961659938E-2</v>
      </c>
      <c r="S308" s="345">
        <f t="shared" si="8"/>
        <v>8.6134901121391952E-4</v>
      </c>
    </row>
    <row r="309" spans="5:19" ht="11.25" customHeight="1" x14ac:dyDescent="0.2">
      <c r="E309" s="254"/>
      <c r="F309" s="254"/>
      <c r="G309" s="39"/>
      <c r="J309" s="39"/>
      <c r="K309" s="39"/>
      <c r="M309" s="346">
        <f>_xll.qlCalendarAdvance(Calendar,M308,"1M","f",,Trigger)</f>
        <v>51522</v>
      </c>
      <c r="N309" s="344">
        <f>_xll.qlCalendarAdvance(Calendar,M309,"3M","f",,Trigger)</f>
        <v>51614</v>
      </c>
      <c r="O309" s="40" t="str">
        <f>_xll.qlMakeDatedOIS(,M309,N309,OvernightIndex,0,,,,EvaluationDate)</f>
        <v>obj_00880#0000</v>
      </c>
      <c r="P309" s="40" t="b">
        <f>_xll.qlInstrumentSetPricingEngine(O309,OisEngine)</f>
        <v>1</v>
      </c>
      <c r="Q309" s="38">
        <f>_xll.qlIndexFixing(Currency&amp;IborType&amp;"6M",_xll.qlInterestRateIndexFixingDate(Currency&amp;IborType&amp;"6M",M309),TRUE,AllTriggers)</f>
        <v>2.0432961994710092E-2</v>
      </c>
      <c r="R309" s="38">
        <f>_xll.qlOvernightIndexedSwapFairRate(O309,AllTriggers)</f>
        <v>1.9574269055012937E-2</v>
      </c>
      <c r="S309" s="345">
        <f t="shared" si="8"/>
        <v>8.586929396971546E-4</v>
      </c>
    </row>
    <row r="310" spans="5:19" ht="11.25" customHeight="1" x14ac:dyDescent="0.2">
      <c r="E310" s="254"/>
      <c r="F310" s="254"/>
      <c r="G310" s="39"/>
      <c r="J310" s="39"/>
      <c r="K310" s="39"/>
      <c r="M310" s="346">
        <f>_xll.qlCalendarAdvance(Calendar,M309,"1M","f",,Trigger)</f>
        <v>51553</v>
      </c>
      <c r="N310" s="344">
        <f>_xll.qlCalendarAdvance(Calendar,M310,"3M","f",,Trigger)</f>
        <v>51642</v>
      </c>
      <c r="O310" s="40" t="str">
        <f>_xll.qlMakeDatedOIS(,M310,N310,OvernightIndex,0,,,,EvaluationDate)</f>
        <v>obj_00725#0000</v>
      </c>
      <c r="P310" s="40" t="b">
        <f>_xll.qlInstrumentSetPricingEngine(O310,OisEngine)</f>
        <v>1</v>
      </c>
      <c r="Q310" s="38">
        <f>_xll.qlIndexFixing(Currency&amp;IborType&amp;"6M",_xll.qlInterestRateIndexFixingDate(Currency&amp;IborType&amp;"6M",M310),TRUE,AllTriggers)</f>
        <v>2.0413406744473311E-2</v>
      </c>
      <c r="R310" s="38">
        <f>_xll.qlOvernightIndexedSwapFairRate(O310,AllTriggers)</f>
        <v>1.9556575795513363E-2</v>
      </c>
      <c r="S310" s="345">
        <f t="shared" si="8"/>
        <v>8.5683094895994821E-4</v>
      </c>
    </row>
    <row r="311" spans="5:19" ht="11.25" customHeight="1" x14ac:dyDescent="0.2">
      <c r="E311" s="254"/>
      <c r="F311" s="254"/>
      <c r="G311" s="39"/>
      <c r="J311" s="39"/>
      <c r="K311" s="39"/>
      <c r="M311" s="346">
        <f>_xll.qlCalendarAdvance(Calendar,M310,"1M","f",,Trigger)</f>
        <v>51581</v>
      </c>
      <c r="N311" s="344">
        <f>_xll.qlCalendarAdvance(Calendar,M311,"3M","f",,Trigger)</f>
        <v>51673</v>
      </c>
      <c r="O311" s="40" t="str">
        <f>_xll.qlMakeDatedOIS(,M311,N311,OvernightIndex,0,,,,EvaluationDate)</f>
        <v>obj_009f9#0000</v>
      </c>
      <c r="P311" s="40" t="b">
        <f>_xll.qlInstrumentSetPricingEngine(O311,OisEngine)</f>
        <v>1</v>
      </c>
      <c r="Q311" s="38">
        <f>_xll.qlIndexFixing(Currency&amp;IborType&amp;"6M",_xll.qlInterestRateIndexFixingDate(Currency&amp;IborType&amp;"6M",M311),TRUE,AllTriggers)</f>
        <v>2.0398115744214608E-2</v>
      </c>
      <c r="R311" s="38">
        <f>_xll.qlOvernightIndexedSwapFairRate(O311,AllTriggers)</f>
        <v>1.9543122088855384E-2</v>
      </c>
      <c r="S311" s="345">
        <f t="shared" si="8"/>
        <v>8.5499365535922356E-4</v>
      </c>
    </row>
    <row r="312" spans="5:19" ht="11.25" customHeight="1" x14ac:dyDescent="0.2">
      <c r="E312" s="254"/>
      <c r="F312" s="254"/>
      <c r="G312" s="39"/>
      <c r="J312" s="39"/>
      <c r="K312" s="39"/>
      <c r="M312" s="346">
        <f>_xll.qlCalendarAdvance(Calendar,M311,"1M","f",,Trigger)</f>
        <v>51614</v>
      </c>
      <c r="N312" s="344">
        <f>_xll.qlCalendarAdvance(Calendar,M312,"3M","f",,Trigger)</f>
        <v>51705</v>
      </c>
      <c r="O312" s="40" t="str">
        <f>_xll.qlMakeDatedOIS(,M312,N312,OvernightIndex,0,,,,EvaluationDate)</f>
        <v>obj_009c7#0000</v>
      </c>
      <c r="P312" s="40" t="b">
        <f>_xll.qlInstrumentSetPricingEngine(O312,OisEngine)</f>
        <v>1</v>
      </c>
      <c r="Q312" s="38">
        <f>_xll.qlIndexFixing(Currency&amp;IborType&amp;"6M",_xll.qlInterestRateIndexFixingDate(Currency&amp;IborType&amp;"6M",M312),TRUE,AllTriggers)</f>
        <v>2.0378292999923216E-2</v>
      </c>
      <c r="R312" s="38">
        <f>_xll.qlOvernightIndexedSwapFairRate(O312,AllTriggers)</f>
        <v>1.9527144550767071E-2</v>
      </c>
      <c r="S312" s="345">
        <f t="shared" si="8"/>
        <v>8.5114844915614579E-4</v>
      </c>
    </row>
    <row r="313" spans="5:19" ht="11.25" customHeight="1" x14ac:dyDescent="0.2">
      <c r="E313" s="254"/>
      <c r="F313" s="254"/>
      <c r="G313" s="39"/>
      <c r="J313" s="39"/>
      <c r="K313" s="39"/>
      <c r="M313" s="346">
        <f>_xll.qlCalendarAdvance(Calendar,M312,"1M","f",,Trigger)</f>
        <v>51644</v>
      </c>
      <c r="N313" s="344">
        <f>_xll.qlCalendarAdvance(Calendar,M313,"3M","f",,Trigger)</f>
        <v>51736</v>
      </c>
      <c r="O313" s="40" t="str">
        <f>_xll.qlMakeDatedOIS(,M313,N313,OvernightIndex,0,,,,EvaluationDate)</f>
        <v>obj_00728#0000</v>
      </c>
      <c r="P313" s="40" t="b">
        <f>_xll.qlInstrumentSetPricingEngine(O313,OisEngine)</f>
        <v>1</v>
      </c>
      <c r="Q313" s="38">
        <f>_xll.qlIndexFixing(Currency&amp;IborType&amp;"6M",_xll.qlInterestRateIndexFixingDate(Currency&amp;IborType&amp;"6M",M313),TRUE,AllTriggers)</f>
        <v>2.0362776177458224E-2</v>
      </c>
      <c r="R313" s="38">
        <f>_xll.qlOvernightIndexedSwapFairRate(O313,AllTriggers)</f>
        <v>1.951430183023925E-2</v>
      </c>
      <c r="S313" s="345">
        <f t="shared" si="8"/>
        <v>8.4847434721897416E-4</v>
      </c>
    </row>
    <row r="314" spans="5:19" ht="11.25" customHeight="1" x14ac:dyDescent="0.2">
      <c r="E314" s="254"/>
      <c r="F314" s="254"/>
      <c r="G314" s="39"/>
      <c r="J314" s="39"/>
      <c r="K314" s="39"/>
      <c r="M314" s="346">
        <f>_xll.qlCalendarAdvance(Calendar,M313,"1M","f",,Trigger)</f>
        <v>51676</v>
      </c>
      <c r="N314" s="344">
        <f>_xll.qlCalendarAdvance(Calendar,M314,"3M","f",,Trigger)</f>
        <v>51768</v>
      </c>
      <c r="O314" s="40" t="str">
        <f>_xll.qlMakeDatedOIS(,M314,N314,OvernightIndex,0,,,,EvaluationDate)</f>
        <v>obj_0098f#0000</v>
      </c>
      <c r="P314" s="40" t="b">
        <f>_xll.qlInstrumentSetPricingEngine(O314,OisEngine)</f>
        <v>1</v>
      </c>
      <c r="Q314" s="38">
        <f>_xll.qlIndexFixing(Currency&amp;IborType&amp;"6M",_xll.qlInterestRateIndexFixingDate(Currency&amp;IborType&amp;"6M",M314),TRUE,AllTriggers)</f>
        <v>2.0345038799869923E-2</v>
      </c>
      <c r="R314" s="38">
        <f>_xll.qlOvernightIndexedSwapFairRate(O314,AllTriggers)</f>
        <v>1.9501418418580007E-2</v>
      </c>
      <c r="S314" s="345">
        <f t="shared" si="8"/>
        <v>8.4362038128991609E-4</v>
      </c>
    </row>
    <row r="315" spans="5:19" ht="11.25" customHeight="1" x14ac:dyDescent="0.2">
      <c r="E315" s="254"/>
      <c r="F315" s="254"/>
      <c r="G315" s="39"/>
      <c r="J315" s="39"/>
      <c r="K315" s="39"/>
      <c r="M315" s="346">
        <f>_xll.qlCalendarAdvance(Calendar,M314,"1M","f",,Trigger)</f>
        <v>51706</v>
      </c>
      <c r="N315" s="344">
        <f>_xll.qlCalendarAdvance(Calendar,M315,"3M","f",,Trigger)</f>
        <v>51798</v>
      </c>
      <c r="O315" s="40" t="str">
        <f>_xll.qlMakeDatedOIS(,M315,N315,OvernightIndex,0,,,,EvaluationDate)</f>
        <v>obj_008a0#0000</v>
      </c>
      <c r="P315" s="40" t="b">
        <f>_xll.qlInstrumentSetPricingEngine(O315,OisEngine)</f>
        <v>1</v>
      </c>
      <c r="Q315" s="38">
        <f>_xll.qlIndexFixing(Currency&amp;IborType&amp;"6M",_xll.qlInterestRateIndexFixingDate(Currency&amp;IborType&amp;"6M",M315),TRUE,AllTriggers)</f>
        <v>2.0330378513220237E-2</v>
      </c>
      <c r="R315" s="38">
        <f>_xll.qlOvernightIndexedSwapFairRate(O315,AllTriggers)</f>
        <v>1.949041426421837E-2</v>
      </c>
      <c r="S315" s="345">
        <f t="shared" si="8"/>
        <v>8.3996424900186634E-4</v>
      </c>
    </row>
    <row r="316" spans="5:19" ht="11.25" customHeight="1" x14ac:dyDescent="0.2">
      <c r="E316" s="254"/>
      <c r="F316" s="254"/>
      <c r="G316" s="39"/>
      <c r="J316" s="39"/>
      <c r="K316" s="39"/>
      <c r="M316" s="346">
        <f>_xll.qlCalendarAdvance(Calendar,M315,"1M","f",,Trigger)</f>
        <v>51739</v>
      </c>
      <c r="N316" s="344">
        <f>_xll.qlCalendarAdvance(Calendar,M316,"3M","f",,Trigger)</f>
        <v>51831</v>
      </c>
      <c r="O316" s="40" t="str">
        <f>_xll.qlMakeDatedOIS(,M316,N316,OvernightIndex,0,,,,EvaluationDate)</f>
        <v>obj_0072c#0000</v>
      </c>
      <c r="P316" s="40" t="b">
        <f>_xll.qlInstrumentSetPricingEngine(O316,OisEngine)</f>
        <v>1</v>
      </c>
      <c r="Q316" s="38">
        <f>_xll.qlIndexFixing(Currency&amp;IborType&amp;"6M",_xll.qlInterestRateIndexFixingDate(Currency&amp;IborType&amp;"6M",M316),TRUE,AllTriggers)</f>
        <v>2.0314711412628153E-2</v>
      </c>
      <c r="R316" s="38">
        <f>_xll.qlOvernightIndexedSwapFairRate(O316,AllTriggers)</f>
        <v>1.9479510187886066E-2</v>
      </c>
      <c r="S316" s="345">
        <f t="shared" si="8"/>
        <v>8.3520122474208675E-4</v>
      </c>
    </row>
    <row r="317" spans="5:19" ht="11.25" customHeight="1" x14ac:dyDescent="0.2">
      <c r="E317" s="254"/>
      <c r="F317" s="254"/>
      <c r="G317" s="39"/>
      <c r="J317" s="39"/>
      <c r="K317" s="39"/>
      <c r="M317" s="346">
        <f>_xll.qlCalendarAdvance(Calendar,M316,"1M","f",,Trigger)</f>
        <v>51770</v>
      </c>
      <c r="N317" s="344">
        <f>_xll.qlCalendarAdvance(Calendar,M317,"3M","f",,Trigger)</f>
        <v>51862</v>
      </c>
      <c r="O317" s="40" t="str">
        <f>_xll.qlMakeDatedOIS(,M317,N317,OvernightIndex,0,,,,EvaluationDate)</f>
        <v>obj_0072e#0000</v>
      </c>
      <c r="P317" s="40" t="b">
        <f>_xll.qlInstrumentSetPricingEngine(O317,OisEngine)</f>
        <v>1</v>
      </c>
      <c r="Q317" s="38">
        <f>_xll.qlIndexFixing(Currency&amp;IborType&amp;"6M",_xll.qlInterestRateIndexFixingDate(Currency&amp;IborType&amp;"6M",M317),TRUE,AllTriggers)</f>
        <v>2.0299687000841754E-2</v>
      </c>
      <c r="R317" s="38">
        <f>_xll.qlOvernightIndexedSwapFairRate(O317,AllTriggers)</f>
        <v>1.9470412592487305E-2</v>
      </c>
      <c r="S317" s="345">
        <f t="shared" si="8"/>
        <v>8.2927440835444885E-4</v>
      </c>
    </row>
    <row r="318" spans="5:19" ht="11.25" customHeight="1" x14ac:dyDescent="0.2">
      <c r="E318" s="254"/>
      <c r="F318" s="254"/>
      <c r="G318" s="39"/>
      <c r="J318" s="39"/>
      <c r="K318" s="39"/>
      <c r="M318" s="346">
        <f>_xll.qlCalendarAdvance(Calendar,M317,"1M","f",,Trigger)</f>
        <v>51802</v>
      </c>
      <c r="N318" s="344">
        <f>_xll.qlCalendarAdvance(Calendar,M318,"3M","f",,Trigger)</f>
        <v>51894</v>
      </c>
      <c r="O318" s="40" t="str">
        <f>_xll.qlMakeDatedOIS(,M318,N318,OvernightIndex,0,,,,EvaluationDate)</f>
        <v>obj_00924#0000</v>
      </c>
      <c r="P318" s="40" t="b">
        <f>_xll.qlInstrumentSetPricingEngine(O318,OisEngine)</f>
        <v>1</v>
      </c>
      <c r="Q318" s="38">
        <f>_xll.qlIndexFixing(Currency&amp;IborType&amp;"6M",_xll.qlInterestRateIndexFixingDate(Currency&amp;IborType&amp;"6M",M318),TRUE,AllTriggers)</f>
        <v>2.0286439564944622E-2</v>
      </c>
      <c r="R318" s="38">
        <f>_xll.qlOvernightIndexedSwapFairRate(O318,AllTriggers)</f>
        <v>1.9462185623613338E-2</v>
      </c>
      <c r="S318" s="345">
        <f t="shared" si="8"/>
        <v>8.2425394133128424E-4</v>
      </c>
    </row>
    <row r="319" spans="5:19" ht="11.25" customHeight="1" x14ac:dyDescent="0.2">
      <c r="E319" s="254"/>
      <c r="F319" s="254"/>
      <c r="G319" s="39"/>
      <c r="J319" s="39"/>
      <c r="K319" s="39"/>
      <c r="M319" s="346">
        <f>_xll.qlCalendarAdvance(Calendar,M318,"1M","f",,Trigger)</f>
        <v>51833</v>
      </c>
      <c r="N319" s="344">
        <f>_xll.qlCalendarAdvance(Calendar,M319,"3M","f",,Trigger)</f>
        <v>51925</v>
      </c>
      <c r="O319" s="40" t="str">
        <f>_xll.qlMakeDatedOIS(,M319,N319,OvernightIndex,0,,,,EvaluationDate)</f>
        <v>obj_008d2#0000</v>
      </c>
      <c r="P319" s="40" t="b">
        <f>_xll.qlInstrumentSetPricingEngine(O319,OisEngine)</f>
        <v>1</v>
      </c>
      <c r="Q319" s="38">
        <f>_xll.qlIndexFixing(Currency&amp;IborType&amp;"6M",_xll.qlInterestRateIndexFixingDate(Currency&amp;IborType&amp;"6M",M319),TRUE,AllTriggers)</f>
        <v>2.0273638891509502E-2</v>
      </c>
      <c r="R319" s="38">
        <f>_xll.qlOvernightIndexedSwapFairRate(O319,AllTriggers)</f>
        <v>1.9455343459883832E-2</v>
      </c>
      <c r="S319" s="345">
        <f t="shared" si="8"/>
        <v>8.1829543162566937E-4</v>
      </c>
    </row>
    <row r="320" spans="5:19" ht="11.25" customHeight="1" x14ac:dyDescent="0.2">
      <c r="E320" s="254"/>
      <c r="F320" s="254"/>
      <c r="G320" s="39"/>
      <c r="J320" s="39"/>
      <c r="K320" s="39"/>
      <c r="M320" s="346">
        <f>_xll.qlCalendarAdvance(Calendar,M319,"1M","f",,Trigger)</f>
        <v>51865</v>
      </c>
      <c r="N320" s="344">
        <f>_xll.qlCalendarAdvance(Calendar,M320,"3M","f",,Trigger)</f>
        <v>51956</v>
      </c>
      <c r="O320" s="40" t="str">
        <f>_xll.qlMakeDatedOIS(,M320,N320,OvernightIndex,0,,,,EvaluationDate)</f>
        <v>obj_0087f#0000</v>
      </c>
      <c r="P320" s="40" t="b">
        <f>_xll.qlInstrumentSetPricingEngine(O320,OisEngine)</f>
        <v>1</v>
      </c>
      <c r="Q320" s="38">
        <f>_xll.qlIndexFixing(Currency&amp;IborType&amp;"6M",_xll.qlInterestRateIndexFixingDate(Currency&amp;IborType&amp;"6M",M320),TRUE,AllTriggers)</f>
        <v>2.0262007387265378E-2</v>
      </c>
      <c r="R320" s="38">
        <f>_xll.qlOvernightIndexedSwapFairRate(O320,AllTriggers)</f>
        <v>1.9448994417466985E-2</v>
      </c>
      <c r="S320" s="345">
        <f t="shared" si="8"/>
        <v>8.1301296979839274E-4</v>
      </c>
    </row>
    <row r="321" spans="5:19" ht="11.25" customHeight="1" x14ac:dyDescent="0.2">
      <c r="E321" s="254"/>
      <c r="F321" s="254"/>
      <c r="G321" s="39"/>
      <c r="J321" s="39"/>
      <c r="K321" s="39"/>
      <c r="M321" s="346">
        <f>_xll.qlCalendarAdvance(Calendar,M320,"1M","f",,Trigger)</f>
        <v>51896</v>
      </c>
      <c r="N321" s="344">
        <f>_xll.qlCalendarAdvance(Calendar,M321,"3M","f",,Trigger)</f>
        <v>51986</v>
      </c>
      <c r="O321" s="40" t="str">
        <f>_xll.qlMakeDatedOIS(,M321,N321,OvernightIndex,0,,,,EvaluationDate)</f>
        <v>obj_00a19#0000</v>
      </c>
      <c r="P321" s="40" t="b">
        <f>_xll.qlInstrumentSetPricingEngine(O321,OisEngine)</f>
        <v>1</v>
      </c>
      <c r="Q321" s="38">
        <f>_xll.qlIndexFixing(Currency&amp;IborType&amp;"6M",_xll.qlInterestRateIndexFixingDate(Currency&amp;IborType&amp;"6M",M321),TRUE,AllTriggers)</f>
        <v>2.025072582968062E-2</v>
      </c>
      <c r="R321" s="38">
        <f>_xll.qlOvernightIndexedSwapFairRate(O321,AllTriggers)</f>
        <v>1.9443922507726974E-2</v>
      </c>
      <c r="S321" s="345">
        <f t="shared" si="8"/>
        <v>8.0680332195364607E-4</v>
      </c>
    </row>
    <row r="322" spans="5:19" ht="11.25" customHeight="1" x14ac:dyDescent="0.2">
      <c r="E322" s="254"/>
      <c r="F322" s="254"/>
      <c r="G322" s="39"/>
      <c r="J322" s="39"/>
      <c r="K322" s="39"/>
      <c r="M322" s="346">
        <f>_xll.qlCalendarAdvance(Calendar,M321,"1M","f",,Trigger)</f>
        <v>51925</v>
      </c>
      <c r="N322" s="344">
        <f>_xll.qlCalendarAdvance(Calendar,M322,"3M","f",,Trigger)</f>
        <v>52014</v>
      </c>
      <c r="O322" s="40" t="str">
        <f>_xll.qlMakeDatedOIS(,M322,N322,OvernightIndex,0,,,,EvaluationDate)</f>
        <v>obj_009f8#0000</v>
      </c>
      <c r="P322" s="40" t="b">
        <f>_xll.qlInstrumentSetPricingEngine(O322,OisEngine)</f>
        <v>1</v>
      </c>
      <c r="Q322" s="38">
        <f>_xll.qlIndexFixing(Currency&amp;IborType&amp;"6M",_xll.qlInterestRateIndexFixingDate(Currency&amp;IborType&amp;"6M",M322),TRUE,AllTriggers)</f>
        <v>2.0241653429602331E-2</v>
      </c>
      <c r="R322" s="38">
        <f>_xll.qlOvernightIndexedSwapFairRate(O322,AllTriggers)</f>
        <v>1.9440119578531697E-2</v>
      </c>
      <c r="S322" s="345">
        <f t="shared" si="8"/>
        <v>8.0153385107063421E-4</v>
      </c>
    </row>
    <row r="323" spans="5:19" ht="11.25" customHeight="1" x14ac:dyDescent="0.2">
      <c r="E323" s="254"/>
      <c r="F323" s="254"/>
      <c r="G323" s="39"/>
      <c r="J323" s="39"/>
      <c r="K323" s="39"/>
      <c r="M323" s="346">
        <f>_xll.qlCalendarAdvance(Calendar,M322,"1M","f",,Trigger)</f>
        <v>51953</v>
      </c>
      <c r="N323" s="344">
        <f>_xll.qlCalendarAdvance(Calendar,M323,"3M","f",,Trigger)</f>
        <v>52047</v>
      </c>
      <c r="O323" s="40" t="str">
        <f>_xll.qlMakeDatedOIS(,M323,N323,OvernightIndex,0,,,,EvaluationDate)</f>
        <v>obj_0098e#0000</v>
      </c>
      <c r="P323" s="40" t="b">
        <f>_xll.qlInstrumentSetPricingEngine(O323,OisEngine)</f>
        <v>1</v>
      </c>
      <c r="Q323" s="38">
        <f>_xll.qlIndexFixing(Currency&amp;IborType&amp;"6M",_xll.qlInterestRateIndexFixingDate(Currency&amp;IborType&amp;"6M",M323),TRUE,AllTriggers)</f>
        <v>2.0234425047497711E-2</v>
      </c>
      <c r="R323" s="38">
        <f>_xll.qlOvernightIndexedSwapFairRate(O323,AllTriggers)</f>
        <v>1.9440322751500726E-2</v>
      </c>
      <c r="S323" s="345">
        <f t="shared" ref="S323:S386" si="9">Q323-R323</f>
        <v>7.9410229599698526E-4</v>
      </c>
    </row>
    <row r="324" spans="5:19" ht="11.25" customHeight="1" x14ac:dyDescent="0.2">
      <c r="E324" s="254"/>
      <c r="F324" s="254"/>
      <c r="G324" s="39"/>
      <c r="J324" s="39"/>
      <c r="K324" s="39"/>
      <c r="M324" s="346">
        <f>_xll.qlCalendarAdvance(Calendar,M323,"1M","f",,Trigger)</f>
        <v>51984</v>
      </c>
      <c r="N324" s="344">
        <f>_xll.qlCalendarAdvance(Calendar,M324,"3M","f",,Trigger)</f>
        <v>52075</v>
      </c>
      <c r="O324" s="40" t="str">
        <f>_xll.qlMakeDatedOIS(,M324,N324,OvernightIndex,0,,,,EvaluationDate)</f>
        <v>obj_00735#0000</v>
      </c>
      <c r="P324" s="40" t="b">
        <f>_xll.qlInstrumentSetPricingEngine(O324,OisEngine)</f>
        <v>1</v>
      </c>
      <c r="Q324" s="38">
        <f>_xll.qlIndexFixing(Currency&amp;IborType&amp;"6M",_xll.qlInterestRateIndexFixingDate(Currency&amp;IborType&amp;"6M",M324),TRUE,AllTriggers)</f>
        <v>2.0224855426637083E-2</v>
      </c>
      <c r="R324" s="38">
        <f>_xll.qlOvernightIndexedSwapFairRate(O324,AllTriggers)</f>
        <v>1.9437365819165556E-2</v>
      </c>
      <c r="S324" s="345">
        <f t="shared" si="9"/>
        <v>7.874896074715268E-4</v>
      </c>
    </row>
    <row r="325" spans="5:19" ht="11.25" customHeight="1" x14ac:dyDescent="0.2">
      <c r="E325" s="254"/>
      <c r="F325" s="254"/>
      <c r="G325" s="39"/>
      <c r="J325" s="39"/>
      <c r="K325" s="39"/>
      <c r="M325" s="346">
        <f>_xll.qlCalendarAdvance(Calendar,M324,"1M","f",,Trigger)</f>
        <v>52014</v>
      </c>
      <c r="N325" s="344">
        <f>_xll.qlCalendarAdvance(Calendar,M325,"3M","f",,Trigger)</f>
        <v>52106</v>
      </c>
      <c r="O325" s="40" t="str">
        <f>_xll.qlMakeDatedOIS(,M325,N325,OvernightIndex,0,,,,EvaluationDate)</f>
        <v>obj_008f1#0000</v>
      </c>
      <c r="P325" s="40" t="b">
        <f>_xll.qlInstrumentSetPricingEngine(O325,OisEngine)</f>
        <v>1</v>
      </c>
      <c r="Q325" s="38">
        <f>_xll.qlIndexFixing(Currency&amp;IborType&amp;"6M",_xll.qlInterestRateIndexFixingDate(Currency&amp;IborType&amp;"6M",M325),TRUE,AllTriggers)</f>
        <v>2.0217609801720576E-2</v>
      </c>
      <c r="R325" s="38">
        <f>_xll.qlOvernightIndexedSwapFairRate(O325,AllTriggers)</f>
        <v>1.9437550786553494E-2</v>
      </c>
      <c r="S325" s="345">
        <f t="shared" si="9"/>
        <v>7.8005901516708248E-4</v>
      </c>
    </row>
    <row r="326" spans="5:19" ht="11.25" customHeight="1" x14ac:dyDescent="0.2">
      <c r="E326" s="254"/>
      <c r="F326" s="254"/>
      <c r="G326" s="39"/>
      <c r="J326" s="39"/>
      <c r="K326" s="39"/>
      <c r="M326" s="346">
        <f>_xll.qlCalendarAdvance(Calendar,M325,"1M","f",,Trigger)</f>
        <v>52047</v>
      </c>
      <c r="N326" s="344">
        <f>_xll.qlCalendarAdvance(Calendar,M326,"3M","f",,Trigger)</f>
        <v>52139</v>
      </c>
      <c r="O326" s="40" t="str">
        <f>_xll.qlMakeDatedOIS(,M326,N326,OvernightIndex,0,,,,EvaluationDate)</f>
        <v>obj_00738#0000</v>
      </c>
      <c r="P326" s="40" t="b">
        <f>_xll.qlInstrumentSetPricingEngine(O326,OisEngine)</f>
        <v>1</v>
      </c>
      <c r="Q326" s="38">
        <f>_xll.qlIndexFixing(Currency&amp;IborType&amp;"6M",_xll.qlInterestRateIndexFixingDate(Currency&amp;IborType&amp;"6M",M326),TRUE,AllTriggers)</f>
        <v>2.0209972271167363E-2</v>
      </c>
      <c r="R326" s="38">
        <f>_xll.qlOvernightIndexedSwapFairRate(O326,AllTriggers)</f>
        <v>1.9438384528917337E-2</v>
      </c>
      <c r="S326" s="345">
        <f t="shared" si="9"/>
        <v>7.7158774225002599E-4</v>
      </c>
    </row>
    <row r="327" spans="5:19" ht="11.25" customHeight="1" x14ac:dyDescent="0.2">
      <c r="E327" s="254"/>
      <c r="F327" s="254"/>
      <c r="G327" s="39"/>
      <c r="J327" s="39"/>
      <c r="K327" s="39"/>
      <c r="M327" s="346">
        <f>_xll.qlCalendarAdvance(Calendar,M326,"1M","f",,Trigger)</f>
        <v>52077</v>
      </c>
      <c r="N327" s="344">
        <f>_xll.qlCalendarAdvance(Calendar,M327,"3M","f",,Trigger)</f>
        <v>52169</v>
      </c>
      <c r="O327" s="40" t="str">
        <f>_xll.qlMakeDatedOIS(,M327,N327,OvernightIndex,0,,,,EvaluationDate)</f>
        <v>obj_00923#0000</v>
      </c>
      <c r="P327" s="40" t="b">
        <f>_xll.qlInstrumentSetPricingEngine(O327,OisEngine)</f>
        <v>1</v>
      </c>
      <c r="Q327" s="38">
        <f>_xll.qlIndexFixing(Currency&amp;IborType&amp;"6M",_xll.qlInterestRateIndexFixingDate(Currency&amp;IborType&amp;"6M",M327),TRUE,AllTriggers)</f>
        <v>2.0203775554054882E-2</v>
      </c>
      <c r="R327" s="38">
        <f>_xll.qlOvernightIndexedSwapFairRate(O327,AllTriggers)</f>
        <v>1.9440233791152853E-2</v>
      </c>
      <c r="S327" s="345">
        <f t="shared" si="9"/>
        <v>7.6354176290202927E-4</v>
      </c>
    </row>
    <row r="328" spans="5:19" ht="11.25" customHeight="1" x14ac:dyDescent="0.2">
      <c r="E328" s="254"/>
      <c r="F328" s="254"/>
      <c r="G328" s="39"/>
      <c r="J328" s="39"/>
      <c r="K328" s="39"/>
      <c r="M328" s="346">
        <f>_xll.qlCalendarAdvance(Calendar,M327,"1M","f",,Trigger)</f>
        <v>52110</v>
      </c>
      <c r="N328" s="344">
        <f>_xll.qlCalendarAdvance(Calendar,M328,"3M","f",,Trigger)</f>
        <v>52201</v>
      </c>
      <c r="O328" s="40" t="str">
        <f>_xll.qlMakeDatedOIS(,M328,N328,OvernightIndex,0,,,,EvaluationDate)</f>
        <v>obj_008d1#0000</v>
      </c>
      <c r="P328" s="40" t="b">
        <f>_xll.qlInstrumentSetPricingEngine(O328,OisEngine)</f>
        <v>1</v>
      </c>
      <c r="Q328" s="38">
        <f>_xll.qlIndexFixing(Currency&amp;IborType&amp;"6M",_xll.qlInterestRateIndexFixingDate(Currency&amp;IborType&amp;"6M",M328),TRUE,AllTriggers)</f>
        <v>2.0196795952011449E-2</v>
      </c>
      <c r="R328" s="38">
        <f>_xll.qlOvernightIndexedSwapFairRate(O328,AllTriggers)</f>
        <v>1.9442877042501718E-2</v>
      </c>
      <c r="S328" s="345">
        <f t="shared" si="9"/>
        <v>7.5391890950973067E-4</v>
      </c>
    </row>
    <row r="329" spans="5:19" ht="11.25" customHeight="1" x14ac:dyDescent="0.2">
      <c r="E329" s="254"/>
      <c r="F329" s="254"/>
      <c r="G329" s="39"/>
      <c r="J329" s="39"/>
      <c r="K329" s="39"/>
      <c r="M329" s="346">
        <f>_xll.qlCalendarAdvance(Calendar,M328,"1M","f",,Trigger)</f>
        <v>52140</v>
      </c>
      <c r="N329" s="344">
        <f>_xll.qlCalendarAdvance(Calendar,M329,"3M","f",,Trigger)</f>
        <v>52233</v>
      </c>
      <c r="O329" s="40" t="str">
        <f>_xll.qlMakeDatedOIS(,M329,N329,OvernightIndex,0,,,,EvaluationDate)</f>
        <v>obj_0087e#0000</v>
      </c>
      <c r="P329" s="40" t="b">
        <f>_xll.qlInstrumentSetPricingEngine(O329,OisEngine)</f>
        <v>1</v>
      </c>
      <c r="Q329" s="38">
        <f>_xll.qlIndexFixing(Currency&amp;IborType&amp;"6M",_xll.qlInterestRateIndexFixingDate(Currency&amp;IborType&amp;"6M",M329),TRUE,AllTriggers)</f>
        <v>2.0192069028581193E-2</v>
      </c>
      <c r="R329" s="38">
        <f>_xll.qlOvernightIndexedSwapFairRate(O329,AllTriggers)</f>
        <v>1.9448109661633295E-2</v>
      </c>
      <c r="S329" s="345">
        <f t="shared" si="9"/>
        <v>7.4395936694789805E-4</v>
      </c>
    </row>
    <row r="330" spans="5:19" ht="11.25" customHeight="1" x14ac:dyDescent="0.2">
      <c r="E330" s="254"/>
      <c r="F330" s="254"/>
      <c r="G330" s="39"/>
      <c r="J330" s="39"/>
      <c r="K330" s="39"/>
      <c r="M330" s="346">
        <f>_xll.qlCalendarAdvance(Calendar,M329,"1M","f",,Trigger)</f>
        <v>52173</v>
      </c>
      <c r="N330" s="344">
        <f>_xll.qlCalendarAdvance(Calendar,M330,"3M","f",,Trigger)</f>
        <v>52265</v>
      </c>
      <c r="O330" s="40" t="str">
        <f>_xll.qlMakeDatedOIS(,M330,N330,OvernightIndex,0,,,,EvaluationDate)</f>
        <v>obj_00a18#0000</v>
      </c>
      <c r="P330" s="40" t="b">
        <f>_xll.qlInstrumentSetPricingEngine(O330,OisEngine)</f>
        <v>1</v>
      </c>
      <c r="Q330" s="38">
        <f>_xll.qlIndexFixing(Currency&amp;IborType&amp;"6M",_xll.qlInterestRateIndexFixingDate(Currency&amp;IborType&amp;"6M",M330),TRUE,AllTriggers)</f>
        <v>2.0187690441439539E-2</v>
      </c>
      <c r="R330" s="38">
        <f>_xll.qlOvernightIndexedSwapFairRate(O330,AllTriggers)</f>
        <v>1.9453135866511376E-2</v>
      </c>
      <c r="S330" s="345">
        <f t="shared" si="9"/>
        <v>7.3455457492816248E-4</v>
      </c>
    </row>
    <row r="331" spans="5:19" ht="11.25" customHeight="1" x14ac:dyDescent="0.2">
      <c r="E331" s="254"/>
      <c r="F331" s="254"/>
      <c r="G331" s="39"/>
      <c r="J331" s="39"/>
      <c r="K331" s="39"/>
      <c r="M331" s="346">
        <f>_xll.qlCalendarAdvance(Calendar,M330,"1M","f",,Trigger)</f>
        <v>52203</v>
      </c>
      <c r="N331" s="344">
        <f>_xll.qlCalendarAdvance(Calendar,M331,"3M","f",,Trigger)</f>
        <v>52293</v>
      </c>
      <c r="O331" s="40" t="str">
        <f>_xll.qlMakeDatedOIS(,M331,N331,OvernightIndex,0,,,,EvaluationDate)</f>
        <v>obj_009c5#0000</v>
      </c>
      <c r="P331" s="40" t="b">
        <f>_xll.qlInstrumentSetPricingEngine(O331,OisEngine)</f>
        <v>1</v>
      </c>
      <c r="Q331" s="38">
        <f>_xll.qlIndexFixing(Currency&amp;IborType&amp;"6M",_xll.qlInterestRateIndexFixingDate(Currency&amp;IborType&amp;"6M",M331),TRUE,AllTriggers)</f>
        <v>2.0184456292730697E-2</v>
      </c>
      <c r="R331" s="38">
        <f>_xll.qlOvernightIndexedSwapFairRate(O331,AllTriggers)</f>
        <v>1.9458058953356169E-2</v>
      </c>
      <c r="S331" s="345">
        <f t="shared" si="9"/>
        <v>7.2639733937452863E-4</v>
      </c>
    </row>
    <row r="332" spans="5:19" ht="11.25" customHeight="1" x14ac:dyDescent="0.2">
      <c r="E332" s="254"/>
      <c r="F332" s="254"/>
      <c r="G332" s="39"/>
      <c r="J332" s="39"/>
      <c r="K332" s="39"/>
      <c r="M332" s="346">
        <f>_xll.qlCalendarAdvance(Calendar,M331,"1M","f",,Trigger)</f>
        <v>52236</v>
      </c>
      <c r="N332" s="344">
        <f>_xll.qlCalendarAdvance(Calendar,M332,"3M","f",,Trigger)</f>
        <v>52327</v>
      </c>
      <c r="O332" s="40" t="str">
        <f>_xll.qlMakeDatedOIS(,M332,N332,OvernightIndex,0,,,,EvaluationDate)</f>
        <v>obj_0098d#0000</v>
      </c>
      <c r="P332" s="40" t="b">
        <f>_xll.qlInstrumentSetPricingEngine(O332,OisEngine)</f>
        <v>1</v>
      </c>
      <c r="Q332" s="38">
        <f>_xll.qlIndexFixing(Currency&amp;IborType&amp;"6M",_xll.qlInterestRateIndexFixingDate(Currency&amp;IborType&amp;"6M",M332),TRUE,AllTriggers)</f>
        <v>2.0181719748459948E-2</v>
      </c>
      <c r="R332" s="38">
        <f>_xll.qlOvernightIndexedSwapFairRate(O332,AllTriggers)</f>
        <v>1.9466721454013357E-2</v>
      </c>
      <c r="S332" s="345">
        <f t="shared" si="9"/>
        <v>7.1499829444659005E-4</v>
      </c>
    </row>
    <row r="333" spans="5:19" ht="11.25" customHeight="1" x14ac:dyDescent="0.2">
      <c r="E333" s="254"/>
      <c r="F333" s="254"/>
      <c r="G333" s="39"/>
      <c r="J333" s="39"/>
      <c r="K333" s="39"/>
      <c r="M333" s="346">
        <f>_xll.qlCalendarAdvance(Calendar,M332,"1M","f",,Trigger)</f>
        <v>52267</v>
      </c>
      <c r="N333" s="344">
        <f>_xll.qlCalendarAdvance(Calendar,M333,"3M","f",,Trigger)</f>
        <v>52356</v>
      </c>
      <c r="O333" s="40" t="str">
        <f>_xll.qlMakeDatedOIS(,M333,N333,OvernightIndex,0,,,,EvaluationDate)</f>
        <v>obj_0096b#0000</v>
      </c>
      <c r="P333" s="40" t="b">
        <f>_xll.qlInstrumentSetPricingEngine(O333,OisEngine)</f>
        <v>1</v>
      </c>
      <c r="Q333" s="38">
        <f>_xll.qlIndexFixing(Currency&amp;IborType&amp;"6M",_xll.qlInterestRateIndexFixingDate(Currency&amp;IborType&amp;"6M",M333),TRUE,AllTriggers)</f>
        <v>2.0179379739273969E-2</v>
      </c>
      <c r="R333" s="38">
        <f>_xll.qlOvernightIndexedSwapFairRate(O333,AllTriggers)</f>
        <v>1.9474031784728157E-2</v>
      </c>
      <c r="S333" s="345">
        <f t="shared" si="9"/>
        <v>7.0534795454581245E-4</v>
      </c>
    </row>
    <row r="334" spans="5:19" ht="11.25" customHeight="1" x14ac:dyDescent="0.2">
      <c r="E334" s="254"/>
      <c r="F334" s="254"/>
      <c r="G334" s="39"/>
      <c r="J334" s="39"/>
      <c r="K334" s="39"/>
      <c r="M334" s="346">
        <f>_xll.qlCalendarAdvance(Calendar,M333,"1M","f",,Trigger)</f>
        <v>52295</v>
      </c>
      <c r="N334" s="344">
        <f>_xll.qlCalendarAdvance(Calendar,M334,"3M","f",,Trigger)</f>
        <v>52387</v>
      </c>
      <c r="O334" s="40" t="str">
        <f>_xll.qlMakeDatedOIS(,M334,N334,OvernightIndex,0,,,,EvaluationDate)</f>
        <v>obj_00922#0000</v>
      </c>
      <c r="P334" s="40" t="b">
        <f>_xll.qlInstrumentSetPricingEngine(O334,OisEngine)</f>
        <v>1</v>
      </c>
      <c r="Q334" s="38">
        <f>_xll.qlIndexFixing(Currency&amp;IborType&amp;"6M",_xll.qlInterestRateIndexFixingDate(Currency&amp;IborType&amp;"6M",M334),TRUE,AllTriggers)</f>
        <v>2.0181228823276859E-2</v>
      </c>
      <c r="R334" s="38">
        <f>_xll.qlOvernightIndexedSwapFairRate(O334,AllTriggers)</f>
        <v>1.9484889392731103E-2</v>
      </c>
      <c r="S334" s="345">
        <f t="shared" si="9"/>
        <v>6.9633943054575598E-4</v>
      </c>
    </row>
    <row r="335" spans="5:19" ht="11.25" customHeight="1" x14ac:dyDescent="0.2">
      <c r="E335" s="254"/>
      <c r="F335" s="254"/>
      <c r="G335" s="39"/>
      <c r="J335" s="39"/>
      <c r="K335" s="39"/>
      <c r="M335" s="346">
        <f>_xll.qlCalendarAdvance(Calendar,M334,"1M","f",,Trigger)</f>
        <v>52327</v>
      </c>
      <c r="N335" s="344">
        <f>_xll.qlCalendarAdvance(Calendar,M335,"3M","f",,Trigger)</f>
        <v>52418</v>
      </c>
      <c r="O335" s="40" t="str">
        <f>_xll.qlMakeDatedOIS(,M335,N335,OvernightIndex,0,,,,EvaluationDate)</f>
        <v>obj_008d0#0000</v>
      </c>
      <c r="P335" s="40" t="b">
        <f>_xll.qlInstrumentSetPricingEngine(O335,OisEngine)</f>
        <v>1</v>
      </c>
      <c r="Q335" s="38">
        <f>_xll.qlIndexFixing(Currency&amp;IborType&amp;"6M",_xll.qlInterestRateIndexFixingDate(Currency&amp;IborType&amp;"6M",M335),TRUE,AllTriggers)</f>
        <v>2.0179206390099826E-2</v>
      </c>
      <c r="R335" s="38">
        <f>_xll.qlOvernightIndexedSwapFairRate(O335,AllTriggers)</f>
        <v>1.9495344252798547E-2</v>
      </c>
      <c r="S335" s="345">
        <f t="shared" si="9"/>
        <v>6.8386213730127834E-4</v>
      </c>
    </row>
    <row r="336" spans="5:19" ht="11.25" customHeight="1" x14ac:dyDescent="0.2">
      <c r="E336" s="254"/>
      <c r="F336" s="254"/>
      <c r="G336" s="39"/>
      <c r="J336" s="39"/>
      <c r="K336" s="39"/>
      <c r="M336" s="346">
        <f>_xll.qlCalendarAdvance(Calendar,M335,"1M","f",,Trigger)</f>
        <v>52357</v>
      </c>
      <c r="N336" s="344">
        <f>_xll.qlCalendarAdvance(Calendar,M336,"3M","f",,Trigger)</f>
        <v>52449</v>
      </c>
      <c r="O336" s="40" t="str">
        <f>_xll.qlMakeDatedOIS(,M336,N336,OvernightIndex,0,,,,EvaluationDate)</f>
        <v>obj_00a17#0000</v>
      </c>
      <c r="P336" s="40" t="b">
        <f>_xll.qlInstrumentSetPricingEngine(O336,OisEngine)</f>
        <v>1</v>
      </c>
      <c r="Q336" s="38">
        <f>_xll.qlIndexFixing(Currency&amp;IborType&amp;"6M",_xll.qlInterestRateIndexFixingDate(Currency&amp;IborType&amp;"6M",M336),TRUE,AllTriggers)</f>
        <v>2.0180221947497995E-2</v>
      </c>
      <c r="R336" s="38">
        <f>_xll.qlOvernightIndexedSwapFairRate(O336,AllTriggers)</f>
        <v>1.950761378827727E-2</v>
      </c>
      <c r="S336" s="345">
        <f t="shared" si="9"/>
        <v>6.7260815922072503E-4</v>
      </c>
    </row>
    <row r="337" spans="5:19" ht="11.25" customHeight="1" x14ac:dyDescent="0.2">
      <c r="E337" s="254"/>
      <c r="F337" s="254"/>
      <c r="G337" s="39"/>
      <c r="J337" s="39"/>
      <c r="K337" s="39"/>
      <c r="M337" s="346">
        <f>_xll.qlCalendarAdvance(Calendar,M336,"1M","f",,Trigger)</f>
        <v>52390</v>
      </c>
      <c r="N337" s="344">
        <f>_xll.qlCalendarAdvance(Calendar,M337,"3M","f",,Trigger)</f>
        <v>52482</v>
      </c>
      <c r="O337" s="40" t="str">
        <f>_xll.qlMakeDatedOIS(,M337,N337,OvernightIndex,0,,,,EvaluationDate)</f>
        <v>obj_0094a#0000</v>
      </c>
      <c r="P337" s="40" t="b">
        <f>_xll.qlInstrumentSetPricingEngine(O337,OisEngine)</f>
        <v>1</v>
      </c>
      <c r="Q337" s="38">
        <f>_xll.qlIndexFixing(Currency&amp;IborType&amp;"6M",_xll.qlInterestRateIndexFixingDate(Currency&amp;IborType&amp;"6M",M337),TRUE,AllTriggers)</f>
        <v>2.0180923471120583E-2</v>
      </c>
      <c r="R337" s="38">
        <f>_xll.qlOvernightIndexedSwapFairRate(O337,AllTriggers)</f>
        <v>1.9521519318107482E-2</v>
      </c>
      <c r="S337" s="345">
        <f t="shared" si="9"/>
        <v>6.5940415301310104E-4</v>
      </c>
    </row>
    <row r="338" spans="5:19" ht="11.25" customHeight="1" x14ac:dyDescent="0.2">
      <c r="E338" s="254"/>
      <c r="F338" s="254"/>
      <c r="G338" s="39"/>
      <c r="J338" s="39"/>
      <c r="K338" s="39"/>
      <c r="M338" s="346">
        <f>_xll.qlCalendarAdvance(Calendar,M337,"1M","f",,Trigger)</f>
        <v>52420</v>
      </c>
      <c r="N338" s="344">
        <f>_xll.qlCalendarAdvance(Calendar,M338,"3M","f",,Trigger)</f>
        <v>52512</v>
      </c>
      <c r="O338" s="40" t="str">
        <f>_xll.qlMakeDatedOIS(,M338,N338,OvernightIndex,0,,,,EvaluationDate)</f>
        <v>obj_009c4#0000</v>
      </c>
      <c r="P338" s="40" t="b">
        <f>_xll.qlInstrumentSetPricingEngine(O338,OisEngine)</f>
        <v>1</v>
      </c>
      <c r="Q338" s="38">
        <f>_xll.qlIndexFixing(Currency&amp;IborType&amp;"6M",_xll.qlInterestRateIndexFixingDate(Currency&amp;IborType&amp;"6M",M338),TRUE,AllTriggers)</f>
        <v>2.0183456924755372E-2</v>
      </c>
      <c r="R338" s="38">
        <f>_xll.qlOvernightIndexedSwapFairRate(O338,AllTriggers)</f>
        <v>1.9535252092380009E-2</v>
      </c>
      <c r="S338" s="345">
        <f t="shared" si="9"/>
        <v>6.4820483237536253E-4</v>
      </c>
    </row>
    <row r="339" spans="5:19" ht="11.25" customHeight="1" x14ac:dyDescent="0.2">
      <c r="E339" s="254"/>
      <c r="F339" s="254"/>
      <c r="G339" s="39"/>
      <c r="J339" s="39"/>
      <c r="K339" s="39"/>
      <c r="M339" s="346">
        <f>_xll.qlCalendarAdvance(Calendar,M338,"1M","f",,Trigger)</f>
        <v>52453</v>
      </c>
      <c r="N339" s="344">
        <f>_xll.qlCalendarAdvance(Calendar,M339,"3M","f",,Trigger)</f>
        <v>52545</v>
      </c>
      <c r="O339" s="40" t="str">
        <f>_xll.qlMakeDatedOIS(,M339,N339,OvernightIndex,0,,,,EvaluationDate)</f>
        <v>obj_0098c#0000</v>
      </c>
      <c r="P339" s="40" t="b">
        <f>_xll.qlInstrumentSetPricingEngine(O339,OisEngine)</f>
        <v>1</v>
      </c>
      <c r="Q339" s="38">
        <f>_xll.qlIndexFixing(Currency&amp;IborType&amp;"6M",_xll.qlInterestRateIndexFixingDate(Currency&amp;IborType&amp;"6M",M339),TRUE,AllTriggers)</f>
        <v>2.0186402648273958E-2</v>
      </c>
      <c r="R339" s="38">
        <f>_xll.qlOvernightIndexedSwapFairRate(O339,AllTriggers)</f>
        <v>1.9551558679365928E-2</v>
      </c>
      <c r="S339" s="345">
        <f t="shared" si="9"/>
        <v>6.3484396890802972E-4</v>
      </c>
    </row>
    <row r="340" spans="5:19" ht="11.25" customHeight="1" x14ac:dyDescent="0.2">
      <c r="E340" s="254"/>
      <c r="F340" s="254"/>
      <c r="G340" s="39"/>
      <c r="J340" s="39"/>
      <c r="K340" s="39"/>
      <c r="M340" s="346">
        <f>_xll.qlCalendarAdvance(Calendar,M339,"1M","f",,Trigger)</f>
        <v>52484</v>
      </c>
      <c r="N340" s="344">
        <f>_xll.qlCalendarAdvance(Calendar,M340,"3M","f",,Trigger)</f>
        <v>52575</v>
      </c>
      <c r="O340" s="40" t="str">
        <f>_xll.qlMakeDatedOIS(,M340,N340,OvernightIndex,0,,,,EvaluationDate)</f>
        <v>obj_0096a#0000</v>
      </c>
      <c r="P340" s="40" t="b">
        <f>_xll.qlInstrumentSetPricingEngine(O340,OisEngine)</f>
        <v>1</v>
      </c>
      <c r="Q340" s="38">
        <f>_xll.qlIndexFixing(Currency&amp;IborType&amp;"6M",_xll.qlInterestRateIndexFixingDate(Currency&amp;IborType&amp;"6M",M340),TRUE,AllTriggers)</f>
        <v>2.0188674568473029E-2</v>
      </c>
      <c r="R340" s="38">
        <f>_xll.qlOvernightIndexedSwapFairRate(O340,AllTriggers)</f>
        <v>1.956720861124505E-2</v>
      </c>
      <c r="S340" s="345">
        <f t="shared" si="9"/>
        <v>6.2146595722797904E-4</v>
      </c>
    </row>
    <row r="341" spans="5:19" ht="11.25" customHeight="1" x14ac:dyDescent="0.2">
      <c r="E341" s="254"/>
      <c r="F341" s="254"/>
      <c r="G341" s="39"/>
      <c r="J341" s="39"/>
      <c r="K341" s="39"/>
      <c r="M341" s="346">
        <f>_xll.qlCalendarAdvance(Calendar,M340,"1M","f",,Trigger)</f>
        <v>52516</v>
      </c>
      <c r="N341" s="344">
        <f>_xll.qlCalendarAdvance(Calendar,M341,"3M","f",,Trigger)</f>
        <v>52608</v>
      </c>
      <c r="O341" s="40" t="str">
        <f>_xll.qlMakeDatedOIS(,M341,N341,OvernightIndex,0,,,,EvaluationDate)</f>
        <v>obj_00746#0000</v>
      </c>
      <c r="P341" s="40" t="b">
        <f>_xll.qlInstrumentSetPricingEngine(O341,OisEngine)</f>
        <v>1</v>
      </c>
      <c r="Q341" s="38">
        <f>_xll.qlIndexFixing(Currency&amp;IborType&amp;"6M",_xll.qlInterestRateIndexFixingDate(Currency&amp;IborType&amp;"6M",M341),TRUE,AllTriggers)</f>
        <v>2.0193762529911136E-2</v>
      </c>
      <c r="R341" s="38">
        <f>_xll.qlOvernightIndexedSwapFairRate(O341,AllTriggers)</f>
        <v>1.9586181958974495E-2</v>
      </c>
      <c r="S341" s="345">
        <f t="shared" si="9"/>
        <v>6.0758057093664164E-4</v>
      </c>
    </row>
    <row r="342" spans="5:19" ht="11.25" customHeight="1" x14ac:dyDescent="0.2">
      <c r="E342" s="254"/>
      <c r="F342" s="254"/>
      <c r="G342" s="39"/>
      <c r="J342" s="39"/>
      <c r="K342" s="39"/>
      <c r="M342" s="346">
        <f>_xll.qlCalendarAdvance(Calendar,M341,"1M","f",,Trigger)</f>
        <v>52547</v>
      </c>
      <c r="N342" s="344">
        <f>_xll.qlCalendarAdvance(Calendar,M342,"3M","f",,Trigger)</f>
        <v>52639</v>
      </c>
      <c r="O342" s="40" t="str">
        <f>_xll.qlMakeDatedOIS(,M342,N342,OvernightIndex,0,,,,EvaluationDate)</f>
        <v>obj_00921#0000</v>
      </c>
      <c r="P342" s="40" t="b">
        <f>_xll.qlInstrumentSetPricingEngine(O342,OisEngine)</f>
        <v>1</v>
      </c>
      <c r="Q342" s="38">
        <f>_xll.qlIndexFixing(Currency&amp;IborType&amp;"6M",_xll.qlInterestRateIndexFixingDate(Currency&amp;IborType&amp;"6M",M342),TRUE,AllTriggers)</f>
        <v>2.0198178799330301E-2</v>
      </c>
      <c r="R342" s="38">
        <f>_xll.qlOvernightIndexedSwapFairRate(O342,AllTriggers)</f>
        <v>1.9604901580588179E-2</v>
      </c>
      <c r="S342" s="345">
        <f t="shared" si="9"/>
        <v>5.9327721874212133E-4</v>
      </c>
    </row>
    <row r="343" spans="5:19" ht="11.25" customHeight="1" x14ac:dyDescent="0.2">
      <c r="E343" s="254"/>
      <c r="F343" s="254"/>
      <c r="G343" s="39"/>
      <c r="J343" s="39"/>
      <c r="K343" s="39"/>
      <c r="M343" s="346">
        <f>_xll.qlCalendarAdvance(Calendar,M342,"1M","f",,Trigger)</f>
        <v>52579</v>
      </c>
      <c r="N343" s="344">
        <f>_xll.qlCalendarAdvance(Calendar,M343,"3M","f",,Trigger)</f>
        <v>52670</v>
      </c>
      <c r="O343" s="40" t="str">
        <f>_xll.qlMakeDatedOIS(,M343,N343,OvernightIndex,0,,,,EvaluationDate)</f>
        <v>obj_008cf#0000</v>
      </c>
      <c r="P343" s="40" t="b">
        <f>_xll.qlInstrumentSetPricingEngine(O343,OisEngine)</f>
        <v>1</v>
      </c>
      <c r="Q343" s="38">
        <f>_xll.qlIndexFixing(Currency&amp;IborType&amp;"6M",_xll.qlInterestRateIndexFixingDate(Currency&amp;IborType&amp;"6M",M343),TRUE,AllTriggers)</f>
        <v>2.0204884568438448E-2</v>
      </c>
      <c r="R343" s="38">
        <f>_xll.qlOvernightIndexedSwapFairRate(O343,AllTriggers)</f>
        <v>1.9624517237582694E-2</v>
      </c>
      <c r="S343" s="345">
        <f t="shared" si="9"/>
        <v>5.8036733085575429E-4</v>
      </c>
    </row>
    <row r="344" spans="5:19" ht="11.25" customHeight="1" x14ac:dyDescent="0.2">
      <c r="E344" s="254"/>
      <c r="F344" s="254"/>
      <c r="G344" s="39"/>
      <c r="J344" s="39"/>
      <c r="K344" s="39"/>
      <c r="M344" s="346">
        <f>_xll.qlCalendarAdvance(Calendar,M343,"1M","f",,Trigger)</f>
        <v>52610</v>
      </c>
      <c r="N344" s="344">
        <f>_xll.qlCalendarAdvance(Calendar,M344,"3M","f",,Trigger)</f>
        <v>52701</v>
      </c>
      <c r="O344" s="40" t="str">
        <f>_xll.qlMakeDatedOIS(,M344,N344,OvernightIndex,0,,,,EvaluationDate)</f>
        <v>obj_0087c#0000</v>
      </c>
      <c r="P344" s="40" t="b">
        <f>_xll.qlInstrumentSetPricingEngine(O344,OisEngine)</f>
        <v>1</v>
      </c>
      <c r="Q344" s="38">
        <f>_xll.qlIndexFixing(Currency&amp;IborType&amp;"6M",_xll.qlInterestRateIndexFixingDate(Currency&amp;IborType&amp;"6M",M344),TRUE,AllTriggers)</f>
        <v>2.0210817897142169E-2</v>
      </c>
      <c r="R344" s="38">
        <f>_xll.qlOvernightIndexedSwapFairRate(O344,AllTriggers)</f>
        <v>1.9645473504170237E-2</v>
      </c>
      <c r="S344" s="345">
        <f t="shared" si="9"/>
        <v>5.6534439297193165E-4</v>
      </c>
    </row>
    <row r="345" spans="5:19" ht="11.25" customHeight="1" x14ac:dyDescent="0.2">
      <c r="E345" s="254"/>
      <c r="F345" s="254"/>
      <c r="G345" s="39"/>
      <c r="J345" s="39"/>
      <c r="K345" s="39"/>
      <c r="M345" s="346">
        <f>_xll.qlCalendarAdvance(Calendar,M344,"1M","f",,Trigger)</f>
        <v>52642</v>
      </c>
      <c r="N345" s="344">
        <f>_xll.qlCalendarAdvance(Calendar,M345,"3M","f",,Trigger)</f>
        <v>52733</v>
      </c>
      <c r="O345" s="40" t="str">
        <f>_xll.qlMakeDatedOIS(,M345,N345,OvernightIndex,0,,,,EvaluationDate)</f>
        <v>obj_00a16#0000</v>
      </c>
      <c r="P345" s="40" t="b">
        <f>_xll.qlInstrumentSetPricingEngine(O345,OisEngine)</f>
        <v>1</v>
      </c>
      <c r="Q345" s="38">
        <f>_xll.qlIndexFixing(Currency&amp;IborType&amp;"6M",_xll.qlInterestRateIndexFixingDate(Currency&amp;IborType&amp;"6M",M345),TRUE,AllTriggers)</f>
        <v>2.0218438328545869E-2</v>
      </c>
      <c r="R345" s="38">
        <f>_xll.qlOvernightIndexedSwapFairRate(O345,AllTriggers)</f>
        <v>1.9668269968212415E-2</v>
      </c>
      <c r="S345" s="345">
        <f t="shared" si="9"/>
        <v>5.5016836033345423E-4</v>
      </c>
    </row>
    <row r="346" spans="5:19" ht="11.25" customHeight="1" x14ac:dyDescent="0.2">
      <c r="E346" s="254"/>
      <c r="F346" s="254"/>
      <c r="G346" s="39"/>
      <c r="J346" s="39"/>
      <c r="K346" s="39"/>
      <c r="M346" s="346">
        <f>_xll.qlCalendarAdvance(Calendar,M345,"1M","f",,Trigger)</f>
        <v>52671</v>
      </c>
      <c r="N346" s="344">
        <f>_xll.qlCalendarAdvance(Calendar,M346,"3M","f",,Trigger)</f>
        <v>52763</v>
      </c>
      <c r="O346" s="40" t="str">
        <f>_xll.qlMakeDatedOIS(,M346,N346,OvernightIndex,0,,,,EvaluationDate)</f>
        <v>obj_009c3#0000</v>
      </c>
      <c r="P346" s="40" t="b">
        <f>_xll.qlInstrumentSetPricingEngine(O346,OisEngine)</f>
        <v>1</v>
      </c>
      <c r="Q346" s="38">
        <f>_xll.qlIndexFixing(Currency&amp;IborType&amp;"6M",_xll.qlInterestRateIndexFixingDate(Currency&amp;IborType&amp;"6M",M346),TRUE,AllTriggers)</f>
        <v>2.0227473735084163E-2</v>
      </c>
      <c r="R346" s="38">
        <f>_xll.qlOvernightIndexedSwapFairRate(O346,AllTriggers)</f>
        <v>1.9690879568972666E-2</v>
      </c>
      <c r="S346" s="345">
        <f t="shared" si="9"/>
        <v>5.3659416611149743E-4</v>
      </c>
    </row>
    <row r="347" spans="5:19" ht="11.25" customHeight="1" x14ac:dyDescent="0.2">
      <c r="E347" s="254"/>
      <c r="F347" s="254"/>
      <c r="G347" s="39"/>
      <c r="J347" s="39"/>
      <c r="K347" s="39"/>
      <c r="M347" s="346">
        <f>_xll.qlCalendarAdvance(Calendar,M346,"1M","f",,Trigger)</f>
        <v>52706</v>
      </c>
      <c r="N347" s="344">
        <f>_xll.qlCalendarAdvance(Calendar,M347,"3M","f",,Trigger)</f>
        <v>52797</v>
      </c>
      <c r="O347" s="40" t="str">
        <f>_xll.qlMakeDatedOIS(,M347,N347,OvernightIndex,0,,,,EvaluationDate)</f>
        <v>obj_0098b#0000</v>
      </c>
      <c r="P347" s="40" t="b">
        <f>_xll.qlInstrumentSetPricingEngine(O347,OisEngine)</f>
        <v>1</v>
      </c>
      <c r="Q347" s="38">
        <f>_xll.qlIndexFixing(Currency&amp;IborType&amp;"6M",_xll.qlInterestRateIndexFixingDate(Currency&amp;IborType&amp;"6M",M347),TRUE,AllTriggers)</f>
        <v>2.023683527179275E-2</v>
      </c>
      <c r="R347" s="38">
        <f>_xll.qlOvernightIndexedSwapFairRate(O347,AllTriggers)</f>
        <v>1.9717410982239624E-2</v>
      </c>
      <c r="S347" s="345">
        <f t="shared" si="9"/>
        <v>5.194242895531255E-4</v>
      </c>
    </row>
    <row r="348" spans="5:19" ht="11.25" customHeight="1" x14ac:dyDescent="0.2">
      <c r="E348" s="254"/>
      <c r="F348" s="254"/>
      <c r="G348" s="39"/>
      <c r="J348" s="39"/>
      <c r="K348" s="39"/>
      <c r="M348" s="346">
        <f>_xll.qlCalendarAdvance(Calendar,M347,"1M","f",,Trigger)</f>
        <v>52736</v>
      </c>
      <c r="N348" s="344">
        <f>_xll.qlCalendarAdvance(Calendar,M348,"3M","f",,Trigger)</f>
        <v>52828</v>
      </c>
      <c r="O348" s="40" t="str">
        <f>_xll.qlMakeDatedOIS(,M348,N348,OvernightIndex,0,,,,EvaluationDate)</f>
        <v>obj_0074d#0000</v>
      </c>
      <c r="P348" s="40" t="b">
        <f>_xll.qlInstrumentSetPricingEngine(O348,OisEngine)</f>
        <v>1</v>
      </c>
      <c r="Q348" s="38">
        <f>_xll.qlIndexFixing(Currency&amp;IborType&amp;"6M",_xll.qlInterestRateIndexFixingDate(Currency&amp;IborType&amp;"6M",M348),TRUE,AllTriggers)</f>
        <v>2.0248465362839502E-2</v>
      </c>
      <c r="R348" s="38">
        <f>_xll.qlOvernightIndexedSwapFairRate(O348,AllTriggers)</f>
        <v>1.9743043511629362E-2</v>
      </c>
      <c r="S348" s="345">
        <f t="shared" si="9"/>
        <v>5.0542185121013952E-4</v>
      </c>
    </row>
    <row r="349" spans="5:19" ht="11.25" customHeight="1" x14ac:dyDescent="0.2">
      <c r="E349" s="254"/>
      <c r="F349" s="254"/>
      <c r="G349" s="39"/>
      <c r="J349" s="39"/>
      <c r="K349" s="39"/>
      <c r="M349" s="346">
        <f>_xll.qlCalendarAdvance(Calendar,M348,"1M","f",,Trigger)</f>
        <v>52768</v>
      </c>
      <c r="N349" s="344">
        <f>_xll.qlCalendarAdvance(Calendar,M349,"3M","f",,Trigger)</f>
        <v>52860</v>
      </c>
      <c r="O349" s="40" t="str">
        <f>_xll.qlMakeDatedOIS(,M349,N349,OvernightIndex,0,,,,EvaluationDate)</f>
        <v>obj_0074f#0000</v>
      </c>
      <c r="P349" s="40" t="b">
        <f>_xll.qlInstrumentSetPricingEngine(O349,OisEngine)</f>
        <v>1</v>
      </c>
      <c r="Q349" s="38">
        <f>_xll.qlIndexFixing(Currency&amp;IborType&amp;"6M",_xll.qlInterestRateIndexFixingDate(Currency&amp;IborType&amp;"6M",M349),TRUE,AllTriggers)</f>
        <v>2.0256987797128673E-2</v>
      </c>
      <c r="R349" s="38">
        <f>_xll.qlOvernightIndexedSwapFairRate(O349,AllTriggers)</f>
        <v>1.9770516922768471E-2</v>
      </c>
      <c r="S349" s="345">
        <f t="shared" si="9"/>
        <v>4.8647087436020156E-4</v>
      </c>
    </row>
    <row r="350" spans="5:19" ht="11.25" customHeight="1" x14ac:dyDescent="0.2">
      <c r="E350" s="254"/>
      <c r="F350" s="254"/>
      <c r="G350" s="39"/>
      <c r="J350" s="39"/>
      <c r="K350" s="39"/>
      <c r="M350" s="346">
        <f>_xll.qlCalendarAdvance(Calendar,M349,"1M","f",,Trigger)</f>
        <v>52798</v>
      </c>
      <c r="N350" s="344">
        <f>_xll.qlCalendarAdvance(Calendar,M350,"3M","f",,Trigger)</f>
        <v>52890</v>
      </c>
      <c r="O350" s="40" t="str">
        <f>_xll.qlMakeDatedOIS(,M350,N350,OvernightIndex,0,,,,EvaluationDate)</f>
        <v>obj_00920#0000</v>
      </c>
      <c r="P350" s="40" t="b">
        <f>_xll.qlInstrumentSetPricingEngine(O350,OisEngine)</f>
        <v>1</v>
      </c>
      <c r="Q350" s="38">
        <f>_xll.qlIndexFixing(Currency&amp;IborType&amp;"6M",_xll.qlInterestRateIndexFixingDate(Currency&amp;IborType&amp;"6M",M350),TRUE,AllTriggers)</f>
        <v>2.0268395127420156E-2</v>
      </c>
      <c r="R350" s="38">
        <f>_xll.qlOvernightIndexedSwapFairRate(O350,AllTriggers)</f>
        <v>1.9797347509575559E-2</v>
      </c>
      <c r="S350" s="345">
        <f t="shared" si="9"/>
        <v>4.7104761784459714E-4</v>
      </c>
    </row>
    <row r="351" spans="5:19" ht="11.25" customHeight="1" x14ac:dyDescent="0.2">
      <c r="E351" s="254"/>
      <c r="F351" s="254"/>
      <c r="G351" s="39"/>
      <c r="J351" s="39"/>
      <c r="K351" s="39"/>
      <c r="M351" s="346">
        <f>_xll.qlCalendarAdvance(Calendar,M350,"1M","f",,Trigger)</f>
        <v>52831</v>
      </c>
      <c r="N351" s="344">
        <f>_xll.qlCalendarAdvance(Calendar,M351,"3M","f",,Trigger)</f>
        <v>52923</v>
      </c>
      <c r="O351" s="40" t="str">
        <f>_xll.qlMakeDatedOIS(,M351,N351,OvernightIndex,0,,,,EvaluationDate)</f>
        <v>obj_0087b#0000</v>
      </c>
      <c r="P351" s="40" t="b">
        <f>_xll.qlInstrumentSetPricingEngine(O351,OisEngine)</f>
        <v>1</v>
      </c>
      <c r="Q351" s="38">
        <f>_xll.qlIndexFixing(Currency&amp;IborType&amp;"6M",_xll.qlInterestRateIndexFixingDate(Currency&amp;IborType&amp;"6M",M351),TRUE,AllTriggers)</f>
        <v>2.0280638289046846E-2</v>
      </c>
      <c r="R351" s="38">
        <f>_xll.qlOvernightIndexedSwapFairRate(O351,AllTriggers)</f>
        <v>1.9828029173041078E-2</v>
      </c>
      <c r="S351" s="345">
        <f t="shared" si="9"/>
        <v>4.5260911600576714E-4</v>
      </c>
    </row>
    <row r="352" spans="5:19" ht="11.25" customHeight="1" x14ac:dyDescent="0.2">
      <c r="E352" s="254"/>
      <c r="F352" s="254"/>
      <c r="G352" s="39"/>
      <c r="J352" s="39"/>
      <c r="K352" s="39"/>
      <c r="M352" s="346">
        <f>_xll.qlCalendarAdvance(Calendar,M351,"1M","f",,Trigger)</f>
        <v>52862</v>
      </c>
      <c r="N352" s="344">
        <f>_xll.qlCalendarAdvance(Calendar,M352,"3M","f",,Trigger)</f>
        <v>52953</v>
      </c>
      <c r="O352" s="40" t="str">
        <f>_xll.qlMakeDatedOIS(,M352,N352,OvernightIndex,0,,,,EvaluationDate)</f>
        <v>obj_00751#0000</v>
      </c>
      <c r="P352" s="40" t="b">
        <f>_xll.qlInstrumentSetPricingEngine(O352,OisEngine)</f>
        <v>1</v>
      </c>
      <c r="Q352" s="38">
        <f>_xll.qlIndexFixing(Currency&amp;IborType&amp;"6M",_xll.qlInterestRateIndexFixingDate(Currency&amp;IborType&amp;"6M",M352),TRUE,AllTriggers)</f>
        <v>2.0290225915131965E-2</v>
      </c>
      <c r="R352" s="38">
        <f>_xll.qlOvernightIndexedSwapFairRate(O352,AllTriggers)</f>
        <v>1.9856575297468954E-2</v>
      </c>
      <c r="S352" s="345">
        <f t="shared" si="9"/>
        <v>4.3365061766301172E-4</v>
      </c>
    </row>
    <row r="353" spans="5:19" ht="11.25" customHeight="1" x14ac:dyDescent="0.2">
      <c r="E353" s="254"/>
      <c r="F353" s="254"/>
      <c r="G353" s="39"/>
      <c r="J353" s="39"/>
      <c r="K353" s="39"/>
      <c r="M353" s="346">
        <f>_xll.qlCalendarAdvance(Calendar,M352,"1M","f",,Trigger)</f>
        <v>52894</v>
      </c>
      <c r="N353" s="344">
        <f>_xll.qlCalendarAdvance(Calendar,M353,"3M","f",,Trigger)</f>
        <v>52986</v>
      </c>
      <c r="O353" s="40" t="str">
        <f>_xll.qlMakeDatedOIS(,M353,N353,OvernightIndex,0,,,,EvaluationDate)</f>
        <v>obj_00a15#0000</v>
      </c>
      <c r="P353" s="40" t="b">
        <f>_xll.qlInstrumentSetPricingEngine(O353,OisEngine)</f>
        <v>1</v>
      </c>
      <c r="Q353" s="38">
        <f>_xll.qlIndexFixing(Currency&amp;IborType&amp;"6M",_xll.qlInterestRateIndexFixingDate(Currency&amp;IborType&amp;"6M",M353),TRUE,AllTriggers)</f>
        <v>2.0303541757341382E-2</v>
      </c>
      <c r="R353" s="38">
        <f>_xll.qlOvernightIndexedSwapFairRate(O353,AllTriggers)</f>
        <v>1.9888302486879301E-2</v>
      </c>
      <c r="S353" s="345">
        <f t="shared" si="9"/>
        <v>4.1523927046208109E-4</v>
      </c>
    </row>
    <row r="354" spans="5:19" ht="11.25" customHeight="1" x14ac:dyDescent="0.2">
      <c r="E354" s="254"/>
      <c r="F354" s="254"/>
      <c r="G354" s="39"/>
      <c r="J354" s="39"/>
      <c r="K354" s="39"/>
      <c r="M354" s="346">
        <f>_xll.qlCalendarAdvance(Calendar,M353,"1M","f",,Trigger)</f>
        <v>52925</v>
      </c>
      <c r="N354" s="344">
        <f>_xll.qlCalendarAdvance(Calendar,M354,"3M","f",,Trigger)</f>
        <v>53017</v>
      </c>
      <c r="O354" s="40" t="str">
        <f>_xll.qlMakeDatedOIS(,M354,N354,OvernightIndex,0,,,,EvaluationDate)</f>
        <v>obj_009f7#0000</v>
      </c>
      <c r="P354" s="40" t="b">
        <f>_xll.qlInstrumentSetPricingEngine(O354,OisEngine)</f>
        <v>1</v>
      </c>
      <c r="Q354" s="38">
        <f>_xll.qlIndexFixing(Currency&amp;IborType&amp;"6M",_xll.qlInterestRateIndexFixingDate(Currency&amp;IborType&amp;"6M",M354),TRUE,AllTriggers)</f>
        <v>2.0315098466453942E-2</v>
      </c>
      <c r="R354" s="38">
        <f>_xll.qlOvernightIndexedSwapFairRate(O354,AllTriggers)</f>
        <v>1.9917687272348522E-2</v>
      </c>
      <c r="S354" s="345">
        <f t="shared" si="9"/>
        <v>3.9741119410541953E-4</v>
      </c>
    </row>
    <row r="355" spans="5:19" ht="11.25" customHeight="1" x14ac:dyDescent="0.2">
      <c r="E355" s="254"/>
      <c r="F355" s="254"/>
      <c r="G355" s="39"/>
      <c r="J355" s="39"/>
      <c r="K355" s="39"/>
      <c r="M355" s="346">
        <f>_xll.qlCalendarAdvance(Calendar,M354,"1M","f",,Trigger)</f>
        <v>52958</v>
      </c>
      <c r="N355" s="344">
        <f>_xll.qlCalendarAdvance(Calendar,M355,"3M","f",,Trigger)</f>
        <v>53048</v>
      </c>
      <c r="O355" s="40" t="str">
        <f>_xll.qlMakeDatedOIS(,M355,N355,OvernightIndex,0,,,,EvaluationDate)</f>
        <v>obj_0098a#0000</v>
      </c>
      <c r="P355" s="40" t="b">
        <f>_xll.qlInstrumentSetPricingEngine(O355,OisEngine)</f>
        <v>1</v>
      </c>
      <c r="Q355" s="38">
        <f>_xll.qlIndexFixing(Currency&amp;IborType&amp;"6M",_xll.qlInterestRateIndexFixingDate(Currency&amp;IborType&amp;"6M",M355),TRUE,AllTriggers)</f>
        <v>2.0329149198406577E-2</v>
      </c>
      <c r="R355" s="38">
        <f>_xll.qlOvernightIndexedSwapFairRate(O355,AllTriggers)</f>
        <v>1.9946378540263154E-2</v>
      </c>
      <c r="S355" s="345">
        <f t="shared" si="9"/>
        <v>3.8277065814342273E-4</v>
      </c>
    </row>
    <row r="356" spans="5:19" ht="11.25" customHeight="1" x14ac:dyDescent="0.2">
      <c r="E356" s="254"/>
      <c r="F356" s="254"/>
      <c r="G356" s="39"/>
      <c r="J356" s="39"/>
      <c r="K356" s="39"/>
      <c r="M356" s="346">
        <f>_xll.qlCalendarAdvance(Calendar,M355,"1M","f",,Trigger)</f>
        <v>52989</v>
      </c>
      <c r="N356" s="344">
        <f>_xll.qlCalendarAdvance(Calendar,M356,"3M","f",,Trigger)</f>
        <v>53079</v>
      </c>
      <c r="O356" s="40" t="str">
        <f>_xll.qlMakeDatedOIS(,M356,N356,OvernightIndex,0,,,,EvaluationDate)</f>
        <v>obj_00968#0000</v>
      </c>
      <c r="P356" s="40" t="b">
        <f>_xll.qlInstrumentSetPricingEngine(O356,OisEngine)</f>
        <v>1</v>
      </c>
      <c r="Q356" s="38">
        <f>_xll.qlIndexFixing(Currency&amp;IborType&amp;"6M",_xll.qlInterestRateIndexFixingDate(Currency&amp;IborType&amp;"6M",M356),TRUE,AllTriggers)</f>
        <v>2.0340984707640345E-2</v>
      </c>
      <c r="R356" s="38">
        <f>_xll.qlOvernightIndexedSwapFairRate(O356,AllTriggers)</f>
        <v>1.9974700700713832E-2</v>
      </c>
      <c r="S356" s="345">
        <f t="shared" si="9"/>
        <v>3.6628400692651289E-4</v>
      </c>
    </row>
    <row r="357" spans="5:19" ht="11.25" customHeight="1" x14ac:dyDescent="0.2">
      <c r="E357" s="254"/>
      <c r="F357" s="254"/>
      <c r="G357" s="39"/>
      <c r="J357" s="39"/>
      <c r="K357" s="39"/>
      <c r="M357" s="346">
        <f>_xll.qlCalendarAdvance(Calendar,M356,"1M","f",,Trigger)</f>
        <v>53020</v>
      </c>
      <c r="N357" s="344">
        <f>_xll.qlCalendarAdvance(Calendar,M357,"3M","f",,Trigger)</f>
        <v>53111</v>
      </c>
      <c r="O357" s="40" t="str">
        <f>_xll.qlMakeDatedOIS(,M357,N357,OvernightIndex,0,,,,EvaluationDate)</f>
        <v>obj_00756#0000</v>
      </c>
      <c r="P357" s="40" t="b">
        <f>_xll.qlInstrumentSetPricingEngine(O357,OisEngine)</f>
        <v>1</v>
      </c>
      <c r="Q357" s="38">
        <f>_xll.qlIndexFixing(Currency&amp;IborType&amp;"6M",_xll.qlInterestRateIndexFixingDate(Currency&amp;IborType&amp;"6M",M357),TRUE,AllTriggers)</f>
        <v>2.0354516998910312E-2</v>
      </c>
      <c r="R357" s="38">
        <f>_xll.qlOvernightIndexedSwapFairRate(O357,AllTriggers)</f>
        <v>2.0003495865723635E-2</v>
      </c>
      <c r="S357" s="345">
        <f t="shared" si="9"/>
        <v>3.5102113318667694E-4</v>
      </c>
    </row>
    <row r="358" spans="5:19" ht="11.25" customHeight="1" x14ac:dyDescent="0.2">
      <c r="E358" s="254"/>
      <c r="F358" s="254"/>
      <c r="G358" s="39"/>
      <c r="J358" s="39"/>
      <c r="K358" s="39"/>
      <c r="M358" s="346">
        <f>_xll.qlCalendarAdvance(Calendar,M357,"1M","f",,Trigger)</f>
        <v>53048</v>
      </c>
      <c r="N358" s="344">
        <f>_xll.qlCalendarAdvance(Calendar,M358,"3M","f",,Trigger)</f>
        <v>53140</v>
      </c>
      <c r="O358" s="40" t="str">
        <f>_xll.qlMakeDatedOIS(,M358,N358,OvernightIndex,0,,,,EvaluationDate)</f>
        <v>obj_0091f#0000</v>
      </c>
      <c r="P358" s="40" t="b">
        <f>_xll.qlInstrumentSetPricingEngine(O358,OisEngine)</f>
        <v>1</v>
      </c>
      <c r="Q358" s="38">
        <f>_xll.qlIndexFixing(Currency&amp;IborType&amp;"6M",_xll.qlInterestRateIndexFixingDate(Currency&amp;IborType&amp;"6M",M358),TRUE,AllTriggers)</f>
        <v>2.036772459545521E-2</v>
      </c>
      <c r="R358" s="38">
        <f>_xll.qlOvernightIndexedSwapFairRate(O358,AllTriggers)</f>
        <v>2.0029139568237313E-2</v>
      </c>
      <c r="S358" s="345">
        <f t="shared" si="9"/>
        <v>3.3858502721789696E-4</v>
      </c>
    </row>
    <row r="359" spans="5:19" ht="11.25" customHeight="1" x14ac:dyDescent="0.2">
      <c r="E359" s="254"/>
      <c r="F359" s="254"/>
      <c r="G359" s="39"/>
      <c r="J359" s="39"/>
      <c r="K359" s="39"/>
      <c r="M359" s="346">
        <f>_xll.qlCalendarAdvance(Calendar,M358,"1M","f",,Trigger)</f>
        <v>53079</v>
      </c>
      <c r="N359" s="344">
        <f>_xll.qlCalendarAdvance(Calendar,M359,"3M","f",,Trigger)</f>
        <v>53170</v>
      </c>
      <c r="O359" s="40" t="str">
        <f>_xll.qlMakeDatedOIS(,M359,N359,OvernightIndex,0,,,,EvaluationDate)</f>
        <v>obj_008cd#0000</v>
      </c>
      <c r="P359" s="40" t="b">
        <f>_xll.qlInstrumentSetPricingEngine(O359,OisEngine)</f>
        <v>1</v>
      </c>
      <c r="Q359" s="38">
        <f>_xll.qlIndexFixing(Currency&amp;IborType&amp;"6M",_xll.qlInterestRateIndexFixingDate(Currency&amp;IborType&amp;"6M",M359),TRUE,AllTriggers)</f>
        <v>2.0379957568451696E-2</v>
      </c>
      <c r="R359" s="38">
        <f>_xll.qlOvernightIndexedSwapFairRate(O359,AllTriggers)</f>
        <v>2.0054951330255498E-2</v>
      </c>
      <c r="S359" s="345">
        <f t="shared" si="9"/>
        <v>3.2500623819619809E-4</v>
      </c>
    </row>
    <row r="360" spans="5:19" ht="11.25" customHeight="1" x14ac:dyDescent="0.2">
      <c r="E360" s="254"/>
      <c r="F360" s="254"/>
      <c r="G360" s="39"/>
      <c r="J360" s="39"/>
      <c r="K360" s="39"/>
      <c r="M360" s="346">
        <f>_xll.qlCalendarAdvance(Calendar,M359,"1M","f",,Trigger)</f>
        <v>53111</v>
      </c>
      <c r="N360" s="344">
        <f>_xll.qlCalendarAdvance(Calendar,M360,"3M","f",,Trigger)</f>
        <v>53203</v>
      </c>
      <c r="O360" s="40" t="str">
        <f>_xll.qlMakeDatedOIS(,M360,N360,OvernightIndex,0,,,,EvaluationDate)</f>
        <v>obj_0075a#0000</v>
      </c>
      <c r="P360" s="40" t="b">
        <f>_xll.qlInstrumentSetPricingEngine(O360,OisEngine)</f>
        <v>1</v>
      </c>
      <c r="Q360" s="38">
        <f>_xll.qlIndexFixing(Currency&amp;IborType&amp;"6M",_xll.qlInterestRateIndexFixingDate(Currency&amp;IborType&amp;"6M",M360),TRUE,AllTriggers)</f>
        <v>2.0394331625406225E-2</v>
      </c>
      <c r="R360" s="38">
        <f>_xll.qlOvernightIndexedSwapFairRate(O360,AllTriggers)</f>
        <v>2.0083043057895236E-2</v>
      </c>
      <c r="S360" s="345">
        <f t="shared" si="9"/>
        <v>3.1128856751098943E-4</v>
      </c>
    </row>
    <row r="361" spans="5:19" ht="11.25" customHeight="1" x14ac:dyDescent="0.2">
      <c r="E361" s="254"/>
      <c r="F361" s="254"/>
      <c r="G361" s="39"/>
      <c r="J361" s="39"/>
      <c r="K361" s="39"/>
      <c r="M361" s="346">
        <f>_xll.qlCalendarAdvance(Calendar,M360,"1M","f",,Trigger)</f>
        <v>53142</v>
      </c>
      <c r="N361" s="344">
        <f>_xll.qlCalendarAdvance(Calendar,M361,"3M","f",,Trigger)</f>
        <v>53234</v>
      </c>
      <c r="O361" s="40" t="str">
        <f>_xll.qlMakeDatedOIS(,M361,N361,OvernightIndex,0,,,,EvaluationDate)</f>
        <v>obj_0087a#0000</v>
      </c>
      <c r="P361" s="40" t="b">
        <f>_xll.qlInstrumentSetPricingEngine(O361,OisEngine)</f>
        <v>1</v>
      </c>
      <c r="Q361" s="38">
        <f>_xll.qlIndexFixing(Currency&amp;IborType&amp;"6M",_xll.qlInterestRateIndexFixingDate(Currency&amp;IborType&amp;"6M",M361),TRUE,AllTriggers)</f>
        <v>2.0406838818406856E-2</v>
      </c>
      <c r="R361" s="38">
        <f>_xll.qlOvernightIndexedSwapFairRate(O361,AllTriggers)</f>
        <v>2.010877570996094E-2</v>
      </c>
      <c r="S361" s="345">
        <f t="shared" si="9"/>
        <v>2.9806310844591663E-4</v>
      </c>
    </row>
    <row r="362" spans="5:19" ht="11.25" customHeight="1" x14ac:dyDescent="0.2">
      <c r="E362" s="254"/>
      <c r="F362" s="254"/>
      <c r="G362" s="39"/>
      <c r="J362" s="39"/>
      <c r="K362" s="39"/>
      <c r="M362" s="346">
        <f>_xll.qlCalendarAdvance(Calendar,M361,"1M","f",,Trigger)</f>
        <v>53174</v>
      </c>
      <c r="N362" s="344">
        <f>_xll.qlCalendarAdvance(Calendar,M362,"3M","f",,Trigger)</f>
        <v>53266</v>
      </c>
      <c r="O362" s="40" t="str">
        <f>_xll.qlMakeDatedOIS(,M362,N362,OvernightIndex,0,,,,EvaluationDate)</f>
        <v>obj_00a14#0000</v>
      </c>
      <c r="P362" s="40" t="b">
        <f>_xll.qlInstrumentSetPricingEngine(O362,OisEngine)</f>
        <v>1</v>
      </c>
      <c r="Q362" s="38">
        <f>_xll.qlIndexFixing(Currency&amp;IborType&amp;"6M",_xll.qlInterestRateIndexFixingDate(Currency&amp;IborType&amp;"6M",M362),TRUE,AllTriggers)</f>
        <v>2.0421508212364881E-2</v>
      </c>
      <c r="R362" s="38">
        <f>_xll.qlOvernightIndexedSwapFairRate(O362,AllTriggers)</f>
        <v>2.013479099465177E-2</v>
      </c>
      <c r="S362" s="345">
        <f t="shared" si="9"/>
        <v>2.8671721771311026E-4</v>
      </c>
    </row>
    <row r="363" spans="5:19" ht="11.25" customHeight="1" x14ac:dyDescent="0.2">
      <c r="E363" s="254"/>
      <c r="F363" s="254"/>
      <c r="G363" s="39"/>
      <c r="J363" s="39"/>
      <c r="K363" s="39"/>
      <c r="M363" s="346">
        <f>_xll.qlCalendarAdvance(Calendar,M362,"1M","f",,Trigger)</f>
        <v>53205</v>
      </c>
      <c r="N363" s="344">
        <f>_xll.qlCalendarAdvance(Calendar,M363,"3M","f",,Trigger)</f>
        <v>53296</v>
      </c>
      <c r="O363" s="40" t="str">
        <f>_xll.qlMakeDatedOIS(,M363,N363,OvernightIndex,0,,,,EvaluationDate)</f>
        <v>obj_009f6#0000</v>
      </c>
      <c r="P363" s="40" t="b">
        <f>_xll.qlInstrumentSetPricingEngine(O363,OisEngine)</f>
        <v>1</v>
      </c>
      <c r="Q363" s="38">
        <f>_xll.qlIndexFixing(Currency&amp;IborType&amp;"6M",_xll.qlInterestRateIndexFixingDate(Currency&amp;IborType&amp;"6M",M363),TRUE,AllTriggers)</f>
        <v>2.0432689277076876E-2</v>
      </c>
      <c r="R363" s="38">
        <f>_xll.qlOvernightIndexedSwapFairRate(O363,AllTriggers)</f>
        <v>2.0158509844721666E-2</v>
      </c>
      <c r="S363" s="345">
        <f t="shared" si="9"/>
        <v>2.7417943235521006E-4</v>
      </c>
    </row>
    <row r="364" spans="5:19" ht="11.25" customHeight="1" x14ac:dyDescent="0.2">
      <c r="E364" s="254"/>
      <c r="F364" s="254"/>
      <c r="G364" s="39"/>
      <c r="J364" s="39"/>
      <c r="K364" s="39"/>
      <c r="M364" s="346">
        <f>_xll.qlCalendarAdvance(Calendar,M363,"1M","f",,Trigger)</f>
        <v>53237</v>
      </c>
      <c r="N364" s="344">
        <f>_xll.qlCalendarAdvance(Calendar,M364,"3M","f",,Trigger)</f>
        <v>53329</v>
      </c>
      <c r="O364" s="40" t="str">
        <f>_xll.qlMakeDatedOIS(,M364,N364,OvernightIndex,0,,,,EvaluationDate)</f>
        <v>obj_009c1#0000</v>
      </c>
      <c r="P364" s="40" t="b">
        <f>_xll.qlInstrumentSetPricingEngine(O364,OisEngine)</f>
        <v>1</v>
      </c>
      <c r="Q364" s="38">
        <f>_xll.qlIndexFixing(Currency&amp;IborType&amp;"6M",_xll.qlInterestRateIndexFixingDate(Currency&amp;IborType&amp;"6M",M364),TRUE,AllTriggers)</f>
        <v>2.0447647672910196E-2</v>
      </c>
      <c r="R364" s="38">
        <f>_xll.qlOvernightIndexedSwapFairRate(O364,AllTriggers)</f>
        <v>2.0184383293404551E-2</v>
      </c>
      <c r="S364" s="345">
        <f t="shared" si="9"/>
        <v>2.6326437950564482E-4</v>
      </c>
    </row>
    <row r="365" spans="5:19" ht="11.25" customHeight="1" x14ac:dyDescent="0.2">
      <c r="E365" s="254"/>
      <c r="F365" s="254"/>
      <c r="G365" s="39"/>
      <c r="J365" s="39"/>
      <c r="K365" s="39"/>
      <c r="M365" s="346">
        <f>_xll.qlCalendarAdvance(Calendar,M364,"1M","f",,Trigger)</f>
        <v>53268</v>
      </c>
      <c r="N365" s="344">
        <f>_xll.qlCalendarAdvance(Calendar,M365,"3M","f",,Trigger)</f>
        <v>53360</v>
      </c>
      <c r="O365" s="40" t="str">
        <f>_xll.qlMakeDatedOIS(,M365,N365,OvernightIndex,0,,,,EvaluationDate)</f>
        <v>obj_00989#0000</v>
      </c>
      <c r="P365" s="40" t="b">
        <f>_xll.qlInstrumentSetPricingEngine(O365,OisEngine)</f>
        <v>1</v>
      </c>
      <c r="Q365" s="38">
        <f>_xll.qlIndexFixing(Currency&amp;IborType&amp;"6M",_xll.qlInterestRateIndexFixingDate(Currency&amp;IborType&amp;"6M",M365),TRUE,AllTriggers)</f>
        <v>2.0460697412641053E-2</v>
      </c>
      <c r="R365" s="38">
        <f>_xll.qlOvernightIndexedSwapFairRate(O365,AllTriggers)</f>
        <v>2.0207994504198908E-2</v>
      </c>
      <c r="S365" s="345">
        <f t="shared" si="9"/>
        <v>2.5270290844214491E-4</v>
      </c>
    </row>
    <row r="366" spans="5:19" ht="11.25" customHeight="1" x14ac:dyDescent="0.2">
      <c r="E366" s="254"/>
      <c r="F366" s="254"/>
      <c r="G366" s="39"/>
      <c r="J366" s="39"/>
      <c r="K366" s="39"/>
      <c r="M366" s="346">
        <f>_xll.qlCalendarAdvance(Calendar,M365,"1M","f",,Trigger)</f>
        <v>53300</v>
      </c>
      <c r="N366" s="344">
        <f>_xll.qlCalendarAdvance(Calendar,M366,"3M","f",,Trigger)</f>
        <v>53391</v>
      </c>
      <c r="O366" s="40" t="str">
        <f>_xll.qlMakeDatedOIS(,M366,N366,OvernightIndex,0,,,,EvaluationDate)</f>
        <v>obj_00967#0000</v>
      </c>
      <c r="P366" s="40" t="b">
        <f>_xll.qlInstrumentSetPricingEngine(O366,OisEngine)</f>
        <v>1</v>
      </c>
      <c r="Q366" s="38">
        <f>_xll.qlIndexFixing(Currency&amp;IborType&amp;"6M",_xll.qlInterestRateIndexFixingDate(Currency&amp;IborType&amp;"6M",M366),TRUE,AllTriggers)</f>
        <v>2.0475951202114945E-2</v>
      </c>
      <c r="R366" s="38">
        <f>_xll.qlOvernightIndexedSwapFairRate(O366,AllTriggers)</f>
        <v>2.0230888520404878E-2</v>
      </c>
      <c r="S366" s="345">
        <f t="shared" si="9"/>
        <v>2.4506268171006762E-4</v>
      </c>
    </row>
    <row r="367" spans="5:19" ht="11.25" customHeight="1" x14ac:dyDescent="0.2">
      <c r="E367" s="254"/>
      <c r="F367" s="254"/>
      <c r="G367" s="39"/>
      <c r="J367" s="39"/>
      <c r="K367" s="39"/>
      <c r="M367" s="346">
        <f>_xll.qlCalendarAdvance(Calendar,M366,"1M","f",,Trigger)</f>
        <v>53331</v>
      </c>
      <c r="N367" s="344">
        <f>_xll.qlCalendarAdvance(Calendar,M367,"3M","f",,Trigger)</f>
        <v>53421</v>
      </c>
      <c r="O367" s="40" t="str">
        <f>_xll.qlMakeDatedOIS(,M367,N367,OvernightIndex,0,,,,EvaluationDate)</f>
        <v>obj_0091e#0000</v>
      </c>
      <c r="P367" s="40" t="b">
        <f>_xll.qlInstrumentSetPricingEngine(O367,OisEngine)</f>
        <v>1</v>
      </c>
      <c r="Q367" s="38">
        <f>_xll.qlIndexFixing(Currency&amp;IborType&amp;"6M",_xll.qlInterestRateIndexFixingDate(Currency&amp;IborType&amp;"6M",M367),TRUE,AllTriggers)</f>
        <v>2.0489275060832784E-2</v>
      </c>
      <c r="R367" s="38">
        <f>_xll.qlOvernightIndexedSwapFairRate(O367,AllTriggers)</f>
        <v>2.025252178714787E-2</v>
      </c>
      <c r="S367" s="345">
        <f t="shared" si="9"/>
        <v>2.3675327368491428E-4</v>
      </c>
    </row>
    <row r="368" spans="5:19" ht="11.25" customHeight="1" x14ac:dyDescent="0.2">
      <c r="E368" s="254"/>
      <c r="F368" s="254"/>
      <c r="G368" s="39"/>
      <c r="J368" s="39"/>
      <c r="K368" s="39"/>
      <c r="M368" s="346">
        <f>_xll.qlCalendarAdvance(Calendar,M367,"1M","f",,Trigger)</f>
        <v>53363</v>
      </c>
      <c r="N368" s="344">
        <f>_xll.qlCalendarAdvance(Calendar,M368,"3M","f",,Trigger)</f>
        <v>53454</v>
      </c>
      <c r="O368" s="40" t="str">
        <f>_xll.qlMakeDatedOIS(,M368,N368,OvernightIndex,0,,,,EvaluationDate)</f>
        <v>obj_00879#0000</v>
      </c>
      <c r="P368" s="40" t="b">
        <f>_xll.qlInstrumentSetPricingEngine(O368,OisEngine)</f>
        <v>1</v>
      </c>
      <c r="Q368" s="38">
        <f>_xll.qlIndexFixing(Currency&amp;IborType&amp;"6M",_xll.qlInterestRateIndexFixingDate(Currency&amp;IborType&amp;"6M",M368),TRUE,AllTriggers)</f>
        <v>2.0504824290891507E-2</v>
      </c>
      <c r="R368" s="38">
        <f>_xll.qlOvernightIndexedSwapFairRate(O368,AllTriggers)</f>
        <v>2.0276183870000786E-2</v>
      </c>
      <c r="S368" s="345">
        <f t="shared" si="9"/>
        <v>2.2864042089072029E-4</v>
      </c>
    </row>
    <row r="369" spans="5:19" ht="11.25" customHeight="1" x14ac:dyDescent="0.2">
      <c r="E369" s="254"/>
      <c r="F369" s="254"/>
      <c r="G369" s="39"/>
      <c r="J369" s="39"/>
      <c r="K369" s="39"/>
      <c r="M369" s="346">
        <f>_xll.qlCalendarAdvance(Calendar,M368,"1M","f",,Trigger)</f>
        <v>53391</v>
      </c>
      <c r="N369" s="344">
        <f>_xll.qlCalendarAdvance(Calendar,M369,"3M","f",,Trigger)</f>
        <v>53483</v>
      </c>
      <c r="O369" s="40" t="str">
        <f>_xll.qlMakeDatedOIS(,M369,N369,OvernightIndex,0,,,,EvaluationDate)</f>
        <v>obj_00a13#0000</v>
      </c>
      <c r="P369" s="40" t="b">
        <f>_xll.qlInstrumentSetPricingEngine(O369,OisEngine)</f>
        <v>1</v>
      </c>
      <c r="Q369" s="38">
        <f>_xll.qlIndexFixing(Currency&amp;IborType&amp;"6M",_xll.qlInterestRateIndexFixingDate(Currency&amp;IborType&amp;"6M",M369),TRUE,AllTriggers)</f>
        <v>2.0519476358816215E-2</v>
      </c>
      <c r="R369" s="38">
        <f>_xll.qlOvernightIndexedSwapFairRate(O369,AllTriggers)</f>
        <v>2.0296533442048056E-2</v>
      </c>
      <c r="S369" s="345">
        <f t="shared" si="9"/>
        <v>2.2294291676815819E-4</v>
      </c>
    </row>
    <row r="370" spans="5:19" ht="11.25" customHeight="1" x14ac:dyDescent="0.2">
      <c r="E370" s="254"/>
      <c r="F370" s="254"/>
      <c r="G370" s="39"/>
      <c r="J370" s="39"/>
      <c r="K370" s="39"/>
      <c r="M370" s="346">
        <f>_xll.qlCalendarAdvance(Calendar,M369,"1M","f",,Trigger)</f>
        <v>53422</v>
      </c>
      <c r="N370" s="344">
        <f>_xll.qlCalendarAdvance(Calendar,M370,"3M","f",,Trigger)</f>
        <v>53513</v>
      </c>
      <c r="O370" s="40" t="str">
        <f>_xll.qlMakeDatedOIS(,M370,N370,OvernightIndex,0,,,,EvaluationDate)</f>
        <v>obj_009f5#0000</v>
      </c>
      <c r="P370" s="40" t="b">
        <f>_xll.qlInstrumentSetPricingEngine(O370,OisEngine)</f>
        <v>1</v>
      </c>
      <c r="Q370" s="38">
        <f>_xll.qlIndexFixing(Currency&amp;IborType&amp;"6M",_xll.qlInterestRateIndexFixingDate(Currency&amp;IborType&amp;"6M",M370),TRUE,AllTriggers)</f>
        <v>2.0533202032488148E-2</v>
      </c>
      <c r="R370" s="38">
        <f>_xll.qlOvernightIndexedSwapFairRate(O370,AllTriggers)</f>
        <v>2.031664853487589E-2</v>
      </c>
      <c r="S370" s="345">
        <f t="shared" si="9"/>
        <v>2.1655349761225823E-4</v>
      </c>
    </row>
    <row r="371" spans="5:19" ht="11.25" customHeight="1" x14ac:dyDescent="0.2">
      <c r="E371" s="254"/>
      <c r="F371" s="254"/>
      <c r="G371" s="39"/>
      <c r="J371" s="39"/>
      <c r="K371" s="39"/>
      <c r="M371" s="346">
        <f>_xll.qlCalendarAdvance(Calendar,M370,"1M","f",,Trigger)</f>
        <v>53454</v>
      </c>
      <c r="N371" s="344">
        <f>_xll.qlCalendarAdvance(Calendar,M371,"3M","f",,Trigger)</f>
        <v>53546</v>
      </c>
      <c r="O371" s="40" t="str">
        <f>_xll.qlMakeDatedOIS(,M371,N371,OvernightIndex,0,,,,EvaluationDate)</f>
        <v>obj_009c0#0000</v>
      </c>
      <c r="P371" s="40" t="b">
        <f>_xll.qlInstrumentSetPricingEngine(O371,OisEngine)</f>
        <v>1</v>
      </c>
      <c r="Q371" s="38">
        <f>_xll.qlIndexFixing(Currency&amp;IborType&amp;"6M",_xll.qlInterestRateIndexFixingDate(Currency&amp;IborType&amp;"6M",M371),TRUE,AllTriggers)</f>
        <v>2.054918460115716E-2</v>
      </c>
      <c r="R371" s="38">
        <f>_xll.qlOvernightIndexedSwapFairRate(O371,AllTriggers)</f>
        <v>2.0338700163307948E-2</v>
      </c>
      <c r="S371" s="345">
        <f t="shared" si="9"/>
        <v>2.1048443784921211E-4</v>
      </c>
    </row>
    <row r="372" spans="5:19" ht="11.25" customHeight="1" x14ac:dyDescent="0.2">
      <c r="E372" s="254"/>
      <c r="F372" s="254"/>
      <c r="G372" s="39"/>
      <c r="J372" s="39"/>
      <c r="K372" s="39"/>
      <c r="M372" s="346">
        <f>_xll.qlCalendarAdvance(Calendar,M371,"1M","f",,Trigger)</f>
        <v>53485</v>
      </c>
      <c r="N372" s="344">
        <f>_xll.qlCalendarAdvance(Calendar,M372,"3M","f",,Trigger)</f>
        <v>53577</v>
      </c>
      <c r="O372" s="40" t="str">
        <f>_xll.qlMakeDatedOIS(,M372,N372,OvernightIndex,0,,,,EvaluationDate)</f>
        <v>obj_00988#0000</v>
      </c>
      <c r="P372" s="40" t="b">
        <f>_xll.qlInstrumentSetPricingEngine(O372,OisEngine)</f>
        <v>1</v>
      </c>
      <c r="Q372" s="38">
        <f>_xll.qlIndexFixing(Currency&amp;IborType&amp;"6M",_xll.qlInterestRateIndexFixingDate(Currency&amp;IborType&amp;"6M",M372),TRUE,AllTriggers)</f>
        <v>2.0563184371732927E-2</v>
      </c>
      <c r="R372" s="38">
        <f>_xll.qlOvernightIndexedSwapFairRate(O372,AllTriggers)</f>
        <v>2.0358657424589775E-2</v>
      </c>
      <c r="S372" s="345">
        <f t="shared" si="9"/>
        <v>2.0452694714315212E-4</v>
      </c>
    </row>
    <row r="373" spans="5:19" ht="11.25" customHeight="1" x14ac:dyDescent="0.2">
      <c r="E373" s="254"/>
      <c r="F373" s="254"/>
      <c r="G373" s="39"/>
      <c r="J373" s="39"/>
      <c r="K373" s="39"/>
      <c r="M373" s="346">
        <f>_xll.qlCalendarAdvance(Calendar,M372,"1M","f",,Trigger)</f>
        <v>53517</v>
      </c>
      <c r="N373" s="344">
        <f>_xll.qlCalendarAdvance(Calendar,M373,"3M","f",,Trigger)</f>
        <v>53609</v>
      </c>
      <c r="O373" s="40" t="str">
        <f>_xll.qlMakeDatedOIS(,M373,N373,OvernightIndex,0,,,,EvaluationDate)</f>
        <v>obj_00966#0000</v>
      </c>
      <c r="P373" s="40" t="b">
        <f>_xll.qlInstrumentSetPricingEngine(O373,OisEngine)</f>
        <v>1</v>
      </c>
      <c r="Q373" s="38">
        <f>_xll.qlIndexFixing(Currency&amp;IborType&amp;"6M",_xll.qlInterestRateIndexFixingDate(Currency&amp;IborType&amp;"6M",M373),TRUE,AllTriggers)</f>
        <v>2.0579462534292645E-2</v>
      </c>
      <c r="R373" s="38">
        <f>_xll.qlOvernightIndexedSwapFairRate(O373,AllTriggers)</f>
        <v>2.0378710911227116E-2</v>
      </c>
      <c r="S373" s="345">
        <f t="shared" si="9"/>
        <v>2.0075162306552874E-4</v>
      </c>
    </row>
    <row r="374" spans="5:19" ht="11.25" customHeight="1" x14ac:dyDescent="0.2">
      <c r="E374" s="254"/>
      <c r="F374" s="254"/>
      <c r="G374" s="39"/>
      <c r="J374" s="39"/>
      <c r="K374" s="39"/>
      <c r="M374" s="346">
        <f>_xll.qlCalendarAdvance(Calendar,M373,"1M","f",,Trigger)</f>
        <v>53548</v>
      </c>
      <c r="N374" s="344">
        <f>_xll.qlCalendarAdvance(Calendar,M374,"3M","f",,Trigger)</f>
        <v>53640</v>
      </c>
      <c r="O374" s="40" t="str">
        <f>_xll.qlMakeDatedOIS(,M374,N374,OvernightIndex,0,,,,EvaluationDate)</f>
        <v>obj_00768#0000</v>
      </c>
      <c r="P374" s="40" t="b">
        <f>_xll.qlInstrumentSetPricingEngine(O374,OisEngine)</f>
        <v>1</v>
      </c>
      <c r="Q374" s="38">
        <f>_xll.qlIndexFixing(Currency&amp;IborType&amp;"6M",_xll.qlInterestRateIndexFixingDate(Currency&amp;IborType&amp;"6M",M374),TRUE,AllTriggers)</f>
        <v>2.059623855095186E-2</v>
      </c>
      <c r="R374" s="38">
        <f>_xll.qlOvernightIndexedSwapFairRate(O374,AllTriggers)</f>
        <v>2.039760727235947E-2</v>
      </c>
      <c r="S374" s="345">
        <f t="shared" si="9"/>
        <v>1.9863127859238994E-4</v>
      </c>
    </row>
    <row r="375" spans="5:19" ht="11.25" customHeight="1" x14ac:dyDescent="0.2">
      <c r="E375" s="254"/>
      <c r="F375" s="254"/>
      <c r="G375" s="39"/>
      <c r="J375" s="39"/>
      <c r="K375" s="39"/>
      <c r="M375" s="346">
        <f>_xll.qlCalendarAdvance(Calendar,M374,"1M","f",,Trigger)</f>
        <v>53580</v>
      </c>
      <c r="N375" s="344">
        <f>_xll.qlCalendarAdvance(Calendar,M375,"3M","f",,Trigger)</f>
        <v>53671</v>
      </c>
      <c r="O375" s="40" t="str">
        <f>_xll.qlMakeDatedOIS(,M375,N375,OvernightIndex,0,,,,EvaluationDate)</f>
        <v>obj_0091d#0000</v>
      </c>
      <c r="P375" s="40" t="b">
        <f>_xll.qlInstrumentSetPricingEngine(O375,OisEngine)</f>
        <v>1</v>
      </c>
      <c r="Q375" s="38">
        <f>_xll.qlIndexFixing(Currency&amp;IborType&amp;"6M",_xll.qlInterestRateIndexFixingDate(Currency&amp;IborType&amp;"6M",M375),TRUE,AllTriggers)</f>
        <v>2.0608635979796012E-2</v>
      </c>
      <c r="R375" s="38">
        <f>_xll.qlOvernightIndexedSwapFairRate(O375,AllTriggers)</f>
        <v>2.0415699908955434E-2</v>
      </c>
      <c r="S375" s="345">
        <f t="shared" si="9"/>
        <v>1.9293607084057765E-4</v>
      </c>
    </row>
    <row r="376" spans="5:19" ht="11.25" customHeight="1" x14ac:dyDescent="0.2">
      <c r="E376" s="254"/>
      <c r="F376" s="254"/>
      <c r="G376" s="39"/>
      <c r="J376" s="39"/>
      <c r="K376" s="39"/>
      <c r="M376" s="346">
        <f>_xll.qlCalendarAdvance(Calendar,M375,"1M","f",,Trigger)</f>
        <v>53610</v>
      </c>
      <c r="N376" s="344">
        <f>_xll.qlCalendarAdvance(Calendar,M376,"3M","f",,Trigger)</f>
        <v>53702</v>
      </c>
      <c r="O376" s="40" t="str">
        <f>_xll.qlMakeDatedOIS(,M376,N376,OvernightIndex,0,,,,EvaluationDate)</f>
        <v>obj_0076b#0000</v>
      </c>
      <c r="P376" s="40" t="b">
        <f>_xll.qlInstrumentSetPricingEngine(O376,OisEngine)</f>
        <v>1</v>
      </c>
      <c r="Q376" s="38">
        <f>_xll.qlIndexFixing(Currency&amp;IborType&amp;"6M",_xll.qlInterestRateIndexFixingDate(Currency&amp;IborType&amp;"6M",M376),TRUE,AllTriggers)</f>
        <v>2.0623519582866456E-2</v>
      </c>
      <c r="R376" s="38">
        <f>_xll.qlOvernightIndexedSwapFairRate(O376,AllTriggers)</f>
        <v>2.0433833862066635E-2</v>
      </c>
      <c r="S376" s="345">
        <f t="shared" si="9"/>
        <v>1.8968572079982107E-4</v>
      </c>
    </row>
    <row r="377" spans="5:19" ht="11.25" customHeight="1" x14ac:dyDescent="0.2">
      <c r="E377" s="254"/>
      <c r="F377" s="254"/>
      <c r="G377" s="39"/>
      <c r="J377" s="39"/>
      <c r="K377" s="39"/>
      <c r="M377" s="346">
        <f>_xll.qlCalendarAdvance(Calendar,M376,"1M","f",,Trigger)</f>
        <v>53643</v>
      </c>
      <c r="N377" s="344">
        <f>_xll.qlCalendarAdvance(Calendar,M377,"3M","f",,Trigger)</f>
        <v>53735</v>
      </c>
      <c r="O377" s="40" t="str">
        <f>_xll.qlMakeDatedOIS(,M377,N377,OvernightIndex,0,,,,EvaluationDate)</f>
        <v>obj_008cb#0000</v>
      </c>
      <c r="P377" s="40" t="b">
        <f>_xll.qlInstrumentSetPricingEngine(O377,OisEngine)</f>
        <v>1</v>
      </c>
      <c r="Q377" s="38">
        <f>_xll.qlIndexFixing(Currency&amp;IborType&amp;"6M",_xll.qlInterestRateIndexFixingDate(Currency&amp;IborType&amp;"6M",M377),TRUE,AllTriggers)</f>
        <v>2.0640040749741018E-2</v>
      </c>
      <c r="R377" s="38">
        <f>_xll.qlOvernightIndexedSwapFairRate(O377,AllTriggers)</f>
        <v>2.0452264227375328E-2</v>
      </c>
      <c r="S377" s="345">
        <f t="shared" si="9"/>
        <v>1.8777652236568951E-4</v>
      </c>
    </row>
    <row r="378" spans="5:19" ht="11.25" customHeight="1" x14ac:dyDescent="0.2">
      <c r="E378" s="254"/>
      <c r="F378" s="254"/>
      <c r="G378" s="39"/>
      <c r="J378" s="39"/>
      <c r="K378" s="39"/>
      <c r="M378" s="346">
        <f>_xll.qlCalendarAdvance(Calendar,M377,"1M","f",,Trigger)</f>
        <v>53673</v>
      </c>
      <c r="N378" s="344">
        <f>_xll.qlCalendarAdvance(Calendar,M378,"3M","f",,Trigger)</f>
        <v>53763</v>
      </c>
      <c r="O378" s="40" t="str">
        <f>_xll.qlMakeDatedOIS(,M378,N378,OvernightIndex,0,,,,EvaluationDate)</f>
        <v>obj_00878#0000</v>
      </c>
      <c r="P378" s="40" t="b">
        <f>_xll.qlInstrumentSetPricingEngine(O378,OisEngine)</f>
        <v>1</v>
      </c>
      <c r="Q378" s="38">
        <f>_xll.qlIndexFixing(Currency&amp;IborType&amp;"6M",_xll.qlInterestRateIndexFixingDate(Currency&amp;IborType&amp;"6M",M378),TRUE,AllTriggers)</f>
        <v>2.0655195635054722E-2</v>
      </c>
      <c r="R378" s="38">
        <f>_xll.qlOvernightIndexedSwapFairRate(O378,AllTriggers)</f>
        <v>2.0466818818158927E-2</v>
      </c>
      <c r="S378" s="345">
        <f t="shared" si="9"/>
        <v>1.8837681689579458E-4</v>
      </c>
    </row>
    <row r="379" spans="5:19" ht="11.25" customHeight="1" x14ac:dyDescent="0.2">
      <c r="E379" s="254"/>
      <c r="F379" s="254"/>
      <c r="G379" s="39"/>
      <c r="J379" s="39"/>
      <c r="K379" s="39"/>
      <c r="M379" s="346">
        <f>_xll.qlCalendarAdvance(Calendar,M378,"1M","f",,Trigger)</f>
        <v>53706</v>
      </c>
      <c r="N379" s="344">
        <f>_xll.qlCalendarAdvance(Calendar,M379,"3M","f",,Trigger)</f>
        <v>53798</v>
      </c>
      <c r="O379" s="40" t="str">
        <f>_xll.qlMakeDatedOIS(,M379,N379,OvernightIndex,0,,,,EvaluationDate)</f>
        <v>obj_0076f#0000</v>
      </c>
      <c r="P379" s="40" t="b">
        <f>_xll.qlInstrumentSetPricingEngine(O379,OisEngine)</f>
        <v>1</v>
      </c>
      <c r="Q379" s="38">
        <f>_xll.qlIndexFixing(Currency&amp;IborType&amp;"6M",_xll.qlInterestRateIndexFixingDate(Currency&amp;IborType&amp;"6M",M379),TRUE,AllTriggers)</f>
        <v>2.0672015219488079E-2</v>
      </c>
      <c r="R379" s="38">
        <f>_xll.qlOvernightIndexedSwapFairRate(O379,AllTriggers)</f>
        <v>2.0485806674641133E-2</v>
      </c>
      <c r="S379" s="345">
        <f t="shared" si="9"/>
        <v>1.8620854484694555E-4</v>
      </c>
    </row>
    <row r="380" spans="5:19" ht="11.25" customHeight="1" x14ac:dyDescent="0.2">
      <c r="E380" s="254"/>
      <c r="F380" s="254"/>
      <c r="G380" s="39"/>
      <c r="J380" s="39"/>
      <c r="K380" s="39"/>
      <c r="M380" s="346">
        <f>_xll.qlCalendarAdvance(Calendar,M379,"1M","f",,Trigger)</f>
        <v>53737</v>
      </c>
      <c r="N380" s="344">
        <f>_xll.qlCalendarAdvance(Calendar,M380,"3M","f",,Trigger)</f>
        <v>53826</v>
      </c>
      <c r="O380" s="40" t="str">
        <f>_xll.qlMakeDatedOIS(,M380,N380,OvernightIndex,0,,,,EvaluationDate)</f>
        <v>obj_00a12#0000</v>
      </c>
      <c r="P380" s="40" t="b">
        <f>_xll.qlInstrumentSetPricingEngine(O380,OisEngine)</f>
        <v>1</v>
      </c>
      <c r="Q380" s="38">
        <f>_xll.qlIndexFixing(Currency&amp;IborType&amp;"6M",_xll.qlInterestRateIndexFixingDate(Currency&amp;IborType&amp;"6M",M380),TRUE,AllTriggers)</f>
        <v>2.0687105083417777E-2</v>
      </c>
      <c r="R380" s="38">
        <f>_xll.qlOvernightIndexedSwapFairRate(O380,AllTriggers)</f>
        <v>2.0499036112761233E-2</v>
      </c>
      <c r="S380" s="345">
        <f t="shared" si="9"/>
        <v>1.8806897065654429E-4</v>
      </c>
    </row>
    <row r="381" spans="5:19" ht="11.25" customHeight="1" x14ac:dyDescent="0.2">
      <c r="E381" s="254"/>
      <c r="F381" s="254"/>
      <c r="G381" s="39"/>
      <c r="J381" s="39"/>
      <c r="K381" s="39"/>
      <c r="M381" s="346">
        <f>_xll.qlCalendarAdvance(Calendar,M380,"1M","f",,Trigger)</f>
        <v>53765</v>
      </c>
      <c r="N381" s="344">
        <f>_xll.qlCalendarAdvance(Calendar,M381,"3M","f",,Trigger)</f>
        <v>53857</v>
      </c>
      <c r="O381" s="40" t="str">
        <f>_xll.qlMakeDatedOIS(,M381,N381,OvernightIndex,0,,,,EvaluationDate)</f>
        <v>obj_00772#0000</v>
      </c>
      <c r="P381" s="40" t="b">
        <f>_xll.qlInstrumentSetPricingEngine(O381,OisEngine)</f>
        <v>1</v>
      </c>
      <c r="Q381" s="38">
        <f>_xll.qlIndexFixing(Currency&amp;IborType&amp;"6M",_xll.qlInterestRateIndexFixingDate(Currency&amp;IborType&amp;"6M",M381),TRUE,AllTriggers)</f>
        <v>2.0705899534209773E-2</v>
      </c>
      <c r="R381" s="38">
        <f>_xll.qlOvernightIndexedSwapFairRate(O381,AllTriggers)</f>
        <v>2.0515264236172059E-2</v>
      </c>
      <c r="S381" s="345">
        <f t="shared" si="9"/>
        <v>1.9063529803771406E-4</v>
      </c>
    </row>
    <row r="382" spans="5:19" ht="11.25" customHeight="1" x14ac:dyDescent="0.2">
      <c r="E382" s="254"/>
      <c r="F382" s="254"/>
      <c r="G382" s="39"/>
      <c r="J382" s="39"/>
      <c r="K382" s="39"/>
      <c r="M382" s="346">
        <f>_xll.qlCalendarAdvance(Calendar,M381,"1M","f",,Trigger)</f>
        <v>53798</v>
      </c>
      <c r="N382" s="344">
        <f>_xll.qlCalendarAdvance(Calendar,M382,"3M","f",,Trigger)</f>
        <v>53889</v>
      </c>
      <c r="O382" s="40" t="str">
        <f>_xll.qlMakeDatedOIS(,M382,N382,OvernightIndex,0,,,,EvaluationDate)</f>
        <v>obj_00774#0000</v>
      </c>
      <c r="P382" s="40" t="b">
        <f>_xll.qlInstrumentSetPricingEngine(O382,OisEngine)</f>
        <v>1</v>
      </c>
      <c r="Q382" s="38">
        <f>_xll.qlIndexFixing(Currency&amp;IborType&amp;"6M",_xll.qlInterestRateIndexFixingDate(Currency&amp;IborType&amp;"6M",M382),TRUE,AllTriggers)</f>
        <v>2.0720590618373599E-2</v>
      </c>
      <c r="R382" s="38">
        <f>_xll.qlOvernightIndexedSwapFairRate(O382,AllTriggers)</f>
        <v>2.0530102823553772E-2</v>
      </c>
      <c r="S382" s="345">
        <f t="shared" si="9"/>
        <v>1.9048779481982761E-4</v>
      </c>
    </row>
    <row r="383" spans="5:19" ht="11.25" customHeight="1" x14ac:dyDescent="0.2">
      <c r="E383" s="254"/>
      <c r="F383" s="254"/>
      <c r="G383" s="39"/>
      <c r="J383" s="39"/>
      <c r="K383" s="39"/>
      <c r="M383" s="346">
        <f>_xll.qlCalendarAdvance(Calendar,M382,"1M","f",,Trigger)</f>
        <v>53828</v>
      </c>
      <c r="N383" s="344">
        <f>_xll.qlCalendarAdvance(Calendar,M383,"3M","f",,Trigger)</f>
        <v>53920</v>
      </c>
      <c r="O383" s="40" t="str">
        <f>_xll.qlMakeDatedOIS(,M383,N383,OvernightIndex,0,,,,EvaluationDate)</f>
        <v>obj_009f4#0000</v>
      </c>
      <c r="P383" s="40" t="b">
        <f>_xll.qlInstrumentSetPricingEngine(O383,OisEngine)</f>
        <v>1</v>
      </c>
      <c r="Q383" s="38">
        <f>_xll.qlIndexFixing(Currency&amp;IborType&amp;"6M",_xll.qlInterestRateIndexFixingDate(Currency&amp;IborType&amp;"6M",M383),TRUE,AllTriggers)</f>
        <v>2.073900297895E-2</v>
      </c>
      <c r="R383" s="38">
        <f>_xll.qlOvernightIndexedSwapFairRate(O383,AllTriggers)</f>
        <v>2.0544631108569394E-2</v>
      </c>
      <c r="S383" s="345">
        <f t="shared" si="9"/>
        <v>1.943718703806066E-4</v>
      </c>
    </row>
    <row r="384" spans="5:19" ht="11.25" customHeight="1" x14ac:dyDescent="0.2">
      <c r="E384" s="254"/>
      <c r="F384" s="254"/>
      <c r="G384" s="39"/>
      <c r="J384" s="39"/>
      <c r="K384" s="39"/>
      <c r="M384" s="346">
        <f>_xll.qlCalendarAdvance(Calendar,M383,"1M","f",,Trigger)</f>
        <v>53860</v>
      </c>
      <c r="N384" s="344">
        <f>_xll.qlCalendarAdvance(Calendar,M384,"3M","f",,Trigger)</f>
        <v>53952</v>
      </c>
      <c r="O384" s="40" t="str">
        <f>_xll.qlMakeDatedOIS(,M384,N384,OvernightIndex,0,,,,EvaluationDate)</f>
        <v>obj_009bf#0000</v>
      </c>
      <c r="P384" s="40" t="b">
        <f>_xll.qlInstrumentSetPricingEngine(O384,OisEngine)</f>
        <v>1</v>
      </c>
      <c r="Q384" s="38">
        <f>_xll.qlIndexFixing(Currency&amp;IborType&amp;"6M",_xll.qlInterestRateIndexFixingDate(Currency&amp;IborType&amp;"6M",M384),TRUE,AllTriggers)</f>
        <v>2.0753438948599094E-2</v>
      </c>
      <c r="R384" s="38">
        <f>_xll.qlOvernightIndexedSwapFairRate(O384,AllTriggers)</f>
        <v>2.0558721819573477E-2</v>
      </c>
      <c r="S384" s="345">
        <f t="shared" si="9"/>
        <v>1.9471712902561708E-4</v>
      </c>
    </row>
    <row r="385" spans="5:19" ht="11.25" customHeight="1" x14ac:dyDescent="0.2">
      <c r="E385" s="254"/>
      <c r="F385" s="254"/>
      <c r="G385" s="39"/>
      <c r="J385" s="39"/>
      <c r="K385" s="39"/>
      <c r="M385" s="346">
        <f>_xll.qlCalendarAdvance(Calendar,M384,"1M","f",,Trigger)</f>
        <v>53890</v>
      </c>
      <c r="N385" s="344">
        <f>_xll.qlCalendarAdvance(Calendar,M385,"3M","f",,Trigger)</f>
        <v>53982</v>
      </c>
      <c r="O385" s="40" t="str">
        <f>_xll.qlMakeDatedOIS(,M385,N385,OvernightIndex,0,,,,EvaluationDate)</f>
        <v>obj_00987#0000</v>
      </c>
      <c r="P385" s="40" t="b">
        <f>_xll.qlInstrumentSetPricingEngine(O385,OisEngine)</f>
        <v>1</v>
      </c>
      <c r="Q385" s="38">
        <f>_xll.qlIndexFixing(Currency&amp;IborType&amp;"6M",_xll.qlInterestRateIndexFixingDate(Currency&amp;IborType&amp;"6M",M385),TRUE,AllTriggers)</f>
        <v>2.0770399983081011E-2</v>
      </c>
      <c r="R385" s="38">
        <f>_xll.qlOvernightIndexedSwapFairRate(O385,AllTriggers)</f>
        <v>2.0571426597471892E-2</v>
      </c>
      <c r="S385" s="345">
        <f t="shared" si="9"/>
        <v>1.9897338560911915E-4</v>
      </c>
    </row>
    <row r="386" spans="5:19" ht="11.25" customHeight="1" x14ac:dyDescent="0.2">
      <c r="E386" s="254"/>
      <c r="F386" s="254"/>
      <c r="G386" s="39"/>
      <c r="J386" s="39"/>
      <c r="K386" s="39"/>
      <c r="M386" s="346">
        <f>_xll.qlCalendarAdvance(Calendar,M385,"1M","f",,Trigger)</f>
        <v>53923</v>
      </c>
      <c r="N386" s="344">
        <f>_xll.qlCalendarAdvance(Calendar,M386,"3M","f",,Trigger)</f>
        <v>54015</v>
      </c>
      <c r="O386" s="40" t="str">
        <f>_xll.qlMakeDatedOIS(,M386,N386,OvernightIndex,0,,,,EvaluationDate)</f>
        <v>obj_00965#0000</v>
      </c>
      <c r="P386" s="40" t="b">
        <f>_xll.qlInstrumentSetPricingEngine(O386,OisEngine)</f>
        <v>1</v>
      </c>
      <c r="Q386" s="38">
        <f>_xll.qlIndexFixing(Currency&amp;IborType&amp;"6M",_xll.qlInterestRateIndexFixingDate(Currency&amp;IborType&amp;"6M",M386),TRUE,AllTriggers)</f>
        <v>2.0788254349722677E-2</v>
      </c>
      <c r="R386" s="38">
        <f>_xll.qlOvernightIndexedSwapFairRate(O386,AllTriggers)</f>
        <v>2.0584837092994645E-2</v>
      </c>
      <c r="S386" s="345">
        <f t="shared" si="9"/>
        <v>2.0341725672803207E-4</v>
      </c>
    </row>
    <row r="387" spans="5:19" ht="11.25" customHeight="1" x14ac:dyDescent="0.2">
      <c r="E387" s="254"/>
      <c r="F387" s="254"/>
      <c r="G387" s="39"/>
      <c r="J387" s="39"/>
      <c r="K387" s="39"/>
      <c r="M387" s="346">
        <f>_xll.qlCalendarAdvance(Calendar,M386,"1M","f",,Trigger)</f>
        <v>53954</v>
      </c>
      <c r="N387" s="344">
        <f>_xll.qlCalendarAdvance(Calendar,M387,"3M","f",,Trigger)</f>
        <v>54045</v>
      </c>
      <c r="O387" s="40" t="str">
        <f>_xll.qlMakeDatedOIS(,M387,N387,OvernightIndex,0,,,,EvaluationDate)</f>
        <v>obj_0091c#0000</v>
      </c>
      <c r="P387" s="40" t="b">
        <f>_xll.qlInstrumentSetPricingEngine(O387,OisEngine)</f>
        <v>1</v>
      </c>
      <c r="Q387" s="38">
        <f>_xll.qlIndexFixing(Currency&amp;IborType&amp;"6M",_xll.qlInterestRateIndexFixingDate(Currency&amp;IborType&amp;"6M",M387),TRUE,AllTriggers)</f>
        <v>2.0803418880637168E-2</v>
      </c>
      <c r="R387" s="38">
        <f>_xll.qlOvernightIndexedSwapFairRate(O387,AllTriggers)</f>
        <v>2.059612150349286E-2</v>
      </c>
      <c r="S387" s="345">
        <f t="shared" ref="S387:S450" si="10">Q387-R387</f>
        <v>2.0729737714430749E-4</v>
      </c>
    </row>
    <row r="388" spans="5:19" ht="11.25" customHeight="1" x14ac:dyDescent="0.2">
      <c r="E388" s="254"/>
      <c r="F388" s="254"/>
      <c r="G388" s="39"/>
      <c r="J388" s="39"/>
      <c r="K388" s="39"/>
      <c r="M388" s="346">
        <f>_xll.qlCalendarAdvance(Calendar,M387,"1M","f",,Trigger)</f>
        <v>53986</v>
      </c>
      <c r="N388" s="344">
        <f>_xll.qlCalendarAdvance(Calendar,M388,"3M","f",,Trigger)</f>
        <v>54078</v>
      </c>
      <c r="O388" s="40" t="str">
        <f>_xll.qlMakeDatedOIS(,M388,N388,OvernightIndex,0,,,,EvaluationDate)</f>
        <v>obj_0077b#0000</v>
      </c>
      <c r="P388" s="40" t="b">
        <f>_xll.qlInstrumentSetPricingEngine(O388,OisEngine)</f>
        <v>1</v>
      </c>
      <c r="Q388" s="38">
        <f>_xll.qlIndexFixing(Currency&amp;IborType&amp;"6M",_xll.qlInterestRateIndexFixingDate(Currency&amp;IborType&amp;"6M",M388),TRUE,AllTriggers)</f>
        <v>2.0821895713114512E-2</v>
      </c>
      <c r="R388" s="38">
        <f>_xll.qlOvernightIndexedSwapFairRate(O388,AllTriggers)</f>
        <v>2.0608795988271943E-2</v>
      </c>
      <c r="S388" s="345">
        <f t="shared" si="10"/>
        <v>2.1309972484256923E-4</v>
      </c>
    </row>
    <row r="389" spans="5:19" ht="11.25" customHeight="1" x14ac:dyDescent="0.2">
      <c r="E389" s="254"/>
      <c r="F389" s="254"/>
      <c r="G389" s="39"/>
      <c r="J389" s="39"/>
      <c r="K389" s="39"/>
      <c r="M389" s="346">
        <f>_xll.qlCalendarAdvance(Calendar,M388,"1M","f",,Trigger)</f>
        <v>54017</v>
      </c>
      <c r="N389" s="344">
        <f>_xll.qlCalendarAdvance(Calendar,M389,"3M","f",,Trigger)</f>
        <v>54109</v>
      </c>
      <c r="O389" s="40" t="str">
        <f>_xll.qlMakeDatedOIS(,M389,N389,OvernightIndex,0,,,,EvaluationDate)</f>
        <v>obj_008ca#0000</v>
      </c>
      <c r="P389" s="40" t="b">
        <f>_xll.qlInstrumentSetPricingEngine(O389,OisEngine)</f>
        <v>1</v>
      </c>
      <c r="Q389" s="38">
        <f>_xll.qlIndexFixing(Currency&amp;IborType&amp;"6M",_xll.qlInterestRateIndexFixingDate(Currency&amp;IborType&amp;"6M",M389),TRUE,AllTriggers)</f>
        <v>2.0838206087751207E-2</v>
      </c>
      <c r="R389" s="38">
        <f>_xll.qlOvernightIndexedSwapFairRate(O389,AllTriggers)</f>
        <v>2.0619793678189821E-2</v>
      </c>
      <c r="S389" s="345">
        <f t="shared" si="10"/>
        <v>2.1841240956138597E-4</v>
      </c>
    </row>
    <row r="390" spans="5:19" ht="11.25" customHeight="1" x14ac:dyDescent="0.2">
      <c r="E390" s="254"/>
      <c r="F390" s="254"/>
      <c r="G390" s="39"/>
      <c r="J390" s="39"/>
      <c r="K390" s="39"/>
      <c r="M390" s="346">
        <f>_xll.qlCalendarAdvance(Calendar,M389,"1M","f",,Trigger)</f>
        <v>54049</v>
      </c>
      <c r="N390" s="344">
        <f>_xll.qlCalendarAdvance(Calendar,M390,"3M","f",,Trigger)</f>
        <v>54140</v>
      </c>
      <c r="O390" s="40" t="str">
        <f>_xll.qlMakeDatedOIS(,M390,N390,OvernightIndex,0,,,,EvaluationDate)</f>
        <v>obj_0077e#0000</v>
      </c>
      <c r="P390" s="40" t="b">
        <f>_xll.qlInstrumentSetPricingEngine(O390,OisEngine)</f>
        <v>1</v>
      </c>
      <c r="Q390" s="38">
        <f>_xll.qlIndexFixing(Currency&amp;IborType&amp;"6M",_xll.qlInterestRateIndexFixingDate(Currency&amp;IborType&amp;"6M",M390),TRUE,AllTriggers)</f>
        <v>2.0856978916780851E-2</v>
      </c>
      <c r="R390" s="38">
        <f>_xll.qlOvernightIndexedSwapFairRate(O390,AllTriggers)</f>
        <v>2.0629847978382208E-2</v>
      </c>
      <c r="S390" s="345">
        <f t="shared" si="10"/>
        <v>2.2713093839864251E-4</v>
      </c>
    </row>
    <row r="391" spans="5:19" ht="11.25" customHeight="1" x14ac:dyDescent="0.2">
      <c r="E391" s="254"/>
      <c r="F391" s="254"/>
      <c r="G391" s="39"/>
      <c r="J391" s="39"/>
      <c r="K391" s="39"/>
      <c r="M391" s="346">
        <f>_xll.qlCalendarAdvance(Calendar,M390,"1M","f",,Trigger)</f>
        <v>54080</v>
      </c>
      <c r="N391" s="344">
        <f>_xll.qlCalendarAdvance(Calendar,M391,"3M","f",,Trigger)</f>
        <v>54171</v>
      </c>
      <c r="O391" s="40" t="str">
        <f>_xll.qlMakeDatedOIS(,M391,N391,OvernightIndex,0,,,,EvaluationDate)</f>
        <v>obj_00877#0000</v>
      </c>
      <c r="P391" s="40" t="b">
        <f>_xll.qlInstrumentSetPricingEngine(O391,OisEngine)</f>
        <v>1</v>
      </c>
      <c r="Q391" s="38">
        <f>_xll.qlIndexFixing(Currency&amp;IborType&amp;"6M",_xll.qlInterestRateIndexFixingDate(Currency&amp;IborType&amp;"6M",M391),TRUE,AllTriggers)</f>
        <v>2.0873563164028972E-2</v>
      </c>
      <c r="R391" s="38">
        <f>_xll.qlOvernightIndexedSwapFairRate(O391,AllTriggers)</f>
        <v>2.0639792413595086E-2</v>
      </c>
      <c r="S391" s="345">
        <f t="shared" si="10"/>
        <v>2.3377075043388637E-4</v>
      </c>
    </row>
    <row r="392" spans="5:19" ht="11.25" customHeight="1" x14ac:dyDescent="0.2">
      <c r="E392" s="254"/>
      <c r="F392" s="254"/>
      <c r="G392" s="39"/>
      <c r="J392" s="39"/>
      <c r="K392" s="39"/>
      <c r="M392" s="346">
        <f>_xll.qlCalendarAdvance(Calendar,M391,"1M","f",,Trigger)</f>
        <v>54112</v>
      </c>
      <c r="N392" s="344">
        <f>_xll.qlCalendarAdvance(Calendar,M392,"3M","f",,Trigger)</f>
        <v>54203</v>
      </c>
      <c r="O392" s="40" t="str">
        <f>_xll.qlMakeDatedOIS(,M392,N392,OvernightIndex,0,,,,EvaluationDate)</f>
        <v>obj_00781#0000</v>
      </c>
      <c r="P392" s="40" t="b">
        <f>_xll.qlInstrumentSetPricingEngine(O392,OisEngine)</f>
        <v>1</v>
      </c>
      <c r="Q392" s="38">
        <f>_xll.qlIndexFixing(Currency&amp;IborType&amp;"6M",_xll.qlInterestRateIndexFixingDate(Currency&amp;IborType&amp;"6M",M392),TRUE,AllTriggers)</f>
        <v>2.0891740565194786E-2</v>
      </c>
      <c r="R392" s="38">
        <f>_xll.qlOvernightIndexedSwapFairRate(O392,AllTriggers)</f>
        <v>2.0649509993194103E-2</v>
      </c>
      <c r="S392" s="345">
        <f t="shared" si="10"/>
        <v>2.4223057200068246E-4</v>
      </c>
    </row>
    <row r="393" spans="5:19" ht="11.25" customHeight="1" x14ac:dyDescent="0.2">
      <c r="E393" s="254"/>
      <c r="F393" s="254"/>
      <c r="G393" s="39"/>
      <c r="J393" s="39"/>
      <c r="K393" s="39"/>
      <c r="M393" s="346">
        <f>_xll.qlCalendarAdvance(Calendar,M392,"1M","f",,Trigger)</f>
        <v>54141</v>
      </c>
      <c r="N393" s="344">
        <f>_xll.qlCalendarAdvance(Calendar,M393,"3M","f",,Trigger)</f>
        <v>54233</v>
      </c>
      <c r="O393" s="40" t="str">
        <f>_xll.qlMakeDatedOIS(,M393,N393,OvernightIndex,0,,,,EvaluationDate)</f>
        <v>obj_00a11#0000</v>
      </c>
      <c r="P393" s="40" t="b">
        <f>_xll.qlInstrumentSetPricingEngine(O393,OisEngine)</f>
        <v>1</v>
      </c>
      <c r="Q393" s="38">
        <f>_xll.qlIndexFixing(Currency&amp;IborType&amp;"6M",_xll.qlInterestRateIndexFixingDate(Currency&amp;IborType&amp;"6M",M393),TRUE,AllTriggers)</f>
        <v>2.0910129980645255E-2</v>
      </c>
      <c r="R393" s="38">
        <f>_xll.qlOvernightIndexedSwapFairRate(O393,AllTriggers)</f>
        <v>2.0658563094940696E-2</v>
      </c>
      <c r="S393" s="345">
        <f t="shared" si="10"/>
        <v>2.5156688570455998E-4</v>
      </c>
    </row>
    <row r="394" spans="5:19" ht="11.25" customHeight="1" x14ac:dyDescent="0.2">
      <c r="E394" s="254"/>
      <c r="F394" s="254"/>
      <c r="G394" s="39"/>
      <c r="J394" s="39"/>
      <c r="K394" s="39"/>
      <c r="M394" s="346">
        <f>_xll.qlCalendarAdvance(Calendar,M393,"1M","f",,Trigger)</f>
        <v>54172</v>
      </c>
      <c r="N394" s="344">
        <f>_xll.qlCalendarAdvance(Calendar,M394,"3M","f",,Trigger)</f>
        <v>54263</v>
      </c>
      <c r="O394" s="40" t="str">
        <f>_xll.qlMakeDatedOIS(,M394,N394,OvernightIndex,0,,,,EvaluationDate)</f>
        <v>obj_009f3#0000</v>
      </c>
      <c r="P394" s="40" t="b">
        <f>_xll.qlInstrumentSetPricingEngine(O394,OisEngine)</f>
        <v>1</v>
      </c>
      <c r="Q394" s="38">
        <f>_xll.qlIndexFixing(Currency&amp;IborType&amp;"6M",_xll.qlInterestRateIndexFixingDate(Currency&amp;IborType&amp;"6M",M394),TRUE,AllTriggers)</f>
        <v>2.0928913152705068E-2</v>
      </c>
      <c r="R394" s="38">
        <f>_xll.qlOvernightIndexedSwapFairRate(O394,AllTriggers)</f>
        <v>2.0666230940035741E-2</v>
      </c>
      <c r="S394" s="345">
        <f t="shared" si="10"/>
        <v>2.6268221266932679E-4</v>
      </c>
    </row>
    <row r="395" spans="5:19" ht="11.25" customHeight="1" x14ac:dyDescent="0.2">
      <c r="E395" s="254"/>
      <c r="F395" s="254"/>
      <c r="G395" s="39"/>
      <c r="J395" s="39"/>
      <c r="K395" s="39"/>
      <c r="M395" s="346">
        <f>_xll.qlCalendarAdvance(Calendar,M394,"1M","f",,Trigger)</f>
        <v>54203</v>
      </c>
      <c r="N395" s="344">
        <f>_xll.qlCalendarAdvance(Calendar,M395,"3M","f",,Trigger)</f>
        <v>54295</v>
      </c>
      <c r="O395" s="40" t="str">
        <f>_xll.qlMakeDatedOIS(,M395,N395,OvernightIndex,0,,,,EvaluationDate)</f>
        <v>obj_00986#0000</v>
      </c>
      <c r="P395" s="40" t="b">
        <f>_xll.qlInstrumentSetPricingEngine(O395,OisEngine)</f>
        <v>1</v>
      </c>
      <c r="Q395" s="38">
        <f>_xll.qlIndexFixing(Currency&amp;IborType&amp;"6M",_xll.qlInterestRateIndexFixingDate(Currency&amp;IborType&amp;"6M",M395),TRUE,AllTriggers)</f>
        <v>2.0946038368297282E-2</v>
      </c>
      <c r="R395" s="38">
        <f>_xll.qlOvernightIndexedSwapFairRate(O395,AllTriggers)</f>
        <v>2.0674814944257436E-2</v>
      </c>
      <c r="S395" s="345">
        <f t="shared" si="10"/>
        <v>2.712234240398459E-4</v>
      </c>
    </row>
    <row r="396" spans="5:19" ht="11.25" customHeight="1" x14ac:dyDescent="0.2">
      <c r="E396" s="254"/>
      <c r="F396" s="254"/>
      <c r="G396" s="39"/>
      <c r="J396" s="39"/>
      <c r="K396" s="39"/>
      <c r="M396" s="346">
        <f>_xll.qlCalendarAdvance(Calendar,M395,"1M","f",,Trigger)</f>
        <v>54234</v>
      </c>
      <c r="N396" s="344">
        <f>_xll.qlCalendarAdvance(Calendar,M396,"3M","f",,Trigger)</f>
        <v>54326</v>
      </c>
      <c r="O396" s="40" t="str">
        <f>_xll.qlMakeDatedOIS(,M396,N396,OvernightIndex,0,,,,EvaluationDate)</f>
        <v>obj_00785#0000</v>
      </c>
      <c r="P396" s="40" t="b">
        <f>_xll.qlInstrumentSetPricingEngine(O396,OisEngine)</f>
        <v>1</v>
      </c>
      <c r="Q396" s="38">
        <f>_xll.qlIndexFixing(Currency&amp;IborType&amp;"6M",_xll.qlInterestRateIndexFixingDate(Currency&amp;IborType&amp;"6M",M396),TRUE,AllTriggers)</f>
        <v>2.0966008762859794E-2</v>
      </c>
      <c r="R396" s="38">
        <f>_xll.qlOvernightIndexedSwapFairRate(O396,AllTriggers)</f>
        <v>2.0682157642278345E-2</v>
      </c>
      <c r="S396" s="345">
        <f t="shared" si="10"/>
        <v>2.8385112058144923E-4</v>
      </c>
    </row>
    <row r="397" spans="5:19" ht="11.25" customHeight="1" x14ac:dyDescent="0.2">
      <c r="E397" s="254"/>
      <c r="F397" s="254"/>
      <c r="G397" s="39"/>
      <c r="J397" s="39"/>
      <c r="K397" s="39"/>
      <c r="M397" s="346">
        <f>_xll.qlCalendarAdvance(Calendar,M396,"1M","f",,Trigger)</f>
        <v>54266</v>
      </c>
      <c r="N397" s="344">
        <f>_xll.qlCalendarAdvance(Calendar,M397,"3M","f",,Trigger)</f>
        <v>54358</v>
      </c>
      <c r="O397" s="40" t="str">
        <f>_xll.qlMakeDatedOIS(,M397,N397,OvernightIndex,0,,,,EvaluationDate)</f>
        <v>obj_00787#0000</v>
      </c>
      <c r="P397" s="40" t="b">
        <f>_xll.qlInstrumentSetPricingEngine(O397,OisEngine)</f>
        <v>1</v>
      </c>
      <c r="Q397" s="38">
        <f>_xll.qlIndexFixing(Currency&amp;IborType&amp;"6M",_xll.qlInterestRateIndexFixingDate(Currency&amp;IborType&amp;"6M",M397),TRUE,AllTriggers)</f>
        <v>2.0983091433273971E-2</v>
      </c>
      <c r="R397" s="38">
        <f>_xll.qlOvernightIndexedSwapFairRate(O397,AllTriggers)</f>
        <v>2.0689189509195793E-2</v>
      </c>
      <c r="S397" s="345">
        <f t="shared" si="10"/>
        <v>2.9390192407817775E-4</v>
      </c>
    </row>
    <row r="398" spans="5:19" ht="11.25" customHeight="1" x14ac:dyDescent="0.2">
      <c r="E398" s="254"/>
      <c r="F398" s="254"/>
      <c r="G398" s="39"/>
      <c r="J398" s="39"/>
      <c r="K398" s="39"/>
      <c r="M398" s="346">
        <f>_xll.qlCalendarAdvance(Calendar,M397,"1M","f",,Trigger)</f>
        <v>54297</v>
      </c>
      <c r="N398" s="344">
        <f>_xll.qlCalendarAdvance(Calendar,M398,"3M","f",,Trigger)</f>
        <v>54389</v>
      </c>
      <c r="O398" s="40" t="str">
        <f>_xll.qlMakeDatedOIS(,M398,N398,OvernightIndex,0,,,,EvaluationDate)</f>
        <v>obj_00964#0000</v>
      </c>
      <c r="P398" s="40" t="b">
        <f>_xll.qlInstrumentSetPricingEngine(O398,OisEngine)</f>
        <v>1</v>
      </c>
      <c r="Q398" s="38">
        <f>_xll.qlIndexFixing(Currency&amp;IborType&amp;"6M",_xll.qlInterestRateIndexFixingDate(Currency&amp;IborType&amp;"6M",M398),TRUE,AllTriggers)</f>
        <v>2.1000622044042485E-2</v>
      </c>
      <c r="R398" s="38">
        <f>_xll.qlOvernightIndexedSwapFairRate(O398,AllTriggers)</f>
        <v>2.0695471050540263E-2</v>
      </c>
      <c r="S398" s="345">
        <f t="shared" si="10"/>
        <v>3.0515099350222202E-4</v>
      </c>
    </row>
    <row r="399" spans="5:19" ht="11.25" customHeight="1" x14ac:dyDescent="0.2">
      <c r="E399" s="254"/>
      <c r="F399" s="254"/>
      <c r="G399" s="39"/>
      <c r="J399" s="39"/>
      <c r="K399" s="39"/>
      <c r="M399" s="346">
        <f>_xll.qlCalendarAdvance(Calendar,M398,"1M","f",,Trigger)</f>
        <v>54329</v>
      </c>
      <c r="N399" s="344">
        <f>_xll.qlCalendarAdvance(Calendar,M399,"3M","f",,Trigger)</f>
        <v>54420</v>
      </c>
      <c r="O399" s="40" t="str">
        <f>_xll.qlMakeDatedOIS(,M399,N399,OvernightIndex,0,,,,EvaluationDate)</f>
        <v>obj_0091b#0000</v>
      </c>
      <c r="P399" s="40" t="b">
        <f>_xll.qlInstrumentSetPricingEngine(O399,OisEngine)</f>
        <v>1</v>
      </c>
      <c r="Q399" s="38">
        <f>_xll.qlIndexFixing(Currency&amp;IborType&amp;"6M",_xll.qlInterestRateIndexFixingDate(Currency&amp;IborType&amp;"6M",M399),TRUE,AllTriggers)</f>
        <v>2.1018885615555906E-2</v>
      </c>
      <c r="R399" s="38">
        <f>_xll.qlOvernightIndexedSwapFairRate(O399,AllTriggers)</f>
        <v>2.0700729046111289E-2</v>
      </c>
      <c r="S399" s="345">
        <f t="shared" si="10"/>
        <v>3.1815656944461645E-4</v>
      </c>
    </row>
    <row r="400" spans="5:19" ht="11.25" customHeight="1" x14ac:dyDescent="0.2">
      <c r="E400" s="254"/>
      <c r="F400" s="254"/>
      <c r="G400" s="39"/>
      <c r="J400" s="39"/>
      <c r="K400" s="39"/>
      <c r="M400" s="346">
        <f>_xll.qlCalendarAdvance(Calendar,M399,"1M","f",,Trigger)</f>
        <v>54359</v>
      </c>
      <c r="N400" s="344">
        <f>_xll.qlCalendarAdvance(Calendar,M400,"3M","f",,Trigger)</f>
        <v>54451</v>
      </c>
      <c r="O400" s="40" t="str">
        <f>_xll.qlMakeDatedOIS(,M400,N400,OvernightIndex,0,,,,EvaluationDate)</f>
        <v>obj_0078b#0000</v>
      </c>
      <c r="P400" s="40" t="b">
        <f>_xll.qlInstrumentSetPricingEngine(O400,OisEngine)</f>
        <v>1</v>
      </c>
      <c r="Q400" s="38">
        <f>_xll.qlIndexFixing(Currency&amp;IborType&amp;"6M",_xll.qlInterestRateIndexFixingDate(Currency&amp;IborType&amp;"6M",M400),TRUE,AllTriggers)</f>
        <v>2.1036995350919529E-2</v>
      </c>
      <c r="R400" s="38">
        <f>_xll.qlOvernightIndexedSwapFairRate(O400,AllTriggers)</f>
        <v>2.0706467649855745E-2</v>
      </c>
      <c r="S400" s="345">
        <f t="shared" si="10"/>
        <v>3.3052770106378401E-4</v>
      </c>
    </row>
    <row r="401" spans="5:19" ht="11.25" customHeight="1" x14ac:dyDescent="0.2">
      <c r="E401" s="254"/>
      <c r="F401" s="254"/>
      <c r="G401" s="39"/>
      <c r="J401" s="39"/>
      <c r="K401" s="39"/>
      <c r="M401" s="346">
        <f>_xll.qlCalendarAdvance(Calendar,M400,"1M","f",,Trigger)</f>
        <v>54392</v>
      </c>
      <c r="N401" s="344">
        <f>_xll.qlCalendarAdvance(Calendar,M401,"3M","f",,Trigger)</f>
        <v>54483</v>
      </c>
      <c r="O401" s="40" t="str">
        <f>_xll.qlMakeDatedOIS(,M401,N401,OvernightIndex,0,,,,EvaluationDate)</f>
        <v>obj_008c9#0000</v>
      </c>
      <c r="P401" s="40" t="b">
        <f>_xll.qlInstrumentSetPricingEngine(O401,OisEngine)</f>
        <v>1</v>
      </c>
      <c r="Q401" s="38">
        <f>_xll.qlIndexFixing(Currency&amp;IborType&amp;"6M",_xll.qlInterestRateIndexFixingDate(Currency&amp;IborType&amp;"6M",M401),TRUE,AllTriggers)</f>
        <v>2.1057065355895278E-2</v>
      </c>
      <c r="R401" s="38">
        <f>_xll.qlOvernightIndexedSwapFairRate(O401,AllTriggers)</f>
        <v>2.0710807028980614E-2</v>
      </c>
      <c r="S401" s="345">
        <f t="shared" si="10"/>
        <v>3.4625832691466407E-4</v>
      </c>
    </row>
    <row r="402" spans="5:19" ht="11.25" customHeight="1" x14ac:dyDescent="0.2">
      <c r="E402" s="254"/>
      <c r="F402" s="254"/>
      <c r="G402" s="39"/>
      <c r="J402" s="39"/>
      <c r="K402" s="39"/>
      <c r="M402" s="346">
        <f>_xll.qlCalendarAdvance(Calendar,M401,"1M","f",,Trigger)</f>
        <v>54422</v>
      </c>
      <c r="N402" s="344">
        <f>_xll.qlCalendarAdvance(Calendar,M402,"3M","f",,Trigger)</f>
        <v>54512</v>
      </c>
      <c r="O402" s="40" t="str">
        <f>_xll.qlMakeDatedOIS(,M402,N402,OvernightIndex,0,,,,EvaluationDate)</f>
        <v>obj_0078e#0000</v>
      </c>
      <c r="P402" s="40" t="b">
        <f>_xll.qlInstrumentSetPricingEngine(O402,OisEngine)</f>
        <v>1</v>
      </c>
      <c r="Q402" s="38">
        <f>_xll.qlIndexFixing(Currency&amp;IborType&amp;"6M",_xll.qlInterestRateIndexFixingDate(Currency&amp;IborType&amp;"6M",M402),TRUE,AllTriggers)</f>
        <v>2.1075446542504556E-2</v>
      </c>
      <c r="R402" s="38">
        <f>_xll.qlOvernightIndexedSwapFairRate(O402,AllTriggers)</f>
        <v>2.0714193955120308E-2</v>
      </c>
      <c r="S402" s="345">
        <f t="shared" si="10"/>
        <v>3.6125258738424829E-4</v>
      </c>
    </row>
    <row r="403" spans="5:19" ht="11.25" customHeight="1" x14ac:dyDescent="0.2">
      <c r="E403" s="254"/>
      <c r="F403" s="254"/>
      <c r="G403" s="39"/>
      <c r="J403" s="39"/>
      <c r="K403" s="39"/>
      <c r="M403" s="346">
        <f>_xll.qlCalendarAdvance(Calendar,M402,"1M","f",,Trigger)</f>
        <v>54455</v>
      </c>
      <c r="N403" s="344">
        <f>_xll.qlCalendarAdvance(Calendar,M403,"3M","f",,Trigger)</f>
        <v>54546</v>
      </c>
      <c r="O403" s="40" t="str">
        <f>_xll.qlMakeDatedOIS(,M403,N403,OvernightIndex,0,,,,EvaluationDate)</f>
        <v>obj_00876#0000</v>
      </c>
      <c r="P403" s="40" t="b">
        <f>_xll.qlInstrumentSetPricingEngine(O403,OisEngine)</f>
        <v>1</v>
      </c>
      <c r="Q403" s="38">
        <f>_xll.qlIndexFixing(Currency&amp;IborType&amp;"6M",_xll.qlInterestRateIndexFixingDate(Currency&amp;IborType&amp;"6M",M403),TRUE,AllTriggers)</f>
        <v>2.1095815152458851E-2</v>
      </c>
      <c r="R403" s="38">
        <f>_xll.qlOvernightIndexedSwapFairRate(O403,AllTriggers)</f>
        <v>2.0718728549068411E-2</v>
      </c>
      <c r="S403" s="345">
        <f t="shared" si="10"/>
        <v>3.7708660339044048E-4</v>
      </c>
    </row>
    <row r="404" spans="5:19" ht="11.25" customHeight="1" x14ac:dyDescent="0.2">
      <c r="E404" s="254"/>
      <c r="F404" s="254"/>
      <c r="G404" s="39"/>
      <c r="J404" s="39"/>
      <c r="K404" s="39"/>
      <c r="M404" s="346">
        <f>_xll.qlCalendarAdvance(Calendar,M403,"1M","f",,Trigger)</f>
        <v>54483</v>
      </c>
      <c r="N404" s="344">
        <f>_xll.qlCalendarAdvance(Calendar,M404,"3M","f",,Trigger)</f>
        <v>54575</v>
      </c>
      <c r="O404" s="40" t="str">
        <f>_xll.qlMakeDatedOIS(,M404,N404,OvernightIndex,0,,,,EvaluationDate)</f>
        <v>obj_00a10#0000</v>
      </c>
      <c r="P404" s="40" t="b">
        <f>_xll.qlInstrumentSetPricingEngine(O404,OisEngine)</f>
        <v>1</v>
      </c>
      <c r="Q404" s="38">
        <f>_xll.qlIndexFixing(Currency&amp;IborType&amp;"6M",_xll.qlInterestRateIndexFixingDate(Currency&amp;IborType&amp;"6M",M404),TRUE,AllTriggers)</f>
        <v>2.1115082326900521E-2</v>
      </c>
      <c r="R404" s="38">
        <f>_xll.qlOvernightIndexedSwapFairRate(O404,AllTriggers)</f>
        <v>2.0722194858043684E-2</v>
      </c>
      <c r="S404" s="345">
        <f t="shared" si="10"/>
        <v>3.9288746885683679E-4</v>
      </c>
    </row>
    <row r="405" spans="5:19" ht="11.25" customHeight="1" x14ac:dyDescent="0.2">
      <c r="E405" s="254"/>
      <c r="F405" s="254"/>
      <c r="G405" s="39"/>
      <c r="J405" s="39"/>
      <c r="K405" s="39"/>
      <c r="M405" s="346">
        <f>_xll.qlCalendarAdvance(Calendar,M404,"1M","f",,Trigger)</f>
        <v>54514</v>
      </c>
      <c r="N405" s="344">
        <f>_xll.qlCalendarAdvance(Calendar,M405,"3M","f",,Trigger)</f>
        <v>54605</v>
      </c>
      <c r="O405" s="40" t="str">
        <f>_xll.qlMakeDatedOIS(,M405,N405,OvernightIndex,0,,,,EvaluationDate)</f>
        <v>obj_00792#0000</v>
      </c>
      <c r="P405" s="40" t="b">
        <f>_xll.qlInstrumentSetPricingEngine(O405,OisEngine)</f>
        <v>1</v>
      </c>
      <c r="Q405" s="38">
        <f>_xll.qlIndexFixing(Currency&amp;IborType&amp;"6M",_xll.qlInterestRateIndexFixingDate(Currency&amp;IborType&amp;"6M",M405),TRUE,AllTriggers)</f>
        <v>2.1133555919243673E-2</v>
      </c>
      <c r="R405" s="38">
        <f>_xll.qlOvernightIndexedSwapFairRate(O405,AllTriggers)</f>
        <v>2.0724191672026382E-2</v>
      </c>
      <c r="S405" s="345">
        <f t="shared" si="10"/>
        <v>4.0936424721729064E-4</v>
      </c>
    </row>
    <row r="406" spans="5:19" ht="11.25" customHeight="1" x14ac:dyDescent="0.2">
      <c r="E406" s="254"/>
      <c r="F406" s="254"/>
      <c r="G406" s="39"/>
      <c r="J406" s="39"/>
      <c r="K406" s="39"/>
      <c r="M406" s="346">
        <f>_xll.qlCalendarAdvance(Calendar,M405,"1M","f",,Trigger)</f>
        <v>54546</v>
      </c>
      <c r="N406" s="344">
        <f>_xll.qlCalendarAdvance(Calendar,M406,"3M","f",,Trigger)</f>
        <v>54638</v>
      </c>
      <c r="O406" s="40" t="str">
        <f>_xll.qlMakeDatedOIS(,M406,N406,OvernightIndex,0,,,,EvaluationDate)</f>
        <v>obj_009f2#0000</v>
      </c>
      <c r="P406" s="40" t="b">
        <f>_xll.qlInstrumentSetPricingEngine(O406,OisEngine)</f>
        <v>1</v>
      </c>
      <c r="Q406" s="38">
        <f>_xll.qlIndexFixing(Currency&amp;IborType&amp;"6M",_xll.qlInterestRateIndexFixingDate(Currency&amp;IborType&amp;"6M",M406),TRUE,AllTriggers)</f>
        <v>2.1154669126558841E-2</v>
      </c>
      <c r="R406" s="38">
        <f>_xll.qlOvernightIndexedSwapFairRate(O406,AllTriggers)</f>
        <v>2.0726984625652312E-2</v>
      </c>
      <c r="S406" s="345">
        <f t="shared" si="10"/>
        <v>4.2768450090652915E-4</v>
      </c>
    </row>
    <row r="407" spans="5:19" ht="11.25" customHeight="1" x14ac:dyDescent="0.2">
      <c r="E407" s="254"/>
      <c r="F407" s="254"/>
      <c r="G407" s="39"/>
      <c r="J407" s="39"/>
      <c r="K407" s="39"/>
      <c r="M407" s="346">
        <f>_xll.qlCalendarAdvance(Calendar,M406,"1M","f",,Trigger)</f>
        <v>54577</v>
      </c>
      <c r="N407" s="344">
        <f>_xll.qlCalendarAdvance(Calendar,M407,"3M","f",,Trigger)</f>
        <v>54669</v>
      </c>
      <c r="O407" s="40" t="str">
        <f>_xll.qlMakeDatedOIS(,M407,N407,OvernightIndex,0,,,,EvaluationDate)</f>
        <v>obj_00794#0000</v>
      </c>
      <c r="P407" s="40" t="b">
        <f>_xll.qlInstrumentSetPricingEngine(O407,OisEngine)</f>
        <v>1</v>
      </c>
      <c r="Q407" s="38">
        <f>_xll.qlIndexFixing(Currency&amp;IborType&amp;"6M",_xll.qlInterestRateIndexFixingDate(Currency&amp;IborType&amp;"6M",M407),TRUE,AllTriggers)</f>
        <v>2.1173367397549592E-2</v>
      </c>
      <c r="R407" s="38">
        <f>_xll.qlOvernightIndexedSwapFairRate(O407,AllTriggers)</f>
        <v>2.0728549814353566E-2</v>
      </c>
      <c r="S407" s="345">
        <f t="shared" si="10"/>
        <v>4.4481758319602632E-4</v>
      </c>
    </row>
    <row r="408" spans="5:19" ht="11.25" customHeight="1" x14ac:dyDescent="0.2">
      <c r="E408" s="254"/>
      <c r="F408" s="254"/>
      <c r="G408" s="39"/>
      <c r="J408" s="39"/>
      <c r="K408" s="39"/>
      <c r="M408" s="346">
        <f>_xll.qlCalendarAdvance(Calendar,M407,"1M","f",,Trigger)</f>
        <v>54609</v>
      </c>
      <c r="N408" s="344">
        <f>_xll.qlCalendarAdvance(Calendar,M408,"3M","f",,Trigger)</f>
        <v>54701</v>
      </c>
      <c r="O408" s="40" t="str">
        <f>_xll.qlMakeDatedOIS(,M408,N408,OvernightIndex,0,,,,EvaluationDate)</f>
        <v>obj_00985#0000</v>
      </c>
      <c r="P408" s="40" t="b">
        <f>_xll.qlInstrumentSetPricingEngine(O408,OisEngine)</f>
        <v>1</v>
      </c>
      <c r="Q408" s="38">
        <f>_xll.qlIndexFixing(Currency&amp;IborType&amp;"6M",_xll.qlInterestRateIndexFixingDate(Currency&amp;IborType&amp;"6M",M408),TRUE,AllTriggers)</f>
        <v>2.1194467647356476E-2</v>
      </c>
      <c r="R408" s="38">
        <f>_xll.qlOvernightIndexedSwapFairRate(O408,AllTriggers)</f>
        <v>2.0729617781331897E-2</v>
      </c>
      <c r="S408" s="345">
        <f t="shared" si="10"/>
        <v>4.6484986602457826E-4</v>
      </c>
    </row>
    <row r="409" spans="5:19" ht="11.25" customHeight="1" x14ac:dyDescent="0.2">
      <c r="E409" s="254"/>
      <c r="F409" s="254"/>
      <c r="G409" s="39"/>
      <c r="J409" s="39"/>
      <c r="K409" s="39"/>
      <c r="M409" s="346">
        <f>_xll.qlCalendarAdvance(Calendar,M408,"1M","f",,Trigger)</f>
        <v>54640</v>
      </c>
      <c r="N409" s="344">
        <f>_xll.qlCalendarAdvance(Calendar,M409,"3M","f",,Trigger)</f>
        <v>54732</v>
      </c>
      <c r="O409" s="40" t="str">
        <f>_xll.qlMakeDatedOIS(,M409,N409,OvernightIndex,0,,,,EvaluationDate)</f>
        <v>obj_00797#0000</v>
      </c>
      <c r="P409" s="40" t="b">
        <f>_xll.qlInstrumentSetPricingEngine(O409,OisEngine)</f>
        <v>1</v>
      </c>
      <c r="Q409" s="38">
        <f>_xll.qlIndexFixing(Currency&amp;IborType&amp;"6M",_xll.qlInterestRateIndexFixingDate(Currency&amp;IborType&amp;"6M",M409),TRUE,AllTriggers)</f>
        <v>2.1215529220625619E-2</v>
      </c>
      <c r="R409" s="38">
        <f>_xll.qlOvernightIndexedSwapFairRate(O409,AllTriggers)</f>
        <v>2.073012177822655E-2</v>
      </c>
      <c r="S409" s="345">
        <f t="shared" si="10"/>
        <v>4.8540744239906897E-4</v>
      </c>
    </row>
    <row r="410" spans="5:19" ht="11.25" customHeight="1" x14ac:dyDescent="0.2">
      <c r="E410" s="254"/>
      <c r="F410" s="254"/>
      <c r="G410" s="39"/>
      <c r="J410" s="39"/>
      <c r="K410" s="39"/>
      <c r="M410" s="346">
        <f>_xll.qlCalendarAdvance(Calendar,M409,"1M","f",,Trigger)</f>
        <v>54672</v>
      </c>
      <c r="N410" s="344">
        <f>_xll.qlCalendarAdvance(Calendar,M410,"3M","f",,Trigger)</f>
        <v>54763</v>
      </c>
      <c r="O410" s="40" t="str">
        <f>_xll.qlMakeDatedOIS(,M410,N410,OvernightIndex,0,,,,EvaluationDate)</f>
        <v>obj_00963#0000</v>
      </c>
      <c r="P410" s="40" t="b">
        <f>_xll.qlInstrumentSetPricingEngine(O410,OisEngine)</f>
        <v>1</v>
      </c>
      <c r="Q410" s="38">
        <f>_xll.qlIndexFixing(Currency&amp;IborType&amp;"6M",_xll.qlInterestRateIndexFixingDate(Currency&amp;IborType&amp;"6M",M410),TRUE,AllTriggers)</f>
        <v>2.1231174407698897E-2</v>
      </c>
      <c r="R410" s="38">
        <f>_xll.qlOvernightIndexedSwapFairRate(O410,AllTriggers)</f>
        <v>2.0729507377361629E-2</v>
      </c>
      <c r="S410" s="345">
        <f t="shared" si="10"/>
        <v>5.016670303372682E-4</v>
      </c>
    </row>
    <row r="411" spans="5:19" ht="11.25" customHeight="1" x14ac:dyDescent="0.2">
      <c r="E411" s="254"/>
      <c r="F411" s="254"/>
      <c r="G411" s="39"/>
      <c r="J411" s="39"/>
      <c r="K411" s="39"/>
      <c r="M411" s="346">
        <f>_xll.qlCalendarAdvance(Calendar,M410,"1M","f",,Trigger)</f>
        <v>54702</v>
      </c>
      <c r="N411" s="344">
        <f>_xll.qlCalendarAdvance(Calendar,M411,"3M","f",,Trigger)</f>
        <v>54794</v>
      </c>
      <c r="O411" s="40" t="str">
        <f>_xll.qlMakeDatedOIS(,M411,N411,OvernightIndex,0,,,,EvaluationDate)</f>
        <v>obj_0091a#0000</v>
      </c>
      <c r="P411" s="40" t="b">
        <f>_xll.qlInstrumentSetPricingEngine(O411,OisEngine)</f>
        <v>1</v>
      </c>
      <c r="Q411" s="38">
        <f>_xll.qlIndexFixing(Currency&amp;IborType&amp;"6M",_xll.qlInterestRateIndexFixingDate(Currency&amp;IborType&amp;"6M",M411),TRUE,AllTriggers)</f>
        <v>2.1248601772215221E-2</v>
      </c>
      <c r="R411" s="38">
        <f>_xll.qlOvernightIndexedSwapFairRate(O411,AllTriggers)</f>
        <v>2.0729563249541508E-2</v>
      </c>
      <c r="S411" s="345">
        <f t="shared" si="10"/>
        <v>5.1903852267371278E-4</v>
      </c>
    </row>
    <row r="412" spans="5:19" ht="11.25" customHeight="1" x14ac:dyDescent="0.2">
      <c r="E412" s="254"/>
      <c r="F412" s="254"/>
      <c r="G412" s="39"/>
      <c r="J412" s="39"/>
      <c r="K412" s="39"/>
      <c r="M412" s="346">
        <f>_xll.qlCalendarAdvance(Calendar,M411,"1M","f",,Trigger)</f>
        <v>54735</v>
      </c>
      <c r="N412" s="344">
        <f>_xll.qlCalendarAdvance(Calendar,M412,"3M","f",,Trigger)</f>
        <v>54827</v>
      </c>
      <c r="O412" s="40" t="str">
        <f>_xll.qlMakeDatedOIS(,M412,N412,OvernightIndex,0,,,,EvaluationDate)</f>
        <v>obj_008c8#0000</v>
      </c>
      <c r="P412" s="40" t="b">
        <f>_xll.qlInstrumentSetPricingEngine(O412,OisEngine)</f>
        <v>1</v>
      </c>
      <c r="Q412" s="38">
        <f>_xll.qlIndexFixing(Currency&amp;IborType&amp;"6M",_xll.qlInterestRateIndexFixingDate(Currency&amp;IborType&amp;"6M",M412),TRUE,AllTriggers)</f>
        <v>2.1266771241702426E-2</v>
      </c>
      <c r="R412" s="38">
        <f>_xll.qlOvernightIndexedSwapFairRate(O412,AllTriggers)</f>
        <v>2.0728414243122804E-2</v>
      </c>
      <c r="S412" s="345">
        <f t="shared" si="10"/>
        <v>5.3835699857962202E-4</v>
      </c>
    </row>
    <row r="413" spans="5:19" ht="11.25" customHeight="1" x14ac:dyDescent="0.2">
      <c r="E413" s="254"/>
      <c r="F413" s="254"/>
      <c r="G413" s="39"/>
      <c r="J413" s="39"/>
      <c r="K413" s="39"/>
      <c r="M413" s="346">
        <f>_xll.qlCalendarAdvance(Calendar,M412,"1M","f",,Trigger)</f>
        <v>54765</v>
      </c>
      <c r="N413" s="344">
        <f>_xll.qlCalendarAdvance(Calendar,M413,"3M","f",,Trigger)</f>
        <v>54855</v>
      </c>
      <c r="O413" s="40" t="str">
        <f>_xll.qlMakeDatedOIS(,M413,N413,OvernightIndex,0,,,,EvaluationDate)</f>
        <v>obj_0079c#0000</v>
      </c>
      <c r="P413" s="40" t="b">
        <f>_xll.qlInstrumentSetPricingEngine(O413,OisEngine)</f>
        <v>1</v>
      </c>
      <c r="Q413" s="38">
        <f>_xll.qlIndexFixing(Currency&amp;IborType&amp;"6M",_xll.qlInterestRateIndexFixingDate(Currency&amp;IborType&amp;"6M",M413),TRUE,AllTriggers)</f>
        <v>2.1282247076559554E-2</v>
      </c>
      <c r="R413" s="38">
        <f>_xll.qlOvernightIndexedSwapFairRate(O413,AllTriggers)</f>
        <v>2.0725733065117602E-2</v>
      </c>
      <c r="S413" s="345">
        <f t="shared" si="10"/>
        <v>5.5651401144195256E-4</v>
      </c>
    </row>
    <row r="414" spans="5:19" ht="11.25" customHeight="1" x14ac:dyDescent="0.2">
      <c r="E414" s="254"/>
      <c r="F414" s="254"/>
      <c r="G414" s="39"/>
      <c r="J414" s="39"/>
      <c r="K414" s="39"/>
      <c r="M414" s="346">
        <f>_xll.qlCalendarAdvance(Calendar,M413,"1M","f",,Trigger)</f>
        <v>54798</v>
      </c>
      <c r="N414" s="344">
        <f>_xll.qlCalendarAdvance(Calendar,M414,"3M","f",,Trigger)</f>
        <v>54890</v>
      </c>
      <c r="O414" s="40" t="str">
        <f>_xll.qlMakeDatedOIS(,M414,N414,OvernightIndex,0,,,,EvaluationDate)</f>
        <v>obj_00875#0000</v>
      </c>
      <c r="P414" s="40" t="b">
        <f>_xll.qlInstrumentSetPricingEngine(O414,OisEngine)</f>
        <v>1</v>
      </c>
      <c r="Q414" s="38">
        <f>_xll.qlIndexFixing(Currency&amp;IborType&amp;"6M",_xll.qlInterestRateIndexFixingDate(Currency&amp;IborType&amp;"6M",M414),TRUE,AllTriggers)</f>
        <v>2.1298110380737052E-2</v>
      </c>
      <c r="R414" s="38">
        <f>_xll.qlOvernightIndexedSwapFairRate(O414,AllTriggers)</f>
        <v>2.0724577551215147E-2</v>
      </c>
      <c r="S414" s="345">
        <f t="shared" si="10"/>
        <v>5.7353282952190415E-4</v>
      </c>
    </row>
    <row r="415" spans="5:19" ht="11.25" customHeight="1" x14ac:dyDescent="0.2">
      <c r="E415" s="254"/>
      <c r="F415" s="254"/>
      <c r="G415" s="39"/>
      <c r="J415" s="39"/>
      <c r="K415" s="39"/>
      <c r="M415" s="346">
        <f>_xll.qlCalendarAdvance(Calendar,M414,"1M","f",,Trigger)</f>
        <v>54829</v>
      </c>
      <c r="N415" s="344">
        <f>_xll.qlCalendarAdvance(Calendar,M415,"3M","f",,Trigger)</f>
        <v>54918</v>
      </c>
      <c r="O415" s="40" t="str">
        <f>_xll.qlMakeDatedOIS(,M415,N415,OvernightIndex,0,,,,EvaluationDate)</f>
        <v>obj_009f1#0000</v>
      </c>
      <c r="P415" s="40" t="b">
        <f>_xll.qlInstrumentSetPricingEngine(O415,OisEngine)</f>
        <v>1</v>
      </c>
      <c r="Q415" s="38">
        <f>_xll.qlIndexFixing(Currency&amp;IborType&amp;"6M",_xll.qlInterestRateIndexFixingDate(Currency&amp;IborType&amp;"6M",M415),TRUE,AllTriggers)</f>
        <v>2.1311079488618257E-2</v>
      </c>
      <c r="R415" s="38">
        <f>_xll.qlOvernightIndexedSwapFairRate(O415,AllTriggers)</f>
        <v>2.07202660186704E-2</v>
      </c>
      <c r="S415" s="345">
        <f t="shared" si="10"/>
        <v>5.9081346994785747E-4</v>
      </c>
    </row>
    <row r="416" spans="5:19" ht="11.25" customHeight="1" x14ac:dyDescent="0.2">
      <c r="E416" s="254"/>
      <c r="F416" s="254"/>
      <c r="G416" s="39"/>
      <c r="J416" s="39"/>
      <c r="K416" s="39"/>
      <c r="M416" s="346">
        <f>_xll.qlCalendarAdvance(Calendar,M415,"1M","f",,Trigger)</f>
        <v>54857</v>
      </c>
      <c r="N416" s="344">
        <f>_xll.qlCalendarAdvance(Calendar,M416,"3M","f",,Trigger)</f>
        <v>54949</v>
      </c>
      <c r="O416" s="40" t="str">
        <f>_xll.qlMakeDatedOIS(,M416,N416,OvernightIndex,0,,,,EvaluationDate)</f>
        <v>obj_009bc#0000</v>
      </c>
      <c r="P416" s="40" t="b">
        <f>_xll.qlInstrumentSetPricingEngine(O416,OisEngine)</f>
        <v>1</v>
      </c>
      <c r="Q416" s="38">
        <f>_xll.qlIndexFixing(Currency&amp;IborType&amp;"6M",_xll.qlInterestRateIndexFixingDate(Currency&amp;IborType&amp;"6M",M416),TRUE,AllTriggers)</f>
        <v>2.1326682635698653E-2</v>
      </c>
      <c r="R416" s="38">
        <f>_xll.qlOvernightIndexedSwapFairRate(O416,AllTriggers)</f>
        <v>2.0719028894982408E-2</v>
      </c>
      <c r="S416" s="345">
        <f t="shared" si="10"/>
        <v>6.0765374071624495E-4</v>
      </c>
    </row>
    <row r="417" spans="5:19" ht="11.25" customHeight="1" x14ac:dyDescent="0.2">
      <c r="E417" s="254"/>
      <c r="F417" s="254"/>
      <c r="G417" s="39"/>
      <c r="J417" s="39"/>
      <c r="K417" s="39"/>
      <c r="M417" s="346">
        <f>_xll.qlCalendarAdvance(Calendar,M416,"1M","f",,Trigger)</f>
        <v>54890</v>
      </c>
      <c r="N417" s="344">
        <f>_xll.qlCalendarAdvance(Calendar,M417,"3M","f",,Trigger)</f>
        <v>54981</v>
      </c>
      <c r="O417" s="40" t="str">
        <f>_xll.qlMakeDatedOIS(,M417,N417,OvernightIndex,0,,,,EvaluationDate)</f>
        <v>obj_007a0#0000</v>
      </c>
      <c r="P417" s="40" t="b">
        <f>_xll.qlInstrumentSetPricingEngine(O417,OisEngine)</f>
        <v>1</v>
      </c>
      <c r="Q417" s="38">
        <f>_xll.qlIndexFixing(Currency&amp;IborType&amp;"6M",_xll.qlInterestRateIndexFixingDate(Currency&amp;IborType&amp;"6M",M417),TRUE,AllTriggers)</f>
        <v>2.1336710645048853E-2</v>
      </c>
      <c r="R417" s="38">
        <f>_xll.qlOvernightIndexedSwapFairRate(O417,AllTriggers)</f>
        <v>2.0714573727592535E-2</v>
      </c>
      <c r="S417" s="345">
        <f t="shared" si="10"/>
        <v>6.2213691745631808E-4</v>
      </c>
    </row>
    <row r="418" spans="5:19" ht="11.25" customHeight="1" x14ac:dyDescent="0.2">
      <c r="E418" s="254"/>
      <c r="F418" s="254"/>
      <c r="G418" s="39"/>
      <c r="J418" s="39"/>
      <c r="K418" s="39"/>
      <c r="M418" s="346">
        <f>_xll.qlCalendarAdvance(Calendar,M417,"1M","f",,Trigger)</f>
        <v>54920</v>
      </c>
      <c r="N418" s="344">
        <f>_xll.qlCalendarAdvance(Calendar,M418,"3M","f",,Trigger)</f>
        <v>55012</v>
      </c>
      <c r="O418" s="40" t="str">
        <f>_xll.qlMakeDatedOIS(,M418,N418,OvernightIndex,0,,,,EvaluationDate)</f>
        <v>obj_007a2#0000</v>
      </c>
      <c r="P418" s="40" t="b">
        <f>_xll.qlInstrumentSetPricingEngine(O418,OisEngine)</f>
        <v>1</v>
      </c>
      <c r="Q418" s="38">
        <f>_xll.qlIndexFixing(Currency&amp;IborType&amp;"6M",_xll.qlInterestRateIndexFixingDate(Currency&amp;IborType&amp;"6M",M418),TRUE,AllTriggers)</f>
        <v>2.1349308306402956E-2</v>
      </c>
      <c r="R418" s="38">
        <f>_xll.qlOvernightIndexedSwapFairRate(O418,AllTriggers)</f>
        <v>2.0711015923493462E-2</v>
      </c>
      <c r="S418" s="345">
        <f t="shared" si="10"/>
        <v>6.3829238290949442E-4</v>
      </c>
    </row>
    <row r="419" spans="5:19" ht="11.25" customHeight="1" x14ac:dyDescent="0.2">
      <c r="E419" s="254"/>
      <c r="F419" s="254"/>
      <c r="G419" s="39"/>
      <c r="J419" s="39"/>
      <c r="K419" s="39"/>
      <c r="M419" s="346">
        <f>_xll.qlCalendarAdvance(Calendar,M418,"1M","f",,Trigger)</f>
        <v>54952</v>
      </c>
      <c r="N419" s="344">
        <f>_xll.qlCalendarAdvance(Calendar,M419,"3M","f",,Trigger)</f>
        <v>55044</v>
      </c>
      <c r="O419" s="40" t="str">
        <f>_xll.qlMakeDatedOIS(,M419,N419,OvernightIndex,0,,,,EvaluationDate)</f>
        <v>obj_007a4#0000</v>
      </c>
      <c r="P419" s="40" t="b">
        <f>_xll.qlInstrumentSetPricingEngine(O419,OisEngine)</f>
        <v>1</v>
      </c>
      <c r="Q419" s="38">
        <f>_xll.qlIndexFixing(Currency&amp;IborType&amp;"6M",_xll.qlInterestRateIndexFixingDate(Currency&amp;IborType&amp;"6M",M419),TRUE,AllTriggers)</f>
        <v>2.1356827915426042E-2</v>
      </c>
      <c r="R419" s="38">
        <f>_xll.qlOvernightIndexedSwapFairRate(O419,AllTriggers)</f>
        <v>2.0706119938465634E-2</v>
      </c>
      <c r="S419" s="345">
        <f t="shared" si="10"/>
        <v>6.5070797696040877E-4</v>
      </c>
    </row>
    <row r="420" spans="5:19" ht="11.25" customHeight="1" x14ac:dyDescent="0.2">
      <c r="E420" s="254"/>
      <c r="F420" s="254"/>
      <c r="G420" s="39"/>
      <c r="J420" s="39"/>
      <c r="K420" s="39"/>
      <c r="M420" s="346">
        <f>_xll.qlCalendarAdvance(Calendar,M419,"1M","f",,Trigger)</f>
        <v>54982</v>
      </c>
      <c r="N420" s="344">
        <f>_xll.qlCalendarAdvance(Calendar,M420,"3M","f",,Trigger)</f>
        <v>55074</v>
      </c>
      <c r="O420" s="40" t="str">
        <f>_xll.qlMakeDatedOIS(,M420,N420,OvernightIndex,0,,,,EvaluationDate)</f>
        <v>obj_00984#0000</v>
      </c>
      <c r="P420" s="40" t="b">
        <f>_xll.qlInstrumentSetPricingEngine(O420,OisEngine)</f>
        <v>1</v>
      </c>
      <c r="Q420" s="38">
        <f>_xll.qlIndexFixing(Currency&amp;IborType&amp;"6M",_xll.qlInterestRateIndexFixingDate(Currency&amp;IborType&amp;"6M",M420),TRUE,AllTriggers)</f>
        <v>2.1365764399600046E-2</v>
      </c>
      <c r="R420" s="38">
        <f>_xll.qlOvernightIndexedSwapFairRate(O420,AllTriggers)</f>
        <v>2.0701024631878544E-2</v>
      </c>
      <c r="S420" s="345">
        <f t="shared" si="10"/>
        <v>6.6473976772150195E-4</v>
      </c>
    </row>
    <row r="421" spans="5:19" ht="11.25" customHeight="1" x14ac:dyDescent="0.2">
      <c r="E421" s="254"/>
      <c r="F421" s="254"/>
      <c r="G421" s="39"/>
      <c r="J421" s="39"/>
      <c r="K421" s="39"/>
      <c r="M421" s="346">
        <f>_xll.qlCalendarAdvance(Calendar,M420,"1M","f",,Trigger)</f>
        <v>55015</v>
      </c>
      <c r="N421" s="344">
        <f>_xll.qlCalendarAdvance(Calendar,M421,"3M","f",,Trigger)</f>
        <v>55107</v>
      </c>
      <c r="O421" s="40" t="str">
        <f>_xll.qlMakeDatedOIS(,M421,N421,OvernightIndex,0,,,,EvaluationDate)</f>
        <v>obj_00962#0000</v>
      </c>
      <c r="P421" s="40" t="b">
        <f>_xll.qlInstrumentSetPricingEngine(O421,OisEngine)</f>
        <v>1</v>
      </c>
      <c r="Q421" s="38">
        <f>_xll.qlIndexFixing(Currency&amp;IborType&amp;"6M",_xll.qlInterestRateIndexFixingDate(Currency&amp;IborType&amp;"6M",M421),TRUE,AllTriggers)</f>
        <v>2.1373599285429291E-2</v>
      </c>
      <c r="R421" s="38">
        <f>_xll.qlOvernightIndexedSwapFairRate(O421,AllTriggers)</f>
        <v>2.0694854978899602E-2</v>
      </c>
      <c r="S421" s="345">
        <f t="shared" si="10"/>
        <v>6.7874430652968901E-4</v>
      </c>
    </row>
    <row r="422" spans="5:19" ht="11.25" customHeight="1" x14ac:dyDescent="0.2">
      <c r="E422" s="254"/>
      <c r="F422" s="254"/>
      <c r="G422" s="39"/>
      <c r="J422" s="39"/>
      <c r="K422" s="39"/>
      <c r="M422" s="346">
        <f>_xll.qlCalendarAdvance(Calendar,M421,"1M","f",,Trigger)</f>
        <v>55046</v>
      </c>
      <c r="N422" s="344">
        <f>_xll.qlCalendarAdvance(Calendar,M422,"3M","f",,Trigger)</f>
        <v>55137</v>
      </c>
      <c r="O422" s="40" t="str">
        <f>_xll.qlMakeDatedOIS(,M422,N422,OvernightIndex,0,,,,EvaluationDate)</f>
        <v>obj_00919#0000</v>
      </c>
      <c r="P422" s="40" t="b">
        <f>_xll.qlInstrumentSetPricingEngine(O422,OisEngine)</f>
        <v>1</v>
      </c>
      <c r="Q422" s="38">
        <f>_xll.qlIndexFixing(Currency&amp;IborType&amp;"6M",_xll.qlInterestRateIndexFixingDate(Currency&amp;IborType&amp;"6M",M422),TRUE,AllTriggers)</f>
        <v>2.1377727508129496E-2</v>
      </c>
      <c r="R422" s="38">
        <f>_xll.qlOvernightIndexedSwapFairRate(O422,AllTriggers)</f>
        <v>2.0688037284412545E-2</v>
      </c>
      <c r="S422" s="345">
        <f t="shared" si="10"/>
        <v>6.8969022371695096E-4</v>
      </c>
    </row>
    <row r="423" spans="5:19" ht="11.25" customHeight="1" x14ac:dyDescent="0.2">
      <c r="E423" s="254"/>
      <c r="F423" s="254"/>
      <c r="G423" s="39"/>
      <c r="J423" s="39"/>
      <c r="K423" s="39"/>
      <c r="M423" s="346">
        <f>_xll.qlCalendarAdvance(Calendar,M422,"1M","f",,Trigger)</f>
        <v>55078</v>
      </c>
      <c r="N423" s="344">
        <f>_xll.qlCalendarAdvance(Calendar,M423,"3M","f",,Trigger)</f>
        <v>55170</v>
      </c>
      <c r="O423" s="40" t="str">
        <f>_xll.qlMakeDatedOIS(,M423,N423,OvernightIndex,0,,,,EvaluationDate)</f>
        <v>obj_007a8#0000</v>
      </c>
      <c r="P423" s="40" t="b">
        <f>_xll.qlInstrumentSetPricingEngine(O423,OisEngine)</f>
        <v>1</v>
      </c>
      <c r="Q423" s="38">
        <f>_xll.qlIndexFixing(Currency&amp;IborType&amp;"6M",_xll.qlInterestRateIndexFixingDate(Currency&amp;IborType&amp;"6M",M423),TRUE,AllTriggers)</f>
        <v>2.1383800189050256E-2</v>
      </c>
      <c r="R423" s="38">
        <f>_xll.qlOvernightIndexedSwapFairRate(O423,AllTriggers)</f>
        <v>2.0681433460245743E-2</v>
      </c>
      <c r="S423" s="345">
        <f t="shared" si="10"/>
        <v>7.0236672880451267E-4</v>
      </c>
    </row>
    <row r="424" spans="5:19" ht="11.25" customHeight="1" x14ac:dyDescent="0.2">
      <c r="E424" s="254"/>
      <c r="F424" s="254"/>
      <c r="G424" s="39"/>
      <c r="J424" s="39"/>
      <c r="K424" s="39"/>
      <c r="M424" s="346">
        <f>_xll.qlCalendarAdvance(Calendar,M423,"1M","f",,Trigger)</f>
        <v>55109</v>
      </c>
      <c r="N424" s="344">
        <f>_xll.qlCalendarAdvance(Calendar,M424,"3M","f",,Trigger)</f>
        <v>55201</v>
      </c>
      <c r="O424" s="40" t="str">
        <f>_xll.qlMakeDatedOIS(,M424,N424,OvernightIndex,0,,,,EvaluationDate)</f>
        <v>obj_00874#0000</v>
      </c>
      <c r="P424" s="40" t="b">
        <f>_xll.qlInstrumentSetPricingEngine(O424,OisEngine)</f>
        <v>1</v>
      </c>
      <c r="Q424" s="38">
        <f>_xll.qlIndexFixing(Currency&amp;IborType&amp;"6M",_xll.qlInterestRateIndexFixingDate(Currency&amp;IborType&amp;"6M",M424),TRUE,AllTriggers)</f>
        <v>2.138723289867268E-2</v>
      </c>
      <c r="R424" s="38">
        <f>_xll.qlOvernightIndexedSwapFairRate(O424,AllTriggers)</f>
        <v>2.0674037565475218E-2</v>
      </c>
      <c r="S424" s="345">
        <f t="shared" si="10"/>
        <v>7.1319533319746248E-4</v>
      </c>
    </row>
    <row r="425" spans="5:19" ht="11.25" customHeight="1" x14ac:dyDescent="0.2">
      <c r="E425" s="254"/>
      <c r="F425" s="254"/>
      <c r="G425" s="39"/>
      <c r="J425" s="39"/>
      <c r="K425" s="39"/>
      <c r="M425" s="346">
        <f>_xll.qlCalendarAdvance(Calendar,M424,"1M","f",,Trigger)</f>
        <v>55141</v>
      </c>
      <c r="N425" s="344">
        <f>_xll.qlCalendarAdvance(Calendar,M425,"3M","f",,Trigger)</f>
        <v>55232</v>
      </c>
      <c r="O425" s="40" t="str">
        <f>_xll.qlMakeDatedOIS(,M425,N425,OvernightIndex,0,,,,EvaluationDate)</f>
        <v>obj_007ab#0000</v>
      </c>
      <c r="P425" s="40" t="b">
        <f>_xll.qlInstrumentSetPricingEngine(O425,OisEngine)</f>
        <v>1</v>
      </c>
      <c r="Q425" s="38">
        <f>_xll.qlIndexFixing(Currency&amp;IborType&amp;"6M",_xll.qlInterestRateIndexFixingDate(Currency&amp;IborType&amp;"6M",M425),TRUE,AllTriggers)</f>
        <v>2.1391020714311471E-2</v>
      </c>
      <c r="R425" s="38">
        <f>_xll.qlOvernightIndexedSwapFairRate(O425,AllTriggers)</f>
        <v>2.0665399554409908E-2</v>
      </c>
      <c r="S425" s="345">
        <f t="shared" si="10"/>
        <v>7.2562115990156342E-4</v>
      </c>
    </row>
    <row r="426" spans="5:19" ht="11.25" customHeight="1" x14ac:dyDescent="0.2">
      <c r="E426" s="254"/>
      <c r="F426" s="254"/>
      <c r="G426" s="39"/>
      <c r="J426" s="39"/>
      <c r="K426" s="39"/>
      <c r="M426" s="346">
        <f>_xll.qlCalendarAdvance(Calendar,M425,"1M","f",,Trigger)</f>
        <v>55172</v>
      </c>
      <c r="N426" s="344">
        <f>_xll.qlCalendarAdvance(Calendar,M426,"3M","f",,Trigger)</f>
        <v>55262</v>
      </c>
      <c r="O426" s="40" t="str">
        <f>_xll.qlMakeDatedOIS(,M426,N426,OvernightIndex,0,,,,EvaluationDate)</f>
        <v>obj_00a0e#0000</v>
      </c>
      <c r="P426" s="40" t="b">
        <f>_xll.qlInstrumentSetPricingEngine(O426,OisEngine)</f>
        <v>1</v>
      </c>
      <c r="Q426" s="38">
        <f>_xll.qlIndexFixing(Currency&amp;IborType&amp;"6M",_xll.qlInterestRateIndexFixingDate(Currency&amp;IborType&amp;"6M",M426),TRUE,AllTriggers)</f>
        <v>2.1392308327185066E-2</v>
      </c>
      <c r="R426" s="38">
        <f>_xll.qlOvernightIndexedSwapFairRate(O426,AllTriggers)</f>
        <v>2.0656504301099332E-2</v>
      </c>
      <c r="S426" s="345">
        <f t="shared" si="10"/>
        <v>7.3580402608573389E-4</v>
      </c>
    </row>
    <row r="427" spans="5:19" ht="11.25" customHeight="1" x14ac:dyDescent="0.2">
      <c r="E427" s="254"/>
      <c r="F427" s="254"/>
      <c r="G427" s="39"/>
      <c r="J427" s="39"/>
      <c r="K427" s="39"/>
      <c r="M427" s="346">
        <f>_xll.qlCalendarAdvance(Calendar,M426,"1M","f",,Trigger)</f>
        <v>55204</v>
      </c>
      <c r="N427" s="344">
        <f>_xll.qlCalendarAdvance(Calendar,M427,"3M","f",,Trigger)</f>
        <v>55295</v>
      </c>
      <c r="O427" s="40" t="str">
        <f>_xll.qlMakeDatedOIS(,M427,N427,OvernightIndex,0,,,,EvaluationDate)</f>
        <v>obj_007ae#0000</v>
      </c>
      <c r="P427" s="40" t="b">
        <f>_xll.qlInstrumentSetPricingEngine(O427,OisEngine)</f>
        <v>1</v>
      </c>
      <c r="Q427" s="38">
        <f>_xll.qlIndexFixing(Currency&amp;IborType&amp;"6M",_xll.qlInterestRateIndexFixingDate(Currency&amp;IborType&amp;"6M",M427),TRUE,AllTriggers)</f>
        <v>2.1393810994871483E-2</v>
      </c>
      <c r="R427" s="38">
        <f>_xll.qlOvernightIndexedSwapFairRate(O427,AllTriggers)</f>
        <v>2.0647683116335084E-2</v>
      </c>
      <c r="S427" s="345">
        <f t="shared" si="10"/>
        <v>7.4612787853639909E-4</v>
      </c>
    </row>
    <row r="428" spans="5:19" ht="11.25" customHeight="1" x14ac:dyDescent="0.2">
      <c r="E428" s="254"/>
      <c r="F428" s="254"/>
      <c r="G428" s="39"/>
      <c r="J428" s="39"/>
      <c r="K428" s="39"/>
      <c r="M428" s="346">
        <f>_xll.qlCalendarAdvance(Calendar,M427,"1M","f",,Trigger)</f>
        <v>55232</v>
      </c>
      <c r="N428" s="344">
        <f>_xll.qlCalendarAdvance(Calendar,M428,"3M","f",,Trigger)</f>
        <v>55324</v>
      </c>
      <c r="O428" s="40" t="str">
        <f>_xll.qlMakeDatedOIS(,M428,N428,OvernightIndex,0,,,,EvaluationDate)</f>
        <v>obj_009f0#0000</v>
      </c>
      <c r="P428" s="40" t="b">
        <f>_xll.qlInstrumentSetPricingEngine(O428,OisEngine)</f>
        <v>1</v>
      </c>
      <c r="Q428" s="38">
        <f>_xll.qlIndexFixing(Currency&amp;IborType&amp;"6M",_xll.qlInterestRateIndexFixingDate(Currency&amp;IborType&amp;"6M",M428),TRUE,AllTriggers)</f>
        <v>2.1394839170503947E-2</v>
      </c>
      <c r="R428" s="38">
        <f>_xll.qlOvernightIndexedSwapFairRate(O428,AllTriggers)</f>
        <v>2.0639546601689297E-2</v>
      </c>
      <c r="S428" s="345">
        <f t="shared" si="10"/>
        <v>7.5529256881464932E-4</v>
      </c>
    </row>
    <row r="429" spans="5:19" ht="11.25" customHeight="1" x14ac:dyDescent="0.2">
      <c r="E429" s="254"/>
      <c r="F429" s="254"/>
      <c r="G429" s="39"/>
      <c r="J429" s="39"/>
      <c r="K429" s="39"/>
      <c r="M429" s="346">
        <f>_xll.qlCalendarAdvance(Calendar,M428,"1M","f",,Trigger)</f>
        <v>55263</v>
      </c>
      <c r="N429" s="344">
        <f>_xll.qlCalendarAdvance(Calendar,M429,"3M","f",,Trigger)</f>
        <v>55354</v>
      </c>
      <c r="O429" s="40" t="str">
        <f>_xll.qlMakeDatedOIS(,M429,N429,OvernightIndex,0,,,,EvaluationDate)</f>
        <v>obj_007b1#0000</v>
      </c>
      <c r="P429" s="40" t="b">
        <f>_xll.qlInstrumentSetPricingEngine(O429,OisEngine)</f>
        <v>1</v>
      </c>
      <c r="Q429" s="38">
        <f>_xll.qlIndexFixing(Currency&amp;IborType&amp;"6M",_xll.qlInterestRateIndexFixingDate(Currency&amp;IborType&amp;"6M",M429),TRUE,AllTriggers)</f>
        <v>2.1392994707545007E-2</v>
      </c>
      <c r="R429" s="38">
        <f>_xll.qlOvernightIndexedSwapFairRate(O429,AllTriggers)</f>
        <v>2.0629136192000283E-2</v>
      </c>
      <c r="S429" s="345">
        <f t="shared" si="10"/>
        <v>7.6385851554472417E-4</v>
      </c>
    </row>
    <row r="430" spans="5:19" ht="11.25" customHeight="1" x14ac:dyDescent="0.2">
      <c r="E430" s="254"/>
      <c r="F430" s="254"/>
      <c r="G430" s="39"/>
      <c r="J430" s="39"/>
      <c r="K430" s="39"/>
      <c r="M430" s="346">
        <f>_xll.qlCalendarAdvance(Calendar,M429,"1M","f",,Trigger)</f>
        <v>55295</v>
      </c>
      <c r="N430" s="344">
        <f>_xll.qlCalendarAdvance(Calendar,M430,"3M","f",,Trigger)</f>
        <v>55387</v>
      </c>
      <c r="O430" s="40" t="str">
        <f>_xll.qlMakeDatedOIS(,M430,N430,OvernightIndex,0,,,,EvaluationDate)</f>
        <v>obj_007b3#0000</v>
      </c>
      <c r="P430" s="40" t="b">
        <f>_xll.qlInstrumentSetPricingEngine(O430,OisEngine)</f>
        <v>1</v>
      </c>
      <c r="Q430" s="38">
        <f>_xll.qlIndexFixing(Currency&amp;IborType&amp;"6M",_xll.qlInterestRateIndexFixingDate(Currency&amp;IborType&amp;"6M",M430),TRUE,AllTriggers)</f>
        <v>2.1391159427297718E-2</v>
      </c>
      <c r="R430" s="38">
        <f>_xll.qlOvernightIndexedSwapFairRate(O430,AllTriggers)</f>
        <v>2.0618697126153693E-2</v>
      </c>
      <c r="S430" s="345">
        <f t="shared" si="10"/>
        <v>7.7246230114402445E-4</v>
      </c>
    </row>
    <row r="431" spans="5:19" ht="11.25" customHeight="1" x14ac:dyDescent="0.2">
      <c r="E431" s="254"/>
      <c r="F431" s="254"/>
      <c r="G431" s="39"/>
      <c r="J431" s="39"/>
      <c r="K431" s="39"/>
      <c r="M431" s="346">
        <f>_xll.qlCalendarAdvance(Calendar,M430,"1M","f",,Trigger)</f>
        <v>55326</v>
      </c>
      <c r="N431" s="344">
        <f>_xll.qlCalendarAdvance(Calendar,M431,"3M","f",,Trigger)</f>
        <v>55418</v>
      </c>
      <c r="O431" s="40" t="str">
        <f>_xll.qlMakeDatedOIS(,M431,N431,OvernightIndex,0,,,,EvaluationDate)</f>
        <v>obj_009bb#0000</v>
      </c>
      <c r="P431" s="40" t="b">
        <f>_xll.qlInstrumentSetPricingEngine(O431,OisEngine)</f>
        <v>1</v>
      </c>
      <c r="Q431" s="38">
        <f>_xll.qlIndexFixing(Currency&amp;IborType&amp;"6M",_xll.qlInterestRateIndexFixingDate(Currency&amp;IborType&amp;"6M",M431),TRUE,AllTriggers)</f>
        <v>2.138717025271138E-2</v>
      </c>
      <c r="R431" s="38">
        <f>_xll.qlOvernightIndexedSwapFairRate(O431,AllTriggers)</f>
        <v>2.0607646242097152E-2</v>
      </c>
      <c r="S431" s="345">
        <f t="shared" si="10"/>
        <v>7.7952401061422844E-4</v>
      </c>
    </row>
    <row r="432" spans="5:19" ht="11.25" customHeight="1" x14ac:dyDescent="0.2">
      <c r="E432" s="254"/>
      <c r="F432" s="254"/>
      <c r="G432" s="39"/>
      <c r="J432" s="39"/>
      <c r="K432" s="39"/>
      <c r="M432" s="346">
        <f>_xll.qlCalendarAdvance(Calendar,M431,"1M","f",,Trigger)</f>
        <v>55358</v>
      </c>
      <c r="N432" s="344">
        <f>_xll.qlCalendarAdvance(Calendar,M432,"3M","f",,Trigger)</f>
        <v>55450</v>
      </c>
      <c r="O432" s="40" t="str">
        <f>_xll.qlMakeDatedOIS(,M432,N432,OvernightIndex,0,,,,EvaluationDate)</f>
        <v>obj_00983#0000</v>
      </c>
      <c r="P432" s="40" t="b">
        <f>_xll.qlInstrumentSetPricingEngine(O432,OisEngine)</f>
        <v>1</v>
      </c>
      <c r="Q432" s="38">
        <f>_xll.qlIndexFixing(Currency&amp;IborType&amp;"6M",_xll.qlInterestRateIndexFixingDate(Currency&amp;IborType&amp;"6M",M432),TRUE,AllTriggers)</f>
        <v>2.1383048923293232E-2</v>
      </c>
      <c r="R432" s="38">
        <f>_xll.qlOvernightIndexedSwapFairRate(O432,AllTriggers)</f>
        <v>2.0595691216784843E-2</v>
      </c>
      <c r="S432" s="345">
        <f t="shared" si="10"/>
        <v>7.8735770650838893E-4</v>
      </c>
    </row>
    <row r="433" spans="5:19" ht="11.25" customHeight="1" x14ac:dyDescent="0.2">
      <c r="E433" s="254"/>
      <c r="F433" s="254"/>
      <c r="G433" s="39"/>
      <c r="J433" s="39"/>
      <c r="K433" s="39"/>
      <c r="M433" s="346">
        <f>_xll.qlCalendarAdvance(Calendar,M432,"1M","f",,Trigger)</f>
        <v>55389</v>
      </c>
      <c r="N433" s="344">
        <f>_xll.qlCalendarAdvance(Calendar,M433,"3M","f",,Trigger)</f>
        <v>55481</v>
      </c>
      <c r="O433" s="40" t="str">
        <f>_xll.qlMakeDatedOIS(,M433,N433,OvernightIndex,0,,,,EvaluationDate)</f>
        <v>obj_007b7#0000</v>
      </c>
      <c r="P433" s="40" t="b">
        <f>_xll.qlInstrumentSetPricingEngine(O433,OisEngine)</f>
        <v>1</v>
      </c>
      <c r="Q433" s="38">
        <f>_xll.qlIndexFixing(Currency&amp;IborType&amp;"6M",_xll.qlInterestRateIndexFixingDate(Currency&amp;IborType&amp;"6M",M433),TRUE,AllTriggers)</f>
        <v>2.1378462911806805E-2</v>
      </c>
      <c r="R433" s="38">
        <f>_xll.qlOvernightIndexedSwapFairRate(O433,AllTriggers)</f>
        <v>2.0583579244036608E-2</v>
      </c>
      <c r="S433" s="345">
        <f t="shared" si="10"/>
        <v>7.9488366777019648E-4</v>
      </c>
    </row>
    <row r="434" spans="5:19" ht="11.25" customHeight="1" x14ac:dyDescent="0.2">
      <c r="E434" s="254"/>
      <c r="F434" s="254"/>
      <c r="G434" s="39"/>
      <c r="J434" s="39"/>
      <c r="K434" s="39"/>
      <c r="M434" s="346">
        <f>_xll.qlCalendarAdvance(Calendar,M433,"1M","f",,Trigger)</f>
        <v>55421</v>
      </c>
      <c r="N434" s="344">
        <f>_xll.qlCalendarAdvance(Calendar,M434,"3M","f",,Trigger)</f>
        <v>55514</v>
      </c>
      <c r="O434" s="40" t="str">
        <f>_xll.qlMakeDatedOIS(,M434,N434,OvernightIndex,0,,,,EvaluationDate)</f>
        <v>obj_007b9#0000</v>
      </c>
      <c r="P434" s="40" t="b">
        <f>_xll.qlInstrumentSetPricingEngine(O434,OisEngine)</f>
        <v>1</v>
      </c>
      <c r="Q434" s="38">
        <f>_xll.qlIndexFixing(Currency&amp;IborType&amp;"6M",_xll.qlInterestRateIndexFixingDate(Currency&amp;IborType&amp;"6M",M434),TRUE,AllTriggers)</f>
        <v>2.1369511438603675E-2</v>
      </c>
      <c r="R434" s="38">
        <f>_xll.qlOvernightIndexedSwapFairRate(O434,AllTriggers)</f>
        <v>2.0570903072977369E-2</v>
      </c>
      <c r="S434" s="345">
        <f t="shared" si="10"/>
        <v>7.9860836562630627E-4</v>
      </c>
    </row>
    <row r="435" spans="5:19" ht="11.25" customHeight="1" x14ac:dyDescent="0.2">
      <c r="E435" s="254"/>
      <c r="F435" s="254"/>
      <c r="G435" s="39"/>
      <c r="J435" s="39"/>
      <c r="K435" s="39"/>
      <c r="M435" s="346">
        <f>_xll.qlCalendarAdvance(Calendar,M434,"1M","f",,Trigger)</f>
        <v>55451</v>
      </c>
      <c r="N435" s="344">
        <f>_xll.qlCalendarAdvance(Calendar,M435,"3M","f",,Trigger)</f>
        <v>55543</v>
      </c>
      <c r="O435" s="40" t="str">
        <f>_xll.qlMakeDatedOIS(,M435,N435,OvernightIndex,0,,,,EvaluationDate)</f>
        <v>obj_00918#0000</v>
      </c>
      <c r="P435" s="40" t="b">
        <f>_xll.qlInstrumentSetPricingEngine(O435,OisEngine)</f>
        <v>1</v>
      </c>
      <c r="Q435" s="38">
        <f>_xll.qlIndexFixing(Currency&amp;IborType&amp;"6M",_xll.qlInterestRateIndexFixingDate(Currency&amp;IborType&amp;"6M",M435),TRUE,AllTriggers)</f>
        <v>2.1362497685898176E-2</v>
      </c>
      <c r="R435" s="38">
        <f>_xll.qlOvernightIndexedSwapFairRate(O435,AllTriggers)</f>
        <v>2.0557788956161741E-2</v>
      </c>
      <c r="S435" s="345">
        <f t="shared" si="10"/>
        <v>8.0470872973643567E-4</v>
      </c>
    </row>
    <row r="436" spans="5:19" ht="11.25" customHeight="1" x14ac:dyDescent="0.2">
      <c r="E436" s="254"/>
      <c r="F436" s="254"/>
      <c r="G436" s="39"/>
      <c r="J436" s="39"/>
      <c r="K436" s="39"/>
      <c r="M436" s="346">
        <f>_xll.qlCalendarAdvance(Calendar,M435,"1M","f",,Trigger)</f>
        <v>55484</v>
      </c>
      <c r="N436" s="344">
        <f>_xll.qlCalendarAdvance(Calendar,M436,"3M","f",,Trigger)</f>
        <v>55576</v>
      </c>
      <c r="O436" s="40" t="str">
        <f>_xll.qlMakeDatedOIS(,M436,N436,OvernightIndex,0,,,,EvaluationDate)</f>
        <v>obj_008c6#0000</v>
      </c>
      <c r="P436" s="40" t="b">
        <f>_xll.qlInstrumentSetPricingEngine(O436,OisEngine)</f>
        <v>1</v>
      </c>
      <c r="Q436" s="38">
        <f>_xll.qlIndexFixing(Currency&amp;IborType&amp;"6M",_xll.qlInterestRateIndexFixingDate(Currency&amp;IborType&amp;"6M",M436),TRUE,AllTriggers)</f>
        <v>2.1352611927398742E-2</v>
      </c>
      <c r="R436" s="38">
        <f>_xll.qlOvernightIndexedSwapFairRate(O436,AllTriggers)</f>
        <v>2.0543210251448736E-2</v>
      </c>
      <c r="S436" s="345">
        <f t="shared" si="10"/>
        <v>8.0940167595000556E-4</v>
      </c>
    </row>
    <row r="437" spans="5:19" ht="11.25" customHeight="1" x14ac:dyDescent="0.2">
      <c r="E437" s="254"/>
      <c r="F437" s="254"/>
      <c r="G437" s="39"/>
      <c r="J437" s="39"/>
      <c r="K437" s="39"/>
      <c r="M437" s="346">
        <f>_xll.qlCalendarAdvance(Calendar,M436,"1M","f",,Trigger)</f>
        <v>55514</v>
      </c>
      <c r="N437" s="344">
        <f>_xll.qlCalendarAdvance(Calendar,M437,"3M","f",,Trigger)</f>
        <v>55605</v>
      </c>
      <c r="O437" s="40" t="str">
        <f>_xll.qlMakeDatedOIS(,M437,N437,OvernightIndex,0,,,,EvaluationDate)</f>
        <v>obj_007bc#0000</v>
      </c>
      <c r="P437" s="40" t="b">
        <f>_xll.qlInstrumentSetPricingEngine(O437,OisEngine)</f>
        <v>1</v>
      </c>
      <c r="Q437" s="38">
        <f>_xll.qlIndexFixing(Currency&amp;IborType&amp;"6M",_xll.qlInterestRateIndexFixingDate(Currency&amp;IborType&amp;"6M",M437),TRUE,AllTriggers)</f>
        <v>2.1343452358075377E-2</v>
      </c>
      <c r="R437" s="38">
        <f>_xll.qlOvernightIndexedSwapFairRate(O437,AllTriggers)</f>
        <v>2.0529096732324979E-2</v>
      </c>
      <c r="S437" s="345">
        <f t="shared" si="10"/>
        <v>8.1435562575039866E-4</v>
      </c>
    </row>
    <row r="438" spans="5:19" ht="11.25" customHeight="1" x14ac:dyDescent="0.2">
      <c r="E438" s="254"/>
      <c r="F438" s="254"/>
      <c r="G438" s="39"/>
      <c r="J438" s="39"/>
      <c r="K438" s="39"/>
      <c r="M438" s="346">
        <f>_xll.qlCalendarAdvance(Calendar,M437,"1M","f",,Trigger)</f>
        <v>55547</v>
      </c>
      <c r="N438" s="344">
        <f>_xll.qlCalendarAdvance(Calendar,M438,"3M","f",,Trigger)</f>
        <v>55638</v>
      </c>
      <c r="O438" s="40" t="str">
        <f>_xll.qlMakeDatedOIS(,M438,N438,OvernightIndex,0,,,,EvaluationDate)</f>
        <v>obj_00873#0000</v>
      </c>
      <c r="P438" s="40" t="b">
        <f>_xll.qlInstrumentSetPricingEngine(O438,OisEngine)</f>
        <v>1</v>
      </c>
      <c r="Q438" s="38">
        <f>_xll.qlIndexFixing(Currency&amp;IborType&amp;"6M",_xll.qlInterestRateIndexFixingDate(Currency&amp;IborType&amp;"6M",M438),TRUE,AllTriggers)</f>
        <v>2.1331282426807058E-2</v>
      </c>
      <c r="R438" s="38">
        <f>_xll.qlOvernightIndexedSwapFairRate(O438,AllTriggers)</f>
        <v>2.0513398394545388E-2</v>
      </c>
      <c r="S438" s="345">
        <f t="shared" si="10"/>
        <v>8.1788403226167039E-4</v>
      </c>
    </row>
    <row r="439" spans="5:19" ht="11.25" customHeight="1" x14ac:dyDescent="0.2">
      <c r="E439" s="254"/>
      <c r="F439" s="254"/>
      <c r="G439" s="39"/>
      <c r="J439" s="39"/>
      <c r="K439" s="39"/>
      <c r="M439" s="346">
        <f>_xll.qlCalendarAdvance(Calendar,M438,"1M","f",,Trigger)</f>
        <v>55578</v>
      </c>
      <c r="N439" s="344">
        <f>_xll.qlCalendarAdvance(Calendar,M439,"3M","f",,Trigger)</f>
        <v>55668</v>
      </c>
      <c r="O439" s="40" t="str">
        <f>_xll.qlMakeDatedOIS(,M439,N439,OvernightIndex,0,,,,EvaluationDate)</f>
        <v>obj_009ef#0000</v>
      </c>
      <c r="P439" s="40" t="b">
        <f>_xll.qlInstrumentSetPricingEngine(O439,OisEngine)</f>
        <v>1</v>
      </c>
      <c r="Q439" s="38">
        <f>_xll.qlIndexFixing(Currency&amp;IborType&amp;"6M",_xll.qlInterestRateIndexFixingDate(Currency&amp;IborType&amp;"6M",M439),TRUE,AllTriggers)</f>
        <v>2.1319568501232511E-2</v>
      </c>
      <c r="R439" s="38">
        <f>_xll.qlOvernightIndexedSwapFairRate(O439,AllTriggers)</f>
        <v>2.0497784785352025E-2</v>
      </c>
      <c r="S439" s="345">
        <f t="shared" si="10"/>
        <v>8.2178371588048638E-4</v>
      </c>
    </row>
    <row r="440" spans="5:19" ht="11.25" customHeight="1" x14ac:dyDescent="0.2">
      <c r="E440" s="254"/>
      <c r="F440" s="254"/>
      <c r="G440" s="39"/>
      <c r="J440" s="39"/>
      <c r="K440" s="39"/>
      <c r="M440" s="346">
        <f>_xll.qlCalendarAdvance(Calendar,M439,"1M","f",,Trigger)</f>
        <v>55607</v>
      </c>
      <c r="N440" s="344">
        <f>_xll.qlCalendarAdvance(Calendar,M440,"3M","f",,Trigger)</f>
        <v>55701</v>
      </c>
      <c r="O440" s="40" t="str">
        <f>_xll.qlMakeDatedOIS(,M440,N440,OvernightIndex,0,,,,EvaluationDate)</f>
        <v>obj_00982#0000</v>
      </c>
      <c r="P440" s="40" t="b">
        <f>_xll.qlInstrumentSetPricingEngine(O440,OisEngine)</f>
        <v>1</v>
      </c>
      <c r="Q440" s="38">
        <f>_xll.qlIndexFixing(Currency&amp;IborType&amp;"6M",_xll.qlInterestRateIndexFixingDate(Currency&amp;IborType&amp;"6M",M440),TRUE,AllTriggers)</f>
        <v>2.1308021492156541E-2</v>
      </c>
      <c r="R440" s="38">
        <f>_xll.qlOvernightIndexedSwapFairRate(O440,AllTriggers)</f>
        <v>2.0484296391395825E-2</v>
      </c>
      <c r="S440" s="345">
        <f t="shared" si="10"/>
        <v>8.2372510076071659E-4</v>
      </c>
    </row>
    <row r="441" spans="5:19" ht="11.25" customHeight="1" x14ac:dyDescent="0.2">
      <c r="E441" s="254"/>
      <c r="F441" s="254"/>
      <c r="G441" s="39"/>
      <c r="J441" s="39"/>
      <c r="K441" s="39"/>
      <c r="M441" s="346">
        <f>_xll.qlCalendarAdvance(Calendar,M440,"1M","f",,Trigger)</f>
        <v>55638</v>
      </c>
      <c r="N441" s="344">
        <f>_xll.qlCalendarAdvance(Calendar,M441,"3M","f",,Trigger)</f>
        <v>55729</v>
      </c>
      <c r="O441" s="40" t="str">
        <f>_xll.qlMakeDatedOIS(,M441,N441,OvernightIndex,0,,,,EvaluationDate)</f>
        <v>obj_00960#0000</v>
      </c>
      <c r="P441" s="40" t="b">
        <f>_xll.qlInstrumentSetPricingEngine(O441,OisEngine)</f>
        <v>1</v>
      </c>
      <c r="Q441" s="38">
        <f>_xll.qlIndexFixing(Currency&amp;IborType&amp;"6M",_xll.qlInterestRateIndexFixingDate(Currency&amp;IborType&amp;"6M",M441),TRUE,AllTriggers)</f>
        <v>2.1293025280175338E-2</v>
      </c>
      <c r="R441" s="38">
        <f>_xll.qlOvernightIndexedSwapFairRate(O441,AllTriggers)</f>
        <v>2.0467044069303841E-2</v>
      </c>
      <c r="S441" s="345">
        <f t="shared" si="10"/>
        <v>8.2598121087149728E-4</v>
      </c>
    </row>
    <row r="442" spans="5:19" ht="11.25" customHeight="1" x14ac:dyDescent="0.2">
      <c r="E442" s="254"/>
      <c r="F442" s="254"/>
      <c r="G442" s="39"/>
      <c r="J442" s="39"/>
      <c r="K442" s="39"/>
      <c r="M442" s="346">
        <f>_xll.qlCalendarAdvance(Calendar,M441,"1M","f",,Trigger)</f>
        <v>55668</v>
      </c>
      <c r="N442" s="344">
        <f>_xll.qlCalendarAdvance(Calendar,M442,"3M","f",,Trigger)</f>
        <v>55760</v>
      </c>
      <c r="O442" s="40" t="str">
        <f>_xll.qlMakeDatedOIS(,M442,N442,OvernightIndex,0,,,,EvaluationDate)</f>
        <v>obj_00917#0000</v>
      </c>
      <c r="P442" s="40" t="b">
        <f>_xll.qlInstrumentSetPricingEngine(O442,OisEngine)</f>
        <v>1</v>
      </c>
      <c r="Q442" s="38">
        <f>_xll.qlIndexFixing(Currency&amp;IborType&amp;"6M",_xll.qlInterestRateIndexFixingDate(Currency&amp;IborType&amp;"6M",M442),TRUE,AllTriggers)</f>
        <v>2.1278601602326301E-2</v>
      </c>
      <c r="R442" s="38">
        <f>_xll.qlOvernightIndexedSwapFairRate(O442,AllTriggers)</f>
        <v>2.0451076925538478E-2</v>
      </c>
      <c r="S442" s="345">
        <f t="shared" si="10"/>
        <v>8.2752467678782332E-4</v>
      </c>
    </row>
    <row r="443" spans="5:19" ht="11.25" customHeight="1" x14ac:dyDescent="0.2">
      <c r="E443" s="254"/>
      <c r="F443" s="254"/>
      <c r="G443" s="39"/>
      <c r="J443" s="39"/>
      <c r="K443" s="39"/>
      <c r="M443" s="346">
        <f>_xll.qlCalendarAdvance(Calendar,M442,"1M","f",,Trigger)</f>
        <v>55701</v>
      </c>
      <c r="N443" s="344">
        <f>_xll.qlCalendarAdvance(Calendar,M443,"3M","f",,Trigger)</f>
        <v>55793</v>
      </c>
      <c r="O443" s="40" t="str">
        <f>_xll.qlMakeDatedOIS(,M443,N443,OvernightIndex,0,,,,EvaluationDate)</f>
        <v>obj_008c5#0000</v>
      </c>
      <c r="P443" s="40" t="b">
        <f>_xll.qlInstrumentSetPricingEngine(O443,OisEngine)</f>
        <v>1</v>
      </c>
      <c r="Q443" s="38">
        <f>_xll.qlIndexFixing(Currency&amp;IborType&amp;"6M",_xll.qlInterestRateIndexFixingDate(Currency&amp;IborType&amp;"6M",M443),TRUE,AllTriggers)</f>
        <v>2.1261500654504811E-2</v>
      </c>
      <c r="R443" s="38">
        <f>_xll.qlOvernightIndexedSwapFairRate(O443,AllTriggers)</f>
        <v>2.0432607868732824E-2</v>
      </c>
      <c r="S443" s="345">
        <f t="shared" si="10"/>
        <v>8.2889278577198688E-4</v>
      </c>
    </row>
    <row r="444" spans="5:19" ht="11.25" customHeight="1" x14ac:dyDescent="0.2">
      <c r="E444" s="254"/>
      <c r="F444" s="254"/>
      <c r="G444" s="39"/>
      <c r="J444" s="39"/>
      <c r="K444" s="39"/>
      <c r="M444" s="346">
        <f>_xll.qlCalendarAdvance(Calendar,M443,"1M","f",,Trigger)</f>
        <v>55732</v>
      </c>
      <c r="N444" s="344">
        <f>_xll.qlCalendarAdvance(Calendar,M444,"3M","f",,Trigger)</f>
        <v>55824</v>
      </c>
      <c r="O444" s="40" t="str">
        <f>_xll.qlMakeDatedOIS(,M444,N444,OvernightIndex,0,,,,EvaluationDate)</f>
        <v>obj_00872#0000</v>
      </c>
      <c r="P444" s="40" t="b">
        <f>_xll.qlInstrumentSetPricingEngine(O444,OisEngine)</f>
        <v>1</v>
      </c>
      <c r="Q444" s="38">
        <f>_xll.qlIndexFixing(Currency&amp;IborType&amp;"6M",_xll.qlInterestRateIndexFixingDate(Currency&amp;IborType&amp;"6M",M444),TRUE,AllTriggers)</f>
        <v>2.1244312190941174E-2</v>
      </c>
      <c r="R444" s="38">
        <f>_xll.qlOvernightIndexedSwapFairRate(O444,AllTriggers)</f>
        <v>2.0414719252362018E-2</v>
      </c>
      <c r="S444" s="345">
        <f t="shared" si="10"/>
        <v>8.2959293857915589E-4</v>
      </c>
    </row>
    <row r="445" spans="5:19" ht="11.25" customHeight="1" x14ac:dyDescent="0.2">
      <c r="E445" s="254"/>
      <c r="F445" s="254"/>
      <c r="G445" s="39"/>
      <c r="J445" s="39"/>
      <c r="K445" s="39"/>
      <c r="M445" s="346">
        <f>_xll.qlCalendarAdvance(Calendar,M444,"1M","f",,Trigger)</f>
        <v>55764</v>
      </c>
      <c r="N445" s="344">
        <f>_xll.qlCalendarAdvance(Calendar,M445,"3M","f",,Trigger)</f>
        <v>55855</v>
      </c>
      <c r="O445" s="40" t="str">
        <f>_xll.qlMakeDatedOIS(,M445,N445,OvernightIndex,0,,,,EvaluationDate)</f>
        <v>obj_007c3#0000</v>
      </c>
      <c r="P445" s="40" t="b">
        <f>_xll.qlInstrumentSetPricingEngine(O445,OisEngine)</f>
        <v>1</v>
      </c>
      <c r="Q445" s="38">
        <f>_xll.qlIndexFixing(Currency&amp;IborType&amp;"6M",_xll.qlInterestRateIndexFixingDate(Currency&amp;IborType&amp;"6M",M445),TRUE,AllTriggers)</f>
        <v>2.1223907805729962E-2</v>
      </c>
      <c r="R445" s="38">
        <f>_xll.qlOvernightIndexedSwapFairRate(O445,AllTriggers)</f>
        <v>2.0395434744193332E-2</v>
      </c>
      <c r="S445" s="345">
        <f t="shared" si="10"/>
        <v>8.2847306153662967E-4</v>
      </c>
    </row>
    <row r="446" spans="5:19" ht="11.25" customHeight="1" x14ac:dyDescent="0.2">
      <c r="E446" s="254"/>
      <c r="F446" s="254"/>
      <c r="G446" s="39"/>
      <c r="J446" s="39"/>
      <c r="K446" s="39"/>
      <c r="M446" s="346">
        <f>_xll.qlCalendarAdvance(Calendar,M445,"1M","f",,Trigger)</f>
        <v>55794</v>
      </c>
      <c r="N446" s="344">
        <f>_xll.qlCalendarAdvance(Calendar,M446,"3M","f",,Trigger)</f>
        <v>55886</v>
      </c>
      <c r="O446" s="40" t="str">
        <f>_xll.qlMakeDatedOIS(,M446,N446,OvernightIndex,0,,,,EvaluationDate)</f>
        <v>obj_00a0c#0000</v>
      </c>
      <c r="P446" s="40" t="b">
        <f>_xll.qlInstrumentSetPricingEngine(O446,OisEngine)</f>
        <v>1</v>
      </c>
      <c r="Q446" s="38">
        <f>_xll.qlIndexFixing(Currency&amp;IborType&amp;"6M",_xll.qlInterestRateIndexFixingDate(Currency&amp;IborType&amp;"6M",M446),TRUE,AllTriggers)</f>
        <v>2.1204928643658128E-2</v>
      </c>
      <c r="R446" s="38">
        <f>_xll.qlOvernightIndexedSwapFairRate(O446,AllTriggers)</f>
        <v>2.0377375881259669E-2</v>
      </c>
      <c r="S446" s="345">
        <f t="shared" si="10"/>
        <v>8.275527623984591E-4</v>
      </c>
    </row>
    <row r="447" spans="5:19" ht="11.25" customHeight="1" x14ac:dyDescent="0.2">
      <c r="E447" s="254"/>
      <c r="F447" s="254"/>
      <c r="G447" s="39"/>
      <c r="J447" s="39"/>
      <c r="K447" s="39"/>
      <c r="M447" s="346">
        <f>_xll.qlCalendarAdvance(Calendar,M446,"1M","f",,Trigger)</f>
        <v>55827</v>
      </c>
      <c r="N447" s="344">
        <f>_xll.qlCalendarAdvance(Calendar,M447,"3M","f",,Trigger)</f>
        <v>55919</v>
      </c>
      <c r="O447" s="40" t="str">
        <f>_xll.qlMakeDatedOIS(,M447,N447,OvernightIndex,0,,,,EvaluationDate)</f>
        <v>obj_009ee#0000</v>
      </c>
      <c r="P447" s="40" t="b">
        <f>_xll.qlInstrumentSetPricingEngine(O447,OisEngine)</f>
        <v>1</v>
      </c>
      <c r="Q447" s="38">
        <f>_xll.qlIndexFixing(Currency&amp;IborType&amp;"6M",_xll.qlInterestRateIndexFixingDate(Currency&amp;IborType&amp;"6M",M447),TRUE,AllTriggers)</f>
        <v>2.1182891587815132E-2</v>
      </c>
      <c r="R447" s="38">
        <f>_xll.qlOvernightIndexedSwapFairRate(O447,AllTriggers)</f>
        <v>2.0356648070841168E-2</v>
      </c>
      <c r="S447" s="345">
        <f t="shared" si="10"/>
        <v>8.2624351697396445E-4</v>
      </c>
    </row>
    <row r="448" spans="5:19" ht="11.25" customHeight="1" x14ac:dyDescent="0.2">
      <c r="E448" s="254"/>
      <c r="F448" s="254"/>
      <c r="G448" s="39"/>
      <c r="J448" s="39"/>
      <c r="K448" s="39"/>
      <c r="M448" s="346">
        <f>_xll.qlCalendarAdvance(Calendar,M447,"1M","f",,Trigger)</f>
        <v>55857</v>
      </c>
      <c r="N448" s="344">
        <f>_xll.qlCalendarAdvance(Calendar,M448,"3M","f",,Trigger)</f>
        <v>55947</v>
      </c>
      <c r="O448" s="40" t="str">
        <f>_xll.qlMakeDatedOIS(,M448,N448,OvernightIndex,0,,,,EvaluationDate)</f>
        <v>obj_009b9#0000</v>
      </c>
      <c r="P448" s="40" t="b">
        <f>_xll.qlInstrumentSetPricingEngine(O448,OisEngine)</f>
        <v>1</v>
      </c>
      <c r="Q448" s="38">
        <f>_xll.qlIndexFixing(Currency&amp;IborType&amp;"6M",_xll.qlInterestRateIndexFixingDate(Currency&amp;IborType&amp;"6M",M448),TRUE,AllTriggers)</f>
        <v>2.1161803408389579E-2</v>
      </c>
      <c r="R448" s="38">
        <f>_xll.qlOvernightIndexedSwapFairRate(O448,AllTriggers)</f>
        <v>2.0336805665706947E-2</v>
      </c>
      <c r="S448" s="345">
        <f t="shared" si="10"/>
        <v>8.249977426826316E-4</v>
      </c>
    </row>
    <row r="449" spans="5:19" ht="11.25" customHeight="1" x14ac:dyDescent="0.2">
      <c r="E449" s="254"/>
      <c r="F449" s="254"/>
      <c r="G449" s="39"/>
      <c r="J449" s="39"/>
      <c r="K449" s="39"/>
      <c r="M449" s="346">
        <f>_xll.qlCalendarAdvance(Calendar,M448,"1M","f",,Trigger)</f>
        <v>55890</v>
      </c>
      <c r="N449" s="344">
        <f>_xll.qlCalendarAdvance(Calendar,M449,"3M","f",,Trigger)</f>
        <v>55982</v>
      </c>
      <c r="O449" s="40" t="str">
        <f>_xll.qlMakeDatedOIS(,M449,N449,OvernightIndex,0,,,,EvaluationDate)</f>
        <v>obj_007c8#0000</v>
      </c>
      <c r="P449" s="40" t="b">
        <f>_xll.qlInstrumentSetPricingEngine(O449,OisEngine)</f>
        <v>1</v>
      </c>
      <c r="Q449" s="38">
        <f>_xll.qlIndexFixing(Currency&amp;IborType&amp;"6M",_xll.qlInterestRateIndexFixingDate(Currency&amp;IborType&amp;"6M",M449),TRUE,AllTriggers)</f>
        <v>2.1137446508654654E-2</v>
      </c>
      <c r="R449" s="38">
        <f>_xll.qlOvernightIndexedSwapFairRate(O449,AllTriggers)</f>
        <v>2.031543413548971E-2</v>
      </c>
      <c r="S449" s="345">
        <f t="shared" si="10"/>
        <v>8.2201237316494383E-4</v>
      </c>
    </row>
    <row r="450" spans="5:19" ht="11.25" customHeight="1" x14ac:dyDescent="0.2">
      <c r="E450" s="254"/>
      <c r="F450" s="254"/>
      <c r="G450" s="39"/>
      <c r="J450" s="39"/>
      <c r="K450" s="39"/>
      <c r="M450" s="346">
        <f>_xll.qlCalendarAdvance(Calendar,M449,"1M","f",,Trigger)</f>
        <v>55921</v>
      </c>
      <c r="N450" s="344">
        <f>_xll.qlCalendarAdvance(Calendar,M450,"3M","f",,Trigger)</f>
        <v>56010</v>
      </c>
      <c r="O450" s="40" t="str">
        <f>_xll.qlMakeDatedOIS(,M450,N450,OvernightIndex,0,,,,EvaluationDate)</f>
        <v>obj_007ca#0000</v>
      </c>
      <c r="P450" s="40" t="b">
        <f>_xll.qlInstrumentSetPricingEngine(O450,OisEngine)</f>
        <v>1</v>
      </c>
      <c r="Q450" s="38">
        <f>_xll.qlIndexFixing(Currency&amp;IborType&amp;"6M",_xll.qlInterestRateIndexFixingDate(Currency&amp;IborType&amp;"6M",M450),TRUE,AllTriggers)</f>
        <v>2.1113254250022601E-2</v>
      </c>
      <c r="R450" s="38">
        <f>_xll.qlOvernightIndexedSwapFairRate(O450,AllTriggers)</f>
        <v>2.0293693506253513E-2</v>
      </c>
      <c r="S450" s="345">
        <f t="shared" si="10"/>
        <v>8.1956074376908841E-4</v>
      </c>
    </row>
    <row r="451" spans="5:19" ht="11.25" customHeight="1" x14ac:dyDescent="0.2">
      <c r="E451" s="254"/>
      <c r="F451" s="254"/>
      <c r="G451" s="39"/>
      <c r="J451" s="39"/>
      <c r="K451" s="39"/>
      <c r="M451" s="346">
        <f>_xll.qlCalendarAdvance(Calendar,M450,"1M","f",,Trigger)</f>
        <v>55949</v>
      </c>
      <c r="N451" s="344">
        <f>_xll.qlCalendarAdvance(Calendar,M451,"3M","f",,Trigger)</f>
        <v>56041</v>
      </c>
      <c r="O451" s="40" t="str">
        <f>_xll.qlMakeDatedOIS(,M451,N451,OvernightIndex,0,,,,EvaluationDate)</f>
        <v>obj_00981#0000</v>
      </c>
      <c r="P451" s="40" t="b">
        <f>_xll.qlInstrumentSetPricingEngine(O451,OisEngine)</f>
        <v>1</v>
      </c>
      <c r="Q451" s="38">
        <f>_xll.qlIndexFixing(Currency&amp;IborType&amp;"6M",_xll.qlInterestRateIndexFixingDate(Currency&amp;IborType&amp;"6M",M451),TRUE,AllTriggers)</f>
        <v>2.1091618073264359E-2</v>
      </c>
      <c r="R451" s="38">
        <f>_xll.qlOvernightIndexedSwapFairRate(O451,AllTriggers)</f>
        <v>2.0274882003108934E-2</v>
      </c>
      <c r="S451" s="345">
        <f t="shared" ref="S451:S514" si="11">Q451-R451</f>
        <v>8.1673607015542507E-4</v>
      </c>
    </row>
    <row r="452" spans="5:19" ht="11.25" customHeight="1" x14ac:dyDescent="0.2">
      <c r="E452" s="254"/>
      <c r="F452" s="254"/>
      <c r="G452" s="39"/>
      <c r="J452" s="39"/>
      <c r="K452" s="39"/>
      <c r="M452" s="346">
        <f>_xll.qlCalendarAdvance(Calendar,M451,"1M","f",,Trigger)</f>
        <v>55982</v>
      </c>
      <c r="N452" s="344">
        <f>_xll.qlCalendarAdvance(Calendar,M452,"3M","f",,Trigger)</f>
        <v>56073</v>
      </c>
      <c r="O452" s="40" t="str">
        <f>_xll.qlMakeDatedOIS(,M452,N452,OvernightIndex,0,,,,EvaluationDate)</f>
        <v>obj_0095f#0000</v>
      </c>
      <c r="P452" s="40" t="b">
        <f>_xll.qlInstrumentSetPricingEngine(O452,OisEngine)</f>
        <v>1</v>
      </c>
      <c r="Q452" s="38">
        <f>_xll.qlIndexFixing(Currency&amp;IborType&amp;"6M",_xll.qlInterestRateIndexFixingDate(Currency&amp;IborType&amp;"6M",M452),TRUE,AllTriggers)</f>
        <v>2.1063294107072868E-2</v>
      </c>
      <c r="R452" s="38">
        <f>_xll.qlOvernightIndexedSwapFairRate(O452,AllTriggers)</f>
        <v>2.0251171828642275E-2</v>
      </c>
      <c r="S452" s="345">
        <f t="shared" si="11"/>
        <v>8.1212227843059301E-4</v>
      </c>
    </row>
    <row r="453" spans="5:19" ht="11.25" customHeight="1" x14ac:dyDescent="0.2">
      <c r="E453" s="254"/>
      <c r="F453" s="254"/>
      <c r="G453" s="39"/>
      <c r="J453" s="39"/>
      <c r="K453" s="39"/>
      <c r="M453" s="346">
        <f>_xll.qlCalendarAdvance(Calendar,M452,"1M","f",,Trigger)</f>
        <v>56012</v>
      </c>
      <c r="N453" s="344">
        <f>_xll.qlCalendarAdvance(Calendar,M453,"3M","f",,Trigger)</f>
        <v>56104</v>
      </c>
      <c r="O453" s="40" t="str">
        <f>_xll.qlMakeDatedOIS(,M453,N453,OvernightIndex,0,,,,EvaluationDate)</f>
        <v>obj_007ce#0000</v>
      </c>
      <c r="P453" s="40" t="b">
        <f>_xll.qlInstrumentSetPricingEngine(O453,OisEngine)</f>
        <v>1</v>
      </c>
      <c r="Q453" s="38">
        <f>_xll.qlIndexFixing(Currency&amp;IborType&amp;"6M",_xll.qlInterestRateIndexFixingDate(Currency&amp;IborType&amp;"6M",M453),TRUE,AllTriggers)</f>
        <v>2.1037444172906431E-2</v>
      </c>
      <c r="R453" s="38">
        <f>_xll.qlOvernightIndexedSwapFairRate(O453,AllTriggers)</f>
        <v>2.0229493146971873E-2</v>
      </c>
      <c r="S453" s="345">
        <f t="shared" si="11"/>
        <v>8.0795102593455778E-4</v>
      </c>
    </row>
    <row r="454" spans="5:19" ht="11.25" customHeight="1" x14ac:dyDescent="0.2">
      <c r="E454" s="254"/>
      <c r="F454" s="254"/>
      <c r="G454" s="39"/>
      <c r="J454" s="39"/>
      <c r="K454" s="39"/>
      <c r="M454" s="346">
        <f>_xll.qlCalendarAdvance(Calendar,M453,"1M","f",,Trigger)</f>
        <v>56044</v>
      </c>
      <c r="N454" s="344">
        <f>_xll.qlCalendarAdvance(Calendar,M454,"3M","f",,Trigger)</f>
        <v>56136</v>
      </c>
      <c r="O454" s="40" t="str">
        <f>_xll.qlMakeDatedOIS(,M454,N454,OvernightIndex,0,,,,EvaluationDate)</f>
        <v>obj_007d0#0000</v>
      </c>
      <c r="P454" s="40" t="b">
        <f>_xll.qlInstrumentSetPricingEngine(O454,OisEngine)</f>
        <v>1</v>
      </c>
      <c r="Q454" s="38">
        <f>_xll.qlIndexFixing(Currency&amp;IborType&amp;"6M",_xll.qlInterestRateIndexFixingDate(Currency&amp;IborType&amp;"6M",M454),TRUE,AllTriggers)</f>
        <v>2.1007845035216837E-2</v>
      </c>
      <c r="R454" s="38">
        <f>_xll.qlOvernightIndexedSwapFairRate(O454,AllTriggers)</f>
        <v>2.0205612885034419E-2</v>
      </c>
      <c r="S454" s="345">
        <f t="shared" si="11"/>
        <v>8.0223215018241853E-4</v>
      </c>
    </row>
    <row r="455" spans="5:19" ht="11.25" customHeight="1" x14ac:dyDescent="0.2">
      <c r="E455" s="254"/>
      <c r="F455" s="254"/>
      <c r="G455" s="39"/>
      <c r="J455" s="39"/>
      <c r="K455" s="39"/>
      <c r="M455" s="346">
        <f>_xll.qlCalendarAdvance(Calendar,M454,"1M","f",,Trigger)</f>
        <v>56074</v>
      </c>
      <c r="N455" s="344">
        <f>_xll.qlCalendarAdvance(Calendar,M455,"3M","f",,Trigger)</f>
        <v>56166</v>
      </c>
      <c r="O455" s="40" t="str">
        <f>_xll.qlMakeDatedOIS(,M455,N455,OvernightIndex,0,,,,EvaluationDate)</f>
        <v>obj_00916#0000</v>
      </c>
      <c r="P455" s="40" t="b">
        <f>_xll.qlInstrumentSetPricingEngine(O455,OisEngine)</f>
        <v>1</v>
      </c>
      <c r="Q455" s="38">
        <f>_xll.qlIndexFixing(Currency&amp;IborType&amp;"6M",_xll.qlInterestRateIndexFixingDate(Currency&amp;IborType&amp;"6M",M455),TRUE,AllTriggers)</f>
        <v>2.0979585966501894E-2</v>
      </c>
      <c r="R455" s="38">
        <f>_xll.qlOvernightIndexedSwapFairRate(O455,AllTriggers)</f>
        <v>2.0182720011569677E-2</v>
      </c>
      <c r="S455" s="345">
        <f t="shared" si="11"/>
        <v>7.968659549322174E-4</v>
      </c>
    </row>
    <row r="456" spans="5:19" ht="11.25" customHeight="1" x14ac:dyDescent="0.2">
      <c r="E456" s="254"/>
      <c r="F456" s="254"/>
      <c r="G456" s="39"/>
      <c r="J456" s="39"/>
      <c r="K456" s="39"/>
      <c r="M456" s="346">
        <f>_xll.qlCalendarAdvance(Calendar,M455,"1M","f",,Trigger)</f>
        <v>56107</v>
      </c>
      <c r="N456" s="344">
        <f>_xll.qlCalendarAdvance(Calendar,M456,"3M","f",,Trigger)</f>
        <v>56199</v>
      </c>
      <c r="O456" s="40" t="str">
        <f>_xll.qlMakeDatedOIS(,M456,N456,OvernightIndex,0,,,,EvaluationDate)</f>
        <v>obj_008c4#0000</v>
      </c>
      <c r="P456" s="40" t="b">
        <f>_xll.qlInstrumentSetPricingEngine(O456,OisEngine)</f>
        <v>1</v>
      </c>
      <c r="Q456" s="38">
        <f>_xll.qlIndexFixing(Currency&amp;IborType&amp;"6M",_xll.qlInterestRateIndexFixingDate(Currency&amp;IborType&amp;"6M",M456),TRUE,AllTriggers)</f>
        <v>2.0947199266325423E-2</v>
      </c>
      <c r="R456" s="38">
        <f>_xll.qlOvernightIndexedSwapFairRate(O456,AllTriggers)</f>
        <v>2.0156973258529678E-2</v>
      </c>
      <c r="S456" s="345">
        <f t="shared" si="11"/>
        <v>7.9022600779574473E-4</v>
      </c>
    </row>
    <row r="457" spans="5:19" ht="11.25" customHeight="1" x14ac:dyDescent="0.2">
      <c r="E457" s="254"/>
      <c r="F457" s="254"/>
      <c r="G457" s="39"/>
      <c r="J457" s="39"/>
      <c r="K457" s="39"/>
      <c r="M457" s="346">
        <f>_xll.qlCalendarAdvance(Calendar,M456,"1M","f",,Trigger)</f>
        <v>56138</v>
      </c>
      <c r="N457" s="344">
        <f>_xll.qlCalendarAdvance(Calendar,M457,"3M","f",,Trigger)</f>
        <v>56229</v>
      </c>
      <c r="O457" s="40" t="str">
        <f>_xll.qlMakeDatedOIS(,M457,N457,OvernightIndex,0,,,,EvaluationDate)</f>
        <v>obj_007d3#0000</v>
      </c>
      <c r="P457" s="40" t="b">
        <f>_xll.qlInstrumentSetPricingEngine(O457,OisEngine)</f>
        <v>1</v>
      </c>
      <c r="Q457" s="38">
        <f>_xll.qlIndexFixing(Currency&amp;IborType&amp;"6M",_xll.qlInterestRateIndexFixingDate(Currency&amp;IborType&amp;"6M",M457),TRUE,AllTriggers)</f>
        <v>2.0915453519944154E-2</v>
      </c>
      <c r="R457" s="38">
        <f>_xll.qlOvernightIndexedSwapFairRate(O457,AllTriggers)</f>
        <v>2.0132093231563626E-2</v>
      </c>
      <c r="S457" s="345">
        <f t="shared" si="11"/>
        <v>7.833602883805281E-4</v>
      </c>
    </row>
    <row r="458" spans="5:19" ht="11.25" customHeight="1" x14ac:dyDescent="0.2">
      <c r="E458" s="254"/>
      <c r="F458" s="254"/>
      <c r="G458" s="39"/>
      <c r="J458" s="39"/>
      <c r="K458" s="39"/>
      <c r="M458" s="346">
        <f>_xll.qlCalendarAdvance(Calendar,M457,"1M","f",,Trigger)</f>
        <v>56170</v>
      </c>
      <c r="N458" s="344">
        <f>_xll.qlCalendarAdvance(Calendar,M458,"3M","f",,Trigger)</f>
        <v>56262</v>
      </c>
      <c r="O458" s="40" t="str">
        <f>_xll.qlMakeDatedOIS(,M458,N458,OvernightIndex,0,,,,EvaluationDate)</f>
        <v>obj_00a0b#0000</v>
      </c>
      <c r="P458" s="40" t="b">
        <f>_xll.qlInstrumentSetPricingEngine(O458,OisEngine)</f>
        <v>1</v>
      </c>
      <c r="Q458" s="38">
        <f>_xll.qlIndexFixing(Currency&amp;IborType&amp;"6M",_xll.qlInterestRateIndexFixingDate(Currency&amp;IborType&amp;"6M",M458),TRUE,AllTriggers)</f>
        <v>2.0881893134987256E-2</v>
      </c>
      <c r="R458" s="38">
        <f>_xll.qlOvernightIndexedSwapFairRate(O458,AllTriggers)</f>
        <v>2.0106177957541674E-2</v>
      </c>
      <c r="S458" s="345">
        <f t="shared" si="11"/>
        <v>7.7571517744558227E-4</v>
      </c>
    </row>
    <row r="459" spans="5:19" ht="11.25" customHeight="1" x14ac:dyDescent="0.2">
      <c r="E459" s="254"/>
      <c r="F459" s="254"/>
      <c r="G459" s="39"/>
      <c r="J459" s="39"/>
      <c r="K459" s="39"/>
      <c r="M459" s="346">
        <f>_xll.qlCalendarAdvance(Calendar,M458,"1M","f",,Trigger)</f>
        <v>56201</v>
      </c>
      <c r="N459" s="344">
        <f>_xll.qlCalendarAdvance(Calendar,M459,"3M","f",,Trigger)</f>
        <v>56293</v>
      </c>
      <c r="O459" s="40" t="str">
        <f>_xll.qlMakeDatedOIS(,M459,N459,OvernightIndex,0,,,,EvaluationDate)</f>
        <v>obj_007d5#0000</v>
      </c>
      <c r="P459" s="40" t="b">
        <f>_xll.qlInstrumentSetPricingEngine(O459,OisEngine)</f>
        <v>1</v>
      </c>
      <c r="Q459" s="38">
        <f>_xll.qlIndexFixing(Currency&amp;IborType&amp;"6M",_xll.qlInterestRateIndexFixingDate(Currency&amp;IborType&amp;"6M",M459),TRUE,AllTriggers)</f>
        <v>2.0848189338739311E-2</v>
      </c>
      <c r="R459" s="38">
        <f>_xll.qlOvernightIndexedSwapFairRate(O459,AllTriggers)</f>
        <v>2.008039213239873E-2</v>
      </c>
      <c r="S459" s="345">
        <f t="shared" si="11"/>
        <v>7.6779720634058066E-4</v>
      </c>
    </row>
    <row r="460" spans="5:19" ht="11.25" customHeight="1" x14ac:dyDescent="0.2">
      <c r="E460" s="254"/>
      <c r="F460" s="254"/>
      <c r="G460" s="39"/>
      <c r="J460" s="39"/>
      <c r="K460" s="39"/>
      <c r="M460" s="346">
        <f>_xll.qlCalendarAdvance(Calendar,M459,"1M","f",,Trigger)</f>
        <v>56233</v>
      </c>
      <c r="N460" s="344">
        <f>_xll.qlCalendarAdvance(Calendar,M460,"3M","f",,Trigger)</f>
        <v>56324</v>
      </c>
      <c r="O460" s="40" t="str">
        <f>_xll.qlMakeDatedOIS(,M460,N460,OvernightIndex,0,,,,EvaluationDate)</f>
        <v>obj_009b8#0000</v>
      </c>
      <c r="P460" s="40" t="b">
        <f>_xll.qlInstrumentSetPricingEngine(O460,OisEngine)</f>
        <v>1</v>
      </c>
      <c r="Q460" s="38">
        <f>_xll.qlIndexFixing(Currency&amp;IborType&amp;"6M",_xll.qlInterestRateIndexFixingDate(Currency&amp;IborType&amp;"6M",M460),TRUE,AllTriggers)</f>
        <v>2.0812341430826851E-2</v>
      </c>
      <c r="R460" s="38">
        <f>_xll.qlOvernightIndexedSwapFairRate(O460,AllTriggers)</f>
        <v>2.0053102360419361E-2</v>
      </c>
      <c r="S460" s="345">
        <f t="shared" si="11"/>
        <v>7.592390704074907E-4</v>
      </c>
    </row>
    <row r="461" spans="5:19" ht="11.25" customHeight="1" x14ac:dyDescent="0.2">
      <c r="E461" s="254"/>
      <c r="F461" s="254"/>
      <c r="G461" s="39"/>
      <c r="J461" s="39"/>
      <c r="K461" s="39"/>
      <c r="M461" s="346">
        <f>_xll.qlCalendarAdvance(Calendar,M460,"1M","f",,Trigger)</f>
        <v>56264</v>
      </c>
      <c r="N461" s="344">
        <f>_xll.qlCalendarAdvance(Calendar,M461,"3M","f",,Trigger)</f>
        <v>56354</v>
      </c>
      <c r="O461" s="40" t="str">
        <f>_xll.qlMakeDatedOIS(,M461,N461,OvernightIndex,0,,,,EvaluationDate)</f>
        <v>obj_007d8#0000</v>
      </c>
      <c r="P461" s="40" t="b">
        <f>_xll.qlInstrumentSetPricingEngine(O461,OisEngine)</f>
        <v>1</v>
      </c>
      <c r="Q461" s="38">
        <f>_xll.qlIndexFixing(Currency&amp;IborType&amp;"6M",_xll.qlInterestRateIndexFixingDate(Currency&amp;IborType&amp;"6M",M461),TRUE,AllTriggers)</f>
        <v>2.0776498758690549E-2</v>
      </c>
      <c r="R461" s="38">
        <f>_xll.qlOvernightIndexedSwapFairRate(O461,AllTriggers)</f>
        <v>2.0026150780522833E-2</v>
      </c>
      <c r="S461" s="345">
        <f t="shared" si="11"/>
        <v>7.503479781677154E-4</v>
      </c>
    </row>
    <row r="462" spans="5:19" ht="11.25" customHeight="1" x14ac:dyDescent="0.2">
      <c r="E462" s="254"/>
      <c r="F462" s="254"/>
      <c r="G462" s="39"/>
      <c r="J462" s="39"/>
      <c r="K462" s="39"/>
      <c r="M462" s="346">
        <f>_xll.qlCalendarAdvance(Calendar,M461,"1M","f",,Trigger)</f>
        <v>56296</v>
      </c>
      <c r="N462" s="344">
        <f>_xll.qlCalendarAdvance(Calendar,M462,"3M","f",,Trigger)</f>
        <v>56387</v>
      </c>
      <c r="O462" s="40" t="str">
        <f>_xll.qlMakeDatedOIS(,M462,N462,OvernightIndex,0,,,,EvaluationDate)</f>
        <v>obj_00980#0000</v>
      </c>
      <c r="P462" s="40" t="b">
        <f>_xll.qlInstrumentSetPricingEngine(O462,OisEngine)</f>
        <v>1</v>
      </c>
      <c r="Q462" s="38">
        <f>_xll.qlIndexFixing(Currency&amp;IborType&amp;"6M",_xll.qlInterestRateIndexFixingDate(Currency&amp;IborType&amp;"6M",M462),TRUE,AllTriggers)</f>
        <v>2.0738363328266982E-2</v>
      </c>
      <c r="R462" s="38">
        <f>_xll.qlOvernightIndexedSwapFairRate(O462,AllTriggers)</f>
        <v>1.9998016127991056E-2</v>
      </c>
      <c r="S462" s="345">
        <f t="shared" si="11"/>
        <v>7.4034720027592663E-4</v>
      </c>
    </row>
    <row r="463" spans="5:19" ht="11.25" customHeight="1" x14ac:dyDescent="0.2">
      <c r="E463" s="254"/>
      <c r="F463" s="254"/>
      <c r="G463" s="39"/>
      <c r="J463" s="39"/>
      <c r="K463" s="39"/>
      <c r="M463" s="346">
        <f>_xll.qlCalendarAdvance(Calendar,M462,"1M","f",,Trigger)</f>
        <v>56324</v>
      </c>
      <c r="N463" s="344">
        <f>_xll.qlCalendarAdvance(Calendar,M463,"3M","f",,Trigger)</f>
        <v>56416</v>
      </c>
      <c r="O463" s="40" t="str">
        <f>_xll.qlMakeDatedOIS(,M463,N463,OvernightIndex,0,,,,EvaluationDate)</f>
        <v>obj_007db#0000</v>
      </c>
      <c r="P463" s="40" t="b">
        <f>_xll.qlInstrumentSetPricingEngine(O463,OisEngine)</f>
        <v>1</v>
      </c>
      <c r="Q463" s="38">
        <f>_xll.qlIndexFixing(Currency&amp;IborType&amp;"6M",_xll.qlInterestRateIndexFixingDate(Currency&amp;IborType&amp;"6M",M463),TRUE,AllTriggers)</f>
        <v>2.0703974767643785E-2</v>
      </c>
      <c r="R463" s="38">
        <f>_xll.qlOvernightIndexedSwapFairRate(O463,AllTriggers)</f>
        <v>1.9972937071774461E-2</v>
      </c>
      <c r="S463" s="345">
        <f t="shared" si="11"/>
        <v>7.3103769586932432E-4</v>
      </c>
    </row>
    <row r="464" spans="5:19" ht="11.25" customHeight="1" x14ac:dyDescent="0.2">
      <c r="E464" s="254"/>
      <c r="F464" s="254"/>
      <c r="G464" s="39"/>
      <c r="J464" s="39"/>
      <c r="K464" s="39"/>
      <c r="M464" s="346">
        <f>_xll.qlCalendarAdvance(Calendar,M463,"1M","f",,Trigger)</f>
        <v>56355</v>
      </c>
      <c r="N464" s="344">
        <f>_xll.qlCalendarAdvance(Calendar,M464,"3M","f",,Trigger)</f>
        <v>56446</v>
      </c>
      <c r="O464" s="40" t="str">
        <f>_xll.qlMakeDatedOIS(,M464,N464,OvernightIndex,0,,,,EvaluationDate)</f>
        <v>obj_0095e#0000</v>
      </c>
      <c r="P464" s="40" t="b">
        <f>_xll.qlInstrumentSetPricingEngine(O464,OisEngine)</f>
        <v>1</v>
      </c>
      <c r="Q464" s="38">
        <f>_xll.qlIndexFixing(Currency&amp;IborType&amp;"6M",_xll.qlInterestRateIndexFixingDate(Currency&amp;IborType&amp;"6M",M464),TRUE,AllTriggers)</f>
        <v>2.0665005267922604E-2</v>
      </c>
      <c r="R464" s="38">
        <f>_xll.qlOvernightIndexedSwapFairRate(O464,AllTriggers)</f>
        <v>1.9944473051787967E-2</v>
      </c>
      <c r="S464" s="345">
        <f t="shared" si="11"/>
        <v>7.2053221613463739E-4</v>
      </c>
    </row>
    <row r="465" spans="5:19" ht="11.25" customHeight="1" x14ac:dyDescent="0.2">
      <c r="E465" s="254"/>
      <c r="F465" s="254"/>
      <c r="G465" s="39"/>
      <c r="J465" s="39"/>
      <c r="K465" s="39"/>
      <c r="M465" s="346">
        <f>_xll.qlCalendarAdvance(Calendar,M464,"1M","f",,Trigger)</f>
        <v>56387</v>
      </c>
      <c r="N465" s="344">
        <f>_xll.qlCalendarAdvance(Calendar,M465,"3M","f",,Trigger)</f>
        <v>56479</v>
      </c>
      <c r="O465" s="40" t="str">
        <f>_xll.qlMakeDatedOIS(,M465,N465,OvernightIndex,0,,,,EvaluationDate)</f>
        <v>obj_007de#0000</v>
      </c>
      <c r="P465" s="40" t="b">
        <f>_xll.qlInstrumentSetPricingEngine(O465,OisEngine)</f>
        <v>1</v>
      </c>
      <c r="Q465" s="38">
        <f>_xll.qlIndexFixing(Currency&amp;IborType&amp;"6M",_xll.qlInterestRateIndexFixingDate(Currency&amp;IborType&amp;"6M",M465),TRUE,AllTriggers)</f>
        <v>2.0623535044983585E-2</v>
      </c>
      <c r="R465" s="38">
        <f>_xll.qlOvernightIndexedSwapFairRate(O465,AllTriggers)</f>
        <v>1.9914717331294567E-2</v>
      </c>
      <c r="S465" s="345">
        <f t="shared" si="11"/>
        <v>7.0881771368901808E-4</v>
      </c>
    </row>
    <row r="466" spans="5:19" ht="11.25" customHeight="1" x14ac:dyDescent="0.2">
      <c r="E466" s="254"/>
      <c r="F466" s="254"/>
      <c r="G466" s="39"/>
      <c r="J466" s="39"/>
      <c r="K466" s="39"/>
      <c r="M466" s="346">
        <f>_xll.qlCalendarAdvance(Calendar,M465,"1M","f",,Trigger)</f>
        <v>56418</v>
      </c>
      <c r="N466" s="344">
        <f>_xll.qlCalendarAdvance(Calendar,M466,"3M","f",,Trigger)</f>
        <v>56510</v>
      </c>
      <c r="O466" s="40" t="str">
        <f>_xll.qlMakeDatedOIS(,M466,N466,OvernightIndex,0,,,,EvaluationDate)</f>
        <v>obj_00915#0000</v>
      </c>
      <c r="P466" s="40" t="b">
        <f>_xll.qlInstrumentSetPricingEngine(O466,OisEngine)</f>
        <v>1</v>
      </c>
      <c r="Q466" s="38">
        <f>_xll.qlIndexFixing(Currency&amp;IborType&amp;"6M",_xll.qlInterestRateIndexFixingDate(Currency&amp;IborType&amp;"6M",M466),TRUE,AllTriggers)</f>
        <v>2.0582600160663635E-2</v>
      </c>
      <c r="R466" s="38">
        <f>_xll.qlOvernightIndexedSwapFairRate(O466,AllTriggers)</f>
        <v>1.9885278325352012E-2</v>
      </c>
      <c r="S466" s="345">
        <f t="shared" si="11"/>
        <v>6.973218353116227E-4</v>
      </c>
    </row>
    <row r="467" spans="5:19" ht="11.25" customHeight="1" x14ac:dyDescent="0.2">
      <c r="E467" s="254"/>
      <c r="F467" s="254"/>
      <c r="G467" s="39"/>
      <c r="J467" s="39"/>
      <c r="K467" s="39"/>
      <c r="M467" s="346">
        <f>_xll.qlCalendarAdvance(Calendar,M466,"1M","f",,Trigger)</f>
        <v>56450</v>
      </c>
      <c r="N467" s="344">
        <f>_xll.qlCalendarAdvance(Calendar,M467,"3M","f",,Trigger)</f>
        <v>56542</v>
      </c>
      <c r="O467" s="40" t="str">
        <f>_xll.qlMakeDatedOIS(,M467,N467,OvernightIndex,0,,,,EvaluationDate)</f>
        <v>obj_007e1#0000</v>
      </c>
      <c r="P467" s="40" t="b">
        <f>_xll.qlInstrumentSetPricingEngine(O467,OisEngine)</f>
        <v>1</v>
      </c>
      <c r="Q467" s="38">
        <f>_xll.qlIndexFixing(Currency&amp;IborType&amp;"6M",_xll.qlInterestRateIndexFixingDate(Currency&amp;IborType&amp;"6M",M467),TRUE,AllTriggers)</f>
        <v>2.0539502198631328E-2</v>
      </c>
      <c r="R467" s="38">
        <f>_xll.qlOvernightIndexedSwapFairRate(O467,AllTriggers)</f>
        <v>1.985434231472229E-2</v>
      </c>
      <c r="S467" s="345">
        <f t="shared" si="11"/>
        <v>6.851598839090374E-4</v>
      </c>
    </row>
    <row r="468" spans="5:19" ht="11.25" customHeight="1" x14ac:dyDescent="0.2">
      <c r="E468" s="254"/>
      <c r="F468" s="254"/>
      <c r="G468" s="39"/>
      <c r="J468" s="39"/>
      <c r="K468" s="39"/>
      <c r="M468" s="346">
        <f>_xll.qlCalendarAdvance(Calendar,M467,"1M","f",,Trigger)</f>
        <v>56481</v>
      </c>
      <c r="N468" s="344">
        <f>_xll.qlCalendarAdvance(Calendar,M468,"3M","f",,Trigger)</f>
        <v>56573</v>
      </c>
      <c r="O468" s="40" t="str">
        <f>_xll.qlMakeDatedOIS(,M468,N468,OvernightIndex,0,,,,EvaluationDate)</f>
        <v>obj_008c3#0000</v>
      </c>
      <c r="P468" s="40" t="b">
        <f>_xll.qlInstrumentSetPricingEngine(O468,OisEngine)</f>
        <v>1</v>
      </c>
      <c r="Q468" s="38">
        <f>_xll.qlIndexFixing(Currency&amp;IborType&amp;"6M",_xll.qlInterestRateIndexFixingDate(Currency&amp;IborType&amp;"6M",M468),TRUE,AllTriggers)</f>
        <v>2.0497300210795114E-2</v>
      </c>
      <c r="R468" s="38">
        <f>_xll.qlOvernightIndexedSwapFairRate(O468,AllTriggers)</f>
        <v>1.9823859212981222E-2</v>
      </c>
      <c r="S468" s="345">
        <f t="shared" si="11"/>
        <v>6.7344099781389138E-4</v>
      </c>
    </row>
    <row r="469" spans="5:19" ht="11.25" customHeight="1" x14ac:dyDescent="0.2">
      <c r="E469" s="254"/>
      <c r="F469" s="254"/>
      <c r="G469" s="39"/>
      <c r="J469" s="39"/>
      <c r="K469" s="39"/>
      <c r="M469" s="346">
        <f>_xll.qlCalendarAdvance(Calendar,M468,"1M","f",,Trigger)</f>
        <v>56513</v>
      </c>
      <c r="N469" s="344">
        <f>_xll.qlCalendarAdvance(Calendar,M469,"3M","f",,Trigger)</f>
        <v>56604</v>
      </c>
      <c r="O469" s="40" t="str">
        <f>_xll.qlMakeDatedOIS(,M469,N469,OvernightIndex,0,,,,EvaluationDate)</f>
        <v>obj_007e4#0000</v>
      </c>
      <c r="P469" s="40" t="b">
        <f>_xll.qlInstrumentSetPricingEngine(O469,OisEngine)</f>
        <v>1</v>
      </c>
      <c r="Q469" s="38">
        <f>_xll.qlIndexFixing(Currency&amp;IborType&amp;"6M",_xll.qlInterestRateIndexFixingDate(Currency&amp;IborType&amp;"6M",M469),TRUE,AllTriggers)</f>
        <v>2.0454252655679267E-2</v>
      </c>
      <c r="R469" s="38">
        <f>_xll.qlOvernightIndexedSwapFairRate(O469,AllTriggers)</f>
        <v>1.9792029594801447E-2</v>
      </c>
      <c r="S469" s="345">
        <f t="shared" si="11"/>
        <v>6.6222306087782012E-4</v>
      </c>
    </row>
    <row r="470" spans="5:19" ht="11.25" customHeight="1" x14ac:dyDescent="0.2">
      <c r="E470" s="254"/>
      <c r="F470" s="254"/>
      <c r="G470" s="39"/>
      <c r="J470" s="39"/>
      <c r="K470" s="39"/>
      <c r="M470" s="346">
        <f>_xll.qlCalendarAdvance(Calendar,M469,"1M","f",,Trigger)</f>
        <v>56543</v>
      </c>
      <c r="N470" s="344">
        <f>_xll.qlCalendarAdvance(Calendar,M470,"3M","f",,Trigger)</f>
        <v>56635</v>
      </c>
      <c r="O470" s="40" t="str">
        <f>_xll.qlMakeDatedOIS(,M470,N470,OvernightIndex,0,,,,EvaluationDate)</f>
        <v>obj_00870#0000</v>
      </c>
      <c r="P470" s="40" t="b">
        <f>_xll.qlInstrumentSetPricingEngine(O470,OisEngine)</f>
        <v>1</v>
      </c>
      <c r="Q470" s="38">
        <f>_xll.qlIndexFixing(Currency&amp;IborType&amp;"6M",_xll.qlInterestRateIndexFixingDate(Currency&amp;IborType&amp;"6M",M470),TRUE,AllTriggers)</f>
        <v>2.0413738565054518E-2</v>
      </c>
      <c r="R470" s="38">
        <f>_xll.qlOvernightIndexedSwapFairRate(O470,AllTriggers)</f>
        <v>1.9762290963259266E-2</v>
      </c>
      <c r="S470" s="345">
        <f t="shared" si="11"/>
        <v>6.5144760179525196E-4</v>
      </c>
    </row>
    <row r="471" spans="5:19" ht="11.25" customHeight="1" x14ac:dyDescent="0.2">
      <c r="E471" s="254"/>
      <c r="F471" s="254"/>
      <c r="G471" s="39"/>
      <c r="J471" s="39"/>
      <c r="K471" s="39"/>
      <c r="M471" s="346">
        <f>_xll.qlCalendarAdvance(Calendar,M470,"1M","f",,Trigger)</f>
        <v>56576</v>
      </c>
      <c r="N471" s="344">
        <f>_xll.qlCalendarAdvance(Calendar,M471,"3M","f",,Trigger)</f>
        <v>56668</v>
      </c>
      <c r="O471" s="40" t="str">
        <f>_xll.qlMakeDatedOIS(,M471,N471,OvernightIndex,0,,,,EvaluationDate)</f>
        <v>obj_007e7#0000</v>
      </c>
      <c r="P471" s="40" t="b">
        <f>_xll.qlInstrumentSetPricingEngine(O471,OisEngine)</f>
        <v>1</v>
      </c>
      <c r="Q471" s="38">
        <f>_xll.qlIndexFixing(Currency&amp;IborType&amp;"6M",_xll.qlInterestRateIndexFixingDate(Currency&amp;IborType&amp;"6M",M471),TRUE,AllTriggers)</f>
        <v>2.036969114196184E-2</v>
      </c>
      <c r="R471" s="38">
        <f>_xll.qlOvernightIndexedSwapFairRate(O471,AllTriggers)</f>
        <v>1.9729866555834166E-2</v>
      </c>
      <c r="S471" s="345">
        <f t="shared" si="11"/>
        <v>6.3982458612767482E-4</v>
      </c>
    </row>
    <row r="472" spans="5:19" ht="11.25" customHeight="1" x14ac:dyDescent="0.2">
      <c r="E472" s="254"/>
      <c r="F472" s="254"/>
      <c r="G472" s="39"/>
      <c r="J472" s="39"/>
      <c r="K472" s="39"/>
      <c r="M472" s="346">
        <f>_xll.qlCalendarAdvance(Calendar,M471,"1M","f",,Trigger)</f>
        <v>56606</v>
      </c>
      <c r="N472" s="344">
        <f>_xll.qlCalendarAdvance(Calendar,M472,"3M","f",,Trigger)</f>
        <v>56696</v>
      </c>
      <c r="O472" s="40" t="str">
        <f>_xll.qlMakeDatedOIS(,M472,N472,OvernightIndex,0,,,,EvaluationDate)</f>
        <v>obj_009ec#0000</v>
      </c>
      <c r="P472" s="40" t="b">
        <f>_xll.qlInstrumentSetPricingEngine(O472,OisEngine)</f>
        <v>1</v>
      </c>
      <c r="Q472" s="38">
        <f>_xll.qlIndexFixing(Currency&amp;IborType&amp;"6M",_xll.qlInterestRateIndexFixingDate(Currency&amp;IborType&amp;"6M",M472),TRUE,AllTriggers)</f>
        <v>2.033020860100036E-2</v>
      </c>
      <c r="R472" s="38">
        <f>_xll.qlOvernightIndexedSwapFairRate(O472,AllTriggers)</f>
        <v>1.970067894239147E-2</v>
      </c>
      <c r="S472" s="345">
        <f t="shared" si="11"/>
        <v>6.2952965860888985E-4</v>
      </c>
    </row>
    <row r="473" spans="5:19" ht="11.25" customHeight="1" x14ac:dyDescent="0.2">
      <c r="E473" s="254"/>
      <c r="F473" s="254"/>
      <c r="G473" s="39"/>
      <c r="J473" s="39"/>
      <c r="K473" s="39"/>
      <c r="M473" s="346">
        <f>_xll.qlCalendarAdvance(Calendar,M472,"1M","f",,Trigger)</f>
        <v>56639</v>
      </c>
      <c r="N473" s="344">
        <f>_xll.qlCalendarAdvance(Calendar,M473,"3M","f",,Trigger)</f>
        <v>56730</v>
      </c>
      <c r="O473" s="40" t="str">
        <f>_xll.qlMakeDatedOIS(,M473,N473,OvernightIndex,0,,,,EvaluationDate)</f>
        <v>obj_007e9#0000</v>
      </c>
      <c r="P473" s="40" t="b">
        <f>_xll.qlInstrumentSetPricingEngine(O473,OisEngine)</f>
        <v>1</v>
      </c>
      <c r="Q473" s="38">
        <f>_xll.qlIndexFixing(Currency&amp;IborType&amp;"6M",_xll.qlInterestRateIndexFixingDate(Currency&amp;IborType&amp;"6M",M473),TRUE,AllTriggers)</f>
        <v>2.0287395535922605E-2</v>
      </c>
      <c r="R473" s="38">
        <f>_xll.qlOvernightIndexedSwapFairRate(O473,AllTriggers)</f>
        <v>1.9669211332519358E-2</v>
      </c>
      <c r="S473" s="345">
        <f t="shared" si="11"/>
        <v>6.1818420340324642E-4</v>
      </c>
    </row>
    <row r="474" spans="5:19" ht="11.25" customHeight="1" x14ac:dyDescent="0.2">
      <c r="E474" s="254"/>
      <c r="F474" s="254"/>
      <c r="G474" s="39"/>
      <c r="J474" s="39"/>
      <c r="K474" s="39"/>
      <c r="M474" s="346">
        <f>_xll.qlCalendarAdvance(Calendar,M473,"1M","f",,Trigger)</f>
        <v>56670</v>
      </c>
      <c r="N474" s="344">
        <f>_xll.qlCalendarAdvance(Calendar,M474,"3M","f",,Trigger)</f>
        <v>56759</v>
      </c>
      <c r="O474" s="40" t="str">
        <f>_xll.qlMakeDatedOIS(,M474,N474,OvernightIndex,0,,,,EvaluationDate)</f>
        <v>obj_009b7#0000</v>
      </c>
      <c r="P474" s="40" t="b">
        <f>_xll.qlInstrumentSetPricingEngine(O474,OisEngine)</f>
        <v>1</v>
      </c>
      <c r="Q474" s="38">
        <f>_xll.qlIndexFixing(Currency&amp;IborType&amp;"6M",_xll.qlInterestRateIndexFixingDate(Currency&amp;IborType&amp;"6M",M474),TRUE,AllTriggers)</f>
        <v>2.0247824841531249E-2</v>
      </c>
      <c r="R474" s="38">
        <f>_xll.qlOvernightIndexedSwapFairRate(O474,AllTriggers)</f>
        <v>1.9639884082753731E-2</v>
      </c>
      <c r="S474" s="345">
        <f t="shared" si="11"/>
        <v>6.0794075877751777E-4</v>
      </c>
    </row>
    <row r="475" spans="5:19" ht="11.25" customHeight="1" x14ac:dyDescent="0.2">
      <c r="E475" s="254"/>
      <c r="F475" s="254"/>
      <c r="G475" s="39"/>
      <c r="J475" s="39"/>
      <c r="K475" s="39"/>
      <c r="M475" s="346">
        <f>_xll.qlCalendarAdvance(Calendar,M474,"1M","f",,Trigger)</f>
        <v>56698</v>
      </c>
      <c r="N475" s="344">
        <f>_xll.qlCalendarAdvance(Calendar,M475,"3M","f",,Trigger)</f>
        <v>56790</v>
      </c>
      <c r="O475" s="40" t="str">
        <f>_xll.qlMakeDatedOIS(,M475,N475,OvernightIndex,0,,,,EvaluationDate)</f>
        <v>obj_0097f#0000</v>
      </c>
      <c r="P475" s="40" t="b">
        <f>_xll.qlInstrumentSetPricingEngine(O475,OisEngine)</f>
        <v>1</v>
      </c>
      <c r="Q475" s="38">
        <f>_xll.qlIndexFixing(Currency&amp;IborType&amp;"6M",_xll.qlInterestRateIndexFixingDate(Currency&amp;IborType&amp;"6M",M475),TRUE,AllTriggers)</f>
        <v>2.0212257837535934E-2</v>
      </c>
      <c r="R475" s="38">
        <f>_xll.qlOvernightIndexedSwapFairRate(O475,AllTriggers)</f>
        <v>1.9614098302420089E-2</v>
      </c>
      <c r="S475" s="345">
        <f t="shared" si="11"/>
        <v>5.9815953511584488E-4</v>
      </c>
    </row>
    <row r="476" spans="5:19" ht="11.25" customHeight="1" x14ac:dyDescent="0.2">
      <c r="E476" s="254"/>
      <c r="F476" s="254"/>
      <c r="G476" s="39"/>
      <c r="J476" s="39"/>
      <c r="K476" s="39"/>
      <c r="M476" s="346">
        <f>_xll.qlCalendarAdvance(Calendar,M475,"1M","f",,Trigger)</f>
        <v>56730</v>
      </c>
      <c r="N476" s="344">
        <f>_xll.qlCalendarAdvance(Calendar,M476,"3M","f",,Trigger)</f>
        <v>56821</v>
      </c>
      <c r="O476" s="40" t="str">
        <f>_xll.qlMakeDatedOIS(,M476,N476,OvernightIndex,0,,,,EvaluationDate)</f>
        <v>obj_0095d#0000</v>
      </c>
      <c r="P476" s="40" t="b">
        <f>_xll.qlInstrumentSetPricingEngine(O476,OisEngine)</f>
        <v>1</v>
      </c>
      <c r="Q476" s="38">
        <f>_xll.qlIndexFixing(Currency&amp;IborType&amp;"6M",_xll.qlInterestRateIndexFixingDate(Currency&amp;IborType&amp;"6M",M476),TRUE,AllTriggers)</f>
        <v>2.0172643338291579E-2</v>
      </c>
      <c r="R476" s="38">
        <f>_xll.qlOvernightIndexedSwapFairRate(O476,AllTriggers)</f>
        <v>1.9584722656990159E-2</v>
      </c>
      <c r="S476" s="345">
        <f t="shared" si="11"/>
        <v>5.8792068130142025E-4</v>
      </c>
    </row>
    <row r="477" spans="5:19" ht="11.25" customHeight="1" x14ac:dyDescent="0.2">
      <c r="E477" s="254"/>
      <c r="F477" s="254"/>
      <c r="G477" s="39"/>
      <c r="J477" s="39"/>
      <c r="K477" s="39"/>
      <c r="M477" s="346">
        <f>_xll.qlCalendarAdvance(Calendar,M476,"1M","f",,Trigger)</f>
        <v>56760</v>
      </c>
      <c r="N477" s="344">
        <f>_xll.qlCalendarAdvance(Calendar,M477,"3M","f",,Trigger)</f>
        <v>56852</v>
      </c>
      <c r="O477" s="40" t="str">
        <f>_xll.qlMakeDatedOIS(,M477,N477,OvernightIndex,0,,,,EvaluationDate)</f>
        <v>obj_007ee#0000</v>
      </c>
      <c r="P477" s="40" t="b">
        <f>_xll.qlInstrumentSetPricingEngine(O477,OisEngine)</f>
        <v>1</v>
      </c>
      <c r="Q477" s="38">
        <f>_xll.qlIndexFixing(Currency&amp;IborType&amp;"6M",_xll.qlInterestRateIndexFixingDate(Currency&amp;IborType&amp;"6M",M477),TRUE,AllTriggers)</f>
        <v>2.0135875434070902E-2</v>
      </c>
      <c r="R477" s="38">
        <f>_xll.qlOvernightIndexedSwapFairRate(O477,AllTriggers)</f>
        <v>1.9557743739655079E-2</v>
      </c>
      <c r="S477" s="345">
        <f t="shared" si="11"/>
        <v>5.7813169441582254E-4</v>
      </c>
    </row>
    <row r="478" spans="5:19" ht="11.25" customHeight="1" x14ac:dyDescent="0.2">
      <c r="E478" s="254"/>
      <c r="F478" s="254"/>
      <c r="G478" s="39"/>
      <c r="J478" s="39"/>
      <c r="K478" s="39"/>
      <c r="M478" s="346">
        <f>_xll.qlCalendarAdvance(Calendar,M477,"1M","f",,Trigger)</f>
        <v>56793</v>
      </c>
      <c r="N478" s="344">
        <f>_xll.qlCalendarAdvance(Calendar,M478,"3M","f",,Trigger)</f>
        <v>56885</v>
      </c>
      <c r="O478" s="40" t="str">
        <f>_xll.qlMakeDatedOIS(,M478,N478,OvernightIndex,0,,,,EvaluationDate)</f>
        <v>obj_00914#0000</v>
      </c>
      <c r="P478" s="40" t="b">
        <f>_xll.qlInstrumentSetPricingEngine(O478,OisEngine)</f>
        <v>1</v>
      </c>
      <c r="Q478" s="38">
        <f>_xll.qlIndexFixing(Currency&amp;IborType&amp;"6M",_xll.qlInterestRateIndexFixingDate(Currency&amp;IborType&amp;"6M",M478),TRUE,AllTriggers)</f>
        <v>2.0096126813080376E-2</v>
      </c>
      <c r="R478" s="38">
        <f>_xll.qlOvernightIndexedSwapFairRate(O478,AllTriggers)</f>
        <v>1.9528429639784101E-2</v>
      </c>
      <c r="S478" s="345">
        <f t="shared" si="11"/>
        <v>5.6769717329627559E-4</v>
      </c>
    </row>
    <row r="479" spans="5:19" ht="11.25" customHeight="1" x14ac:dyDescent="0.2">
      <c r="E479" s="254"/>
      <c r="F479" s="254"/>
      <c r="G479" s="39"/>
      <c r="J479" s="39"/>
      <c r="K479" s="39"/>
      <c r="M479" s="346">
        <f>_xll.qlCalendarAdvance(Calendar,M478,"1M","f",,Trigger)</f>
        <v>56823</v>
      </c>
      <c r="N479" s="344">
        <f>_xll.qlCalendarAdvance(Calendar,M479,"3M","f",,Trigger)</f>
        <v>56915</v>
      </c>
      <c r="O479" s="40" t="str">
        <f>_xll.qlMakeDatedOIS(,M479,N479,OvernightIndex,0,,,,EvaluationDate)</f>
        <v>obj_008c2#0000</v>
      </c>
      <c r="P479" s="40" t="b">
        <f>_xll.qlInstrumentSetPricingEngine(O479,OisEngine)</f>
        <v>1</v>
      </c>
      <c r="Q479" s="38">
        <f>_xll.qlIndexFixing(Currency&amp;IborType&amp;"6M",_xll.qlInterestRateIndexFixingDate(Currency&amp;IborType&amp;"6M",M479),TRUE,AllTriggers)</f>
        <v>2.0060496291398371E-2</v>
      </c>
      <c r="R479" s="38">
        <f>_xll.qlOvernightIndexedSwapFairRate(O479,AllTriggers)</f>
        <v>1.950219104405404E-2</v>
      </c>
      <c r="S479" s="345">
        <f t="shared" si="11"/>
        <v>5.5830524734433104E-4</v>
      </c>
    </row>
    <row r="480" spans="5:19" ht="11.25" customHeight="1" x14ac:dyDescent="0.2">
      <c r="E480" s="254"/>
      <c r="F480" s="254"/>
      <c r="G480" s="39"/>
      <c r="J480" s="39"/>
      <c r="K480" s="39"/>
      <c r="M480" s="346">
        <f>_xll.qlCalendarAdvance(Calendar,M479,"1M","f",,Trigger)</f>
        <v>56856</v>
      </c>
      <c r="N480" s="344">
        <f>_xll.qlCalendarAdvance(Calendar,M480,"3M","f",,Trigger)</f>
        <v>56948</v>
      </c>
      <c r="O480" s="40" t="str">
        <f>_xll.qlMakeDatedOIS(,M480,N480,OvernightIndex,0,,,,EvaluationDate)</f>
        <v>obj_007f2#0000</v>
      </c>
      <c r="P480" s="40" t="b">
        <f>_xll.qlInstrumentSetPricingEngine(O480,OisEngine)</f>
        <v>1</v>
      </c>
      <c r="Q480" s="38">
        <f>_xll.qlIndexFixing(Currency&amp;IborType&amp;"6M",_xll.qlInterestRateIndexFixingDate(Currency&amp;IborType&amp;"6M",M480),TRUE,AllTriggers)</f>
        <v>2.0021968214941569E-2</v>
      </c>
      <c r="R480" s="38">
        <f>_xll.qlOvernightIndexedSwapFairRate(O480,AllTriggers)</f>
        <v>1.9473780223682086E-2</v>
      </c>
      <c r="S480" s="345">
        <f t="shared" si="11"/>
        <v>5.4818799125948281E-4</v>
      </c>
    </row>
    <row r="481" spans="5:19" ht="11.25" customHeight="1" x14ac:dyDescent="0.2">
      <c r="E481" s="254"/>
      <c r="F481" s="254"/>
      <c r="G481" s="39"/>
      <c r="J481" s="39"/>
      <c r="K481" s="39"/>
      <c r="M481" s="346">
        <f>_xll.qlCalendarAdvance(Calendar,M480,"1M","f",,Trigger)</f>
        <v>56887</v>
      </c>
      <c r="N481" s="344">
        <f>_xll.qlCalendarAdvance(Calendar,M481,"3M","f",,Trigger)</f>
        <v>56978</v>
      </c>
      <c r="O481" s="40" t="str">
        <f>_xll.qlMakeDatedOIS(,M481,N481,OvernightIndex,0,,,,EvaluationDate)</f>
        <v>obj_0086f#0000</v>
      </c>
      <c r="P481" s="40" t="b">
        <f>_xll.qlInstrumentSetPricingEngine(O481,OisEngine)</f>
        <v>1</v>
      </c>
      <c r="Q481" s="38">
        <f>_xll.qlIndexFixing(Currency&amp;IborType&amp;"6M",_xll.qlInterestRateIndexFixingDate(Currency&amp;IborType&amp;"6M",M481),TRUE,AllTriggers)</f>
        <v>1.9986351077845445E-2</v>
      </c>
      <c r="R481" s="38">
        <f>_xll.qlOvernightIndexedSwapFairRate(O481,AllTriggers)</f>
        <v>1.9447414719976807E-2</v>
      </c>
      <c r="S481" s="345">
        <f t="shared" si="11"/>
        <v>5.3893635786863778E-4</v>
      </c>
    </row>
    <row r="482" spans="5:19" ht="11.25" customHeight="1" x14ac:dyDescent="0.2">
      <c r="E482" s="254"/>
      <c r="F482" s="254"/>
      <c r="G482" s="39"/>
      <c r="J482" s="39"/>
      <c r="K482" s="39"/>
      <c r="M482" s="346">
        <f>_xll.qlCalendarAdvance(Calendar,M481,"1M","f",,Trigger)</f>
        <v>56919</v>
      </c>
      <c r="N482" s="344">
        <f>_xll.qlCalendarAdvance(Calendar,M482,"3M","f",,Trigger)</f>
        <v>57011</v>
      </c>
      <c r="O482" s="40" t="str">
        <f>_xll.qlMakeDatedOIS(,M482,N482,OvernightIndex,0,,,,EvaluationDate)</f>
        <v>obj_00a09#0000</v>
      </c>
      <c r="P482" s="40" t="b">
        <f>_xll.qlInstrumentSetPricingEngine(O482,OisEngine)</f>
        <v>1</v>
      </c>
      <c r="Q482" s="38">
        <f>_xll.qlIndexFixing(Currency&amp;IborType&amp;"6M",_xll.qlInterestRateIndexFixingDate(Currency&amp;IborType&amp;"6M",M482),TRUE,AllTriggers)</f>
        <v>1.9950167280125036E-2</v>
      </c>
      <c r="R482" s="38">
        <f>_xll.qlOvernightIndexedSwapFairRate(O482,AllTriggers)</f>
        <v>1.9420855195774911E-2</v>
      </c>
      <c r="S482" s="345">
        <f t="shared" si="11"/>
        <v>5.2931208435012464E-4</v>
      </c>
    </row>
    <row r="483" spans="5:19" ht="11.25" customHeight="1" x14ac:dyDescent="0.2">
      <c r="E483" s="254"/>
      <c r="F483" s="254"/>
      <c r="G483" s="39"/>
      <c r="J483" s="39"/>
      <c r="K483" s="39"/>
      <c r="M483" s="346">
        <f>_xll.qlCalendarAdvance(Calendar,M482,"1M","f",,Trigger)</f>
        <v>56949</v>
      </c>
      <c r="N483" s="344">
        <f>_xll.qlCalendarAdvance(Calendar,M483,"3M","f",,Trigger)</f>
        <v>57040</v>
      </c>
      <c r="O483" s="40" t="str">
        <f>_xll.qlMakeDatedOIS(,M483,N483,OvernightIndex,0,,,,EvaluationDate)</f>
        <v>obj_009eb#0000</v>
      </c>
      <c r="P483" s="40" t="b">
        <f>_xll.qlInstrumentSetPricingEngine(O483,OisEngine)</f>
        <v>1</v>
      </c>
      <c r="Q483" s="38">
        <f>_xll.qlIndexFixing(Currency&amp;IborType&amp;"6M",_xll.qlInterestRateIndexFixingDate(Currency&amp;IborType&amp;"6M",M483),TRUE,AllTriggers)</f>
        <v>1.9916804941561572E-2</v>
      </c>
      <c r="R483" s="38">
        <f>_xll.qlOvernightIndexedSwapFairRate(O483,AllTriggers)</f>
        <v>1.9396140610621091E-2</v>
      </c>
      <c r="S483" s="345">
        <f t="shared" si="11"/>
        <v>5.2066433094048042E-4</v>
      </c>
    </row>
    <row r="484" spans="5:19" ht="11.25" customHeight="1" x14ac:dyDescent="0.2">
      <c r="E484" s="254"/>
      <c r="F484" s="254"/>
      <c r="G484" s="39"/>
      <c r="J484" s="39"/>
      <c r="K484" s="39"/>
      <c r="M484" s="346">
        <f>_xll.qlCalendarAdvance(Calendar,M483,"1M","f",,Trigger)</f>
        <v>56982</v>
      </c>
      <c r="N484" s="344">
        <f>_xll.qlCalendarAdvance(Calendar,M484,"3M","f",,Trigger)</f>
        <v>57074</v>
      </c>
      <c r="O484" s="40" t="str">
        <f>_xll.qlMakeDatedOIS(,M484,N484,OvernightIndex,0,,,,EvaluationDate)</f>
        <v>obj_009b6#0000</v>
      </c>
      <c r="P484" s="40" t="b">
        <f>_xll.qlInstrumentSetPricingEngine(O484,OisEngine)</f>
        <v>1</v>
      </c>
      <c r="Q484" s="38">
        <f>_xll.qlIndexFixing(Currency&amp;IborType&amp;"6M",_xll.qlInterestRateIndexFixingDate(Currency&amp;IborType&amp;"6M",M484),TRUE,AllTriggers)</f>
        <v>1.988070946118085E-2</v>
      </c>
      <c r="R484" s="38">
        <f>_xll.qlOvernightIndexedSwapFairRate(O484,AllTriggers)</f>
        <v>1.9369654486460872E-2</v>
      </c>
      <c r="S484" s="345">
        <f t="shared" si="11"/>
        <v>5.1105497471997871E-4</v>
      </c>
    </row>
    <row r="485" spans="5:19" ht="11.25" customHeight="1" x14ac:dyDescent="0.2">
      <c r="E485" s="254"/>
      <c r="F485" s="254"/>
      <c r="G485" s="39"/>
      <c r="J485" s="39"/>
      <c r="K485" s="39"/>
      <c r="M485" s="346">
        <f>_xll.qlCalendarAdvance(Calendar,M484,"1M","f",,Trigger)</f>
        <v>57013</v>
      </c>
      <c r="N485" s="344">
        <f>_xll.qlCalendarAdvance(Calendar,M485,"3M","f",,Trigger)</f>
        <v>57103</v>
      </c>
      <c r="O485" s="40" t="str">
        <f>_xll.qlMakeDatedOIS(,M485,N485,OvernightIndex,0,,,,EvaluationDate)</f>
        <v>obj_007f8#0000</v>
      </c>
      <c r="P485" s="40" t="b">
        <f>_xll.qlInstrumentSetPricingEngine(O485,OisEngine)</f>
        <v>1</v>
      </c>
      <c r="Q485" s="38">
        <f>_xll.qlIndexFixing(Currency&amp;IborType&amp;"6M",_xll.qlInterestRateIndexFixingDate(Currency&amp;IborType&amp;"6M",M485),TRUE,AllTriggers)</f>
        <v>1.9847396777914011E-2</v>
      </c>
      <c r="R485" s="38">
        <f>_xll.qlOvernightIndexedSwapFairRate(O485,AllTriggers)</f>
        <v>1.9344834770664399E-2</v>
      </c>
      <c r="S485" s="345">
        <f t="shared" si="11"/>
        <v>5.0256200724961217E-4</v>
      </c>
    </row>
    <row r="486" spans="5:19" ht="11.25" customHeight="1" x14ac:dyDescent="0.2">
      <c r="E486" s="254"/>
      <c r="F486" s="254"/>
      <c r="G486" s="39"/>
      <c r="J486" s="39"/>
      <c r="K486" s="39"/>
      <c r="M486" s="346">
        <f>_xll.qlCalendarAdvance(Calendar,M485,"1M","f",,Trigger)</f>
        <v>57042</v>
      </c>
      <c r="N486" s="344">
        <f>_xll.qlCalendarAdvance(Calendar,M486,"3M","f",,Trigger)</f>
        <v>57136</v>
      </c>
      <c r="O486" s="40" t="str">
        <f>_xll.qlMakeDatedOIS(,M486,N486,OvernightIndex,0,,,,EvaluationDate)</f>
        <v>obj_0097e#0000</v>
      </c>
      <c r="P486" s="40" t="b">
        <f>_xll.qlInstrumentSetPricingEngine(O486,OisEngine)</f>
        <v>1</v>
      </c>
      <c r="Q486" s="38">
        <f>_xll.qlIndexFixing(Currency&amp;IborType&amp;"6M",_xll.qlInterestRateIndexFixingDate(Currency&amp;IborType&amp;"6M",M486),TRUE,AllTriggers)</f>
        <v>1.9816836211101682E-2</v>
      </c>
      <c r="R486" s="38">
        <f>_xll.qlOvernightIndexedSwapFairRate(O486,AllTriggers)</f>
        <v>1.9322764301011614E-2</v>
      </c>
      <c r="S486" s="345">
        <f t="shared" si="11"/>
        <v>4.9407191009006798E-4</v>
      </c>
    </row>
    <row r="487" spans="5:19" ht="11.25" customHeight="1" x14ac:dyDescent="0.2">
      <c r="E487" s="254"/>
      <c r="F487" s="254"/>
      <c r="G487" s="39"/>
      <c r="J487" s="39"/>
      <c r="K487" s="39"/>
      <c r="M487" s="346">
        <f>_xll.qlCalendarAdvance(Calendar,M486,"1M","f",,Trigger)</f>
        <v>57074</v>
      </c>
      <c r="N487" s="344">
        <f>_xll.qlCalendarAdvance(Calendar,M487,"3M","f",,Trigger)</f>
        <v>57165</v>
      </c>
      <c r="O487" s="40" t="str">
        <f>_xll.qlMakeDatedOIS(,M487,N487,OvernightIndex,0,,,,EvaluationDate)</f>
        <v>obj_007fa#0000</v>
      </c>
      <c r="P487" s="40" t="b">
        <f>_xll.qlInstrumentSetPricingEngine(O487,OisEngine)</f>
        <v>1</v>
      </c>
      <c r="Q487" s="38">
        <f>_xll.qlIndexFixing(Currency&amp;IborType&amp;"6M",_xll.qlInterestRateIndexFixingDate(Currency&amp;IborType&amp;"6M",M487),TRUE,AllTriggers)</f>
        <v>1.9783548548945207E-2</v>
      </c>
      <c r="R487" s="38">
        <f>_xll.qlOvernightIndexedSwapFairRate(O487,AllTriggers)</f>
        <v>1.9297842532567548E-2</v>
      </c>
      <c r="S487" s="345">
        <f t="shared" si="11"/>
        <v>4.8570601637765859E-4</v>
      </c>
    </row>
    <row r="488" spans="5:19" ht="11.25" customHeight="1" x14ac:dyDescent="0.2">
      <c r="E488" s="254"/>
      <c r="F488" s="254"/>
      <c r="G488" s="39"/>
      <c r="J488" s="39"/>
      <c r="K488" s="39"/>
      <c r="M488" s="346">
        <f>_xll.qlCalendarAdvance(Calendar,M487,"1M","f",,Trigger)</f>
        <v>57104</v>
      </c>
      <c r="N488" s="344">
        <f>_xll.qlCalendarAdvance(Calendar,M488,"3M","f",,Trigger)</f>
        <v>57196</v>
      </c>
      <c r="O488" s="40" t="str">
        <f>_xll.qlMakeDatedOIS(,M488,N488,OvernightIndex,0,,,,EvaluationDate)</f>
        <v>obj_007fc#0000</v>
      </c>
      <c r="P488" s="40" t="b">
        <f>_xll.qlInstrumentSetPricingEngine(O488,OisEngine)</f>
        <v>1</v>
      </c>
      <c r="Q488" s="38">
        <f>_xll.qlIndexFixing(Currency&amp;IborType&amp;"6M",_xll.qlInterestRateIndexFixingDate(Currency&amp;IborType&amp;"6M",M488),TRUE,AllTriggers)</f>
        <v>1.9753079207282941E-2</v>
      </c>
      <c r="R488" s="38">
        <f>_xll.qlOvernightIndexedSwapFairRate(O488,AllTriggers)</f>
        <v>1.9275406387270645E-2</v>
      </c>
      <c r="S488" s="345">
        <f t="shared" si="11"/>
        <v>4.7767282001229608E-4</v>
      </c>
    </row>
    <row r="489" spans="5:19" ht="11.25" customHeight="1" x14ac:dyDescent="0.2">
      <c r="E489" s="254"/>
      <c r="F489" s="254"/>
      <c r="G489" s="39"/>
      <c r="J489" s="39"/>
      <c r="K489" s="39"/>
      <c r="M489" s="346">
        <f>_xll.qlCalendarAdvance(Calendar,M488,"1M","f",,Trigger)</f>
        <v>57136</v>
      </c>
      <c r="N489" s="344">
        <f>_xll.qlCalendarAdvance(Calendar,M489,"3M","f",,Trigger)</f>
        <v>57228</v>
      </c>
      <c r="O489" s="40" t="str">
        <f>_xll.qlMakeDatedOIS(,M489,N489,OvernightIndex,0,,,,EvaluationDate)</f>
        <v>obj_008c1#0000</v>
      </c>
      <c r="P489" s="40" t="b">
        <f>_xll.qlInstrumentSetPricingEngine(O489,OisEngine)</f>
        <v>1</v>
      </c>
      <c r="Q489" s="38">
        <f>_xll.qlIndexFixing(Currency&amp;IborType&amp;"6M",_xll.qlInterestRateIndexFixingDate(Currency&amp;IborType&amp;"6M",M489),TRUE,AllTriggers)</f>
        <v>1.9720895784938405E-2</v>
      </c>
      <c r="R489" s="38">
        <f>_xll.qlOvernightIndexedSwapFairRate(O489,AllTriggers)</f>
        <v>1.9251755950577241E-2</v>
      </c>
      <c r="S489" s="345">
        <f t="shared" si="11"/>
        <v>4.6913983436116385E-4</v>
      </c>
    </row>
    <row r="490" spans="5:19" ht="11.25" customHeight="1" x14ac:dyDescent="0.2">
      <c r="E490" s="254"/>
      <c r="F490" s="254"/>
      <c r="G490" s="39"/>
      <c r="J490" s="39"/>
      <c r="K490" s="39"/>
      <c r="M490" s="346">
        <f>_xll.qlCalendarAdvance(Calendar,M489,"1M","f",,Trigger)</f>
        <v>57166</v>
      </c>
      <c r="N490" s="344">
        <f>_xll.qlCalendarAdvance(Calendar,M490,"3M","f",,Trigger)</f>
        <v>57258</v>
      </c>
      <c r="O490" s="40" t="str">
        <f>_xll.qlMakeDatedOIS(,M490,N490,OvernightIndex,0,,,,EvaluationDate)</f>
        <v>obj_0086e#0000</v>
      </c>
      <c r="P490" s="40" t="b">
        <f>_xll.qlInstrumentSetPricingEngine(O490,OisEngine)</f>
        <v>1</v>
      </c>
      <c r="Q490" s="38">
        <f>_xll.qlIndexFixing(Currency&amp;IborType&amp;"6M",_xll.qlInterestRateIndexFixingDate(Currency&amp;IborType&amp;"6M",M490),TRUE,AllTriggers)</f>
        <v>1.9691458049264161E-2</v>
      </c>
      <c r="R490" s="38">
        <f>_xll.qlOvernightIndexedSwapFairRate(O490,AllTriggers)</f>
        <v>1.9229987649531172E-2</v>
      </c>
      <c r="S490" s="345">
        <f t="shared" si="11"/>
        <v>4.6147039973298831E-4</v>
      </c>
    </row>
    <row r="491" spans="5:19" ht="11.25" customHeight="1" x14ac:dyDescent="0.2">
      <c r="E491" s="254"/>
      <c r="F491" s="254"/>
      <c r="G491" s="39"/>
      <c r="J491" s="39"/>
      <c r="K491" s="39"/>
      <c r="M491" s="346">
        <f>_xll.qlCalendarAdvance(Calendar,M490,"1M","f",,Trigger)</f>
        <v>57199</v>
      </c>
      <c r="N491" s="344">
        <f>_xll.qlCalendarAdvance(Calendar,M491,"3M","f",,Trigger)</f>
        <v>57291</v>
      </c>
      <c r="O491" s="40" t="str">
        <f>_xll.qlMakeDatedOIS(,M491,N491,OvernightIndex,0,,,,EvaluationDate)</f>
        <v>obj_007ff#0000</v>
      </c>
      <c r="P491" s="40" t="b">
        <f>_xll.qlInstrumentSetPricingEngine(O491,OisEngine)</f>
        <v>1</v>
      </c>
      <c r="Q491" s="38">
        <f>_xll.qlIndexFixing(Currency&amp;IborType&amp;"6M",_xll.qlInterestRateIndexFixingDate(Currency&amp;IborType&amp;"6M",M491),TRUE,AllTriggers)</f>
        <v>1.9659637176682902E-2</v>
      </c>
      <c r="R491" s="38">
        <f>_xll.qlOvernightIndexedSwapFairRate(O491,AllTriggers)</f>
        <v>1.9206494059608992E-2</v>
      </c>
      <c r="S491" s="345">
        <f t="shared" si="11"/>
        <v>4.531431170739092E-4</v>
      </c>
    </row>
    <row r="492" spans="5:19" ht="11.25" customHeight="1" x14ac:dyDescent="0.2">
      <c r="E492" s="254"/>
      <c r="F492" s="254"/>
      <c r="G492" s="39"/>
      <c r="J492" s="39"/>
      <c r="K492" s="39"/>
      <c r="M492" s="346">
        <f>_xll.qlCalendarAdvance(Calendar,M491,"1M","f",,Trigger)</f>
        <v>57230</v>
      </c>
      <c r="N492" s="344">
        <f>_xll.qlCalendarAdvance(Calendar,M492,"3M","f",,Trigger)</f>
        <v>57321</v>
      </c>
      <c r="O492" s="40" t="str">
        <f>_xll.qlMakeDatedOIS(,M492,N492,OvernightIndex,0,,,,EvaluationDate)</f>
        <v>obj_00801#0000</v>
      </c>
      <c r="P492" s="40" t="b">
        <f>_xll.qlInstrumentSetPricingEngine(O492,OisEngine)</f>
        <v>1</v>
      </c>
      <c r="Q492" s="38">
        <f>_xll.qlIndexFixing(Currency&amp;IborType&amp;"6M",_xll.qlInterestRateIndexFixingDate(Currency&amp;IborType&amp;"6M",M492),TRUE,AllTriggers)</f>
        <v>1.9630111103239423E-2</v>
      </c>
      <c r="R492" s="38">
        <f>_xll.qlOvernightIndexedSwapFairRate(O492,AllTriggers)</f>
        <v>1.9184687246212563E-2</v>
      </c>
      <c r="S492" s="345">
        <f t="shared" si="11"/>
        <v>4.4542385702685955E-4</v>
      </c>
    </row>
    <row r="493" spans="5:19" ht="11.25" customHeight="1" x14ac:dyDescent="0.2">
      <c r="E493" s="254"/>
      <c r="F493" s="254"/>
      <c r="G493" s="39"/>
      <c r="J493" s="39"/>
      <c r="K493" s="39"/>
      <c r="M493" s="346">
        <f>_xll.qlCalendarAdvance(Calendar,M492,"1M","f",,Trigger)</f>
        <v>57262</v>
      </c>
      <c r="N493" s="344">
        <f>_xll.qlCalendarAdvance(Calendar,M493,"3M","f",,Trigger)</f>
        <v>57354</v>
      </c>
      <c r="O493" s="40" t="str">
        <f>_xll.qlMakeDatedOIS(,M493,N493,OvernightIndex,0,,,,EvaluationDate)</f>
        <v>obj_00a08#0000</v>
      </c>
      <c r="P493" s="40" t="b">
        <f>_xll.qlInstrumentSetPricingEngine(O493,OisEngine)</f>
        <v>1</v>
      </c>
      <c r="Q493" s="38">
        <f>_xll.qlIndexFixing(Currency&amp;IborType&amp;"6M",_xll.qlInterestRateIndexFixingDate(Currency&amp;IborType&amp;"6M",M493),TRUE,AllTriggers)</f>
        <v>1.9600519221895964E-2</v>
      </c>
      <c r="R493" s="38">
        <f>_xll.qlOvernightIndexedSwapFairRate(O493,AllTriggers)</f>
        <v>1.9162956205332413E-2</v>
      </c>
      <c r="S493" s="345">
        <f t="shared" si="11"/>
        <v>4.3756301656355107E-4</v>
      </c>
    </row>
    <row r="494" spans="5:19" ht="11.25" customHeight="1" x14ac:dyDescent="0.2">
      <c r="E494" s="254"/>
      <c r="F494" s="254"/>
      <c r="G494" s="39"/>
      <c r="J494" s="39"/>
      <c r="K494" s="39"/>
      <c r="M494" s="346">
        <f>_xll.qlCalendarAdvance(Calendar,M493,"1M","f",,Trigger)</f>
        <v>57293</v>
      </c>
      <c r="N494" s="344">
        <f>_xll.qlCalendarAdvance(Calendar,M494,"3M","f",,Trigger)</f>
        <v>57385</v>
      </c>
      <c r="O494" s="40" t="str">
        <f>_xll.qlMakeDatedOIS(,M494,N494,OvernightIndex,0,,,,EvaluationDate)</f>
        <v>obj_009ea#0000</v>
      </c>
      <c r="P494" s="40" t="b">
        <f>_xll.qlInstrumentSetPricingEngine(O494,OisEngine)</f>
        <v>1</v>
      </c>
      <c r="Q494" s="38">
        <f>_xll.qlIndexFixing(Currency&amp;IborType&amp;"6M",_xll.qlInterestRateIndexFixingDate(Currency&amp;IborType&amp;"6M",M494),TRUE,AllTriggers)</f>
        <v>1.9572270351141674E-2</v>
      </c>
      <c r="R494" s="38">
        <f>_xll.qlOvernightIndexedSwapFairRate(O494,AllTriggers)</f>
        <v>1.914216568439887E-2</v>
      </c>
      <c r="S494" s="345">
        <f t="shared" si="11"/>
        <v>4.3010466674280393E-4</v>
      </c>
    </row>
    <row r="495" spans="5:19" ht="11.25" customHeight="1" x14ac:dyDescent="0.2">
      <c r="E495" s="254"/>
      <c r="F495" s="254"/>
      <c r="G495" s="39"/>
      <c r="J495" s="39"/>
      <c r="K495" s="39"/>
      <c r="M495" s="346">
        <f>_xll.qlCalendarAdvance(Calendar,M494,"1M","f",,Trigger)</f>
        <v>57325</v>
      </c>
      <c r="N495" s="344">
        <f>_xll.qlCalendarAdvance(Calendar,M495,"3M","f",,Trigger)</f>
        <v>57416</v>
      </c>
      <c r="O495" s="40" t="str">
        <f>_xll.qlMakeDatedOIS(,M495,N495,OvernightIndex,0,,,,EvaluationDate)</f>
        <v>obj_009b5#0000</v>
      </c>
      <c r="P495" s="40" t="b">
        <f>_xll.qlInstrumentSetPricingEngine(O495,OisEngine)</f>
        <v>1</v>
      </c>
      <c r="Q495" s="38">
        <f>_xll.qlIndexFixing(Currency&amp;IborType&amp;"6M",_xll.qlInterestRateIndexFixingDate(Currency&amp;IborType&amp;"6M",M495),TRUE,AllTriggers)</f>
        <v>1.9543890722136231E-2</v>
      </c>
      <c r="R495" s="38">
        <f>_xll.qlOvernightIndexedSwapFairRate(O495,AllTriggers)</f>
        <v>1.9120957102945292E-2</v>
      </c>
      <c r="S495" s="345">
        <f t="shared" si="11"/>
        <v>4.2293361919093844E-4</v>
      </c>
    </row>
    <row r="496" spans="5:19" ht="11.25" customHeight="1" x14ac:dyDescent="0.2">
      <c r="E496" s="254"/>
      <c r="F496" s="254"/>
      <c r="G496" s="39"/>
      <c r="J496" s="39"/>
      <c r="K496" s="39"/>
      <c r="M496" s="346">
        <f>_xll.qlCalendarAdvance(Calendar,M495,"1M","f",,Trigger)</f>
        <v>57356</v>
      </c>
      <c r="N496" s="344">
        <f>_xll.qlCalendarAdvance(Calendar,M496,"3M","f",,Trigger)</f>
        <v>57446</v>
      </c>
      <c r="O496" s="40" t="str">
        <f>_xll.qlMakeDatedOIS(,M496,N496,OvernightIndex,0,,,,EvaluationDate)</f>
        <v>obj_00806#0000</v>
      </c>
      <c r="P496" s="40" t="b">
        <f>_xll.qlInstrumentSetPricingEngine(O496,OisEngine)</f>
        <v>1</v>
      </c>
      <c r="Q496" s="38">
        <f>_xll.qlIndexFixing(Currency&amp;IborType&amp;"6M",_xll.qlInterestRateIndexFixingDate(Currency&amp;IborType&amp;"6M",M496),TRUE,AllTriggers)</f>
        <v>1.9516785394352143E-2</v>
      </c>
      <c r="R496" s="38">
        <f>_xll.qlOvernightIndexedSwapFairRate(O496,AllTriggers)</f>
        <v>1.9100818418985813E-2</v>
      </c>
      <c r="S496" s="345">
        <f t="shared" si="11"/>
        <v>4.1596697536632962E-4</v>
      </c>
    </row>
    <row r="497" spans="5:19" ht="11.25" customHeight="1" x14ac:dyDescent="0.2">
      <c r="E497" s="254"/>
      <c r="F497" s="254"/>
      <c r="G497" s="39"/>
      <c r="J497" s="39"/>
      <c r="K497" s="39"/>
      <c r="M497" s="346">
        <f>_xll.qlCalendarAdvance(Calendar,M496,"1M","f",,Trigger)</f>
        <v>57388</v>
      </c>
      <c r="N497" s="344">
        <f>_xll.qlCalendarAdvance(Calendar,M497,"3M","f",,Trigger)</f>
        <v>57479</v>
      </c>
      <c r="O497" s="40" t="str">
        <f>_xll.qlMakeDatedOIS(,M497,N497,OvernightIndex,0,,,,EvaluationDate)</f>
        <v>obj_0097d#0000</v>
      </c>
      <c r="P497" s="40" t="b">
        <f>_xll.qlInstrumentSetPricingEngine(O497,OisEngine)</f>
        <v>1</v>
      </c>
      <c r="Q497" s="38">
        <f>_xll.qlIndexFixing(Currency&amp;IborType&amp;"6M",_xll.qlInterestRateIndexFixingDate(Currency&amp;IborType&amp;"6M",M497),TRUE,AllTriggers)</f>
        <v>1.9489618051715576E-2</v>
      </c>
      <c r="R497" s="38">
        <f>_xll.qlOvernightIndexedSwapFairRate(O497,AllTriggers)</f>
        <v>1.9080855593505582E-2</v>
      </c>
      <c r="S497" s="345">
        <f t="shared" si="11"/>
        <v>4.0876245820999427E-4</v>
      </c>
    </row>
    <row r="498" spans="5:19" ht="11.25" customHeight="1" x14ac:dyDescent="0.2">
      <c r="E498" s="254"/>
      <c r="F498" s="254"/>
      <c r="G498" s="39"/>
      <c r="J498" s="39"/>
      <c r="K498" s="39"/>
      <c r="M498" s="346">
        <f>_xll.qlCalendarAdvance(Calendar,M497,"1M","f",,Trigger)</f>
        <v>57416</v>
      </c>
      <c r="N498" s="344">
        <f>_xll.qlCalendarAdvance(Calendar,M498,"3M","f",,Trigger)</f>
        <v>57508</v>
      </c>
      <c r="O498" s="40" t="str">
        <f>_xll.qlMakeDatedOIS(,M498,N498,OvernightIndex,0,,,,EvaluationDate)</f>
        <v>obj_00912#0000</v>
      </c>
      <c r="P498" s="40" t="b">
        <f>_xll.qlInstrumentSetPricingEngine(O498,OisEngine)</f>
        <v>1</v>
      </c>
      <c r="Q498" s="38">
        <f>_xll.qlIndexFixing(Currency&amp;IborType&amp;"6M",_xll.qlInterestRateIndexFixingDate(Currency&amp;IborType&amp;"6M",M498),TRUE,AllTriggers)</f>
        <v>1.9466494349121458E-2</v>
      </c>
      <c r="R498" s="38">
        <f>_xll.qlOvernightIndexedSwapFairRate(O498,AllTriggers)</f>
        <v>1.9063787968971461E-2</v>
      </c>
      <c r="S498" s="345">
        <f t="shared" si="11"/>
        <v>4.0270638014999749E-4</v>
      </c>
    </row>
    <row r="499" spans="5:19" ht="11.25" customHeight="1" x14ac:dyDescent="0.2">
      <c r="E499" s="254"/>
      <c r="F499" s="254"/>
      <c r="G499" s="39"/>
      <c r="J499" s="39"/>
      <c r="K499" s="39"/>
      <c r="M499" s="346">
        <f>_xll.qlCalendarAdvance(Calendar,M498,"1M","f",,Trigger)</f>
        <v>57447</v>
      </c>
      <c r="N499" s="344">
        <f>_xll.qlCalendarAdvance(Calendar,M499,"3M","f",,Trigger)</f>
        <v>57538</v>
      </c>
      <c r="O499" s="40" t="str">
        <f>_xll.qlMakeDatedOIS(,M499,N499,OvernightIndex,0,,,,EvaluationDate)</f>
        <v>obj_008c0#0000</v>
      </c>
      <c r="P499" s="40" t="b">
        <f>_xll.qlInstrumentSetPricingEngine(O499,OisEngine)</f>
        <v>1</v>
      </c>
      <c r="Q499" s="38">
        <f>_xll.qlIndexFixing(Currency&amp;IborType&amp;"6M",_xll.qlInterestRateIndexFixingDate(Currency&amp;IborType&amp;"6M",M499),TRUE,AllTriggers)</f>
        <v>1.9441055729881116E-2</v>
      </c>
      <c r="R499" s="38">
        <f>_xll.qlOvernightIndexedSwapFairRate(O499,AllTriggers)</f>
        <v>1.9044863294620112E-2</v>
      </c>
      <c r="S499" s="345">
        <f t="shared" si="11"/>
        <v>3.9619243526100439E-4</v>
      </c>
    </row>
    <row r="500" spans="5:19" ht="11.25" customHeight="1" x14ac:dyDescent="0.2">
      <c r="E500" s="254"/>
      <c r="F500" s="254"/>
      <c r="G500" s="39"/>
      <c r="J500" s="39"/>
      <c r="K500" s="39"/>
      <c r="M500" s="346">
        <f>_xll.qlCalendarAdvance(Calendar,M499,"1M","f",,Trigger)</f>
        <v>57479</v>
      </c>
      <c r="N500" s="344">
        <f>_xll.qlCalendarAdvance(Calendar,M500,"3M","f",,Trigger)</f>
        <v>57571</v>
      </c>
      <c r="O500" s="40" t="str">
        <f>_xll.qlMakeDatedOIS(,M500,N500,OvernightIndex,0,,,,EvaluationDate)</f>
        <v>obj_0080a#0000</v>
      </c>
      <c r="P500" s="40" t="b">
        <f>_xll.qlInstrumentSetPricingEngine(O500,OisEngine)</f>
        <v>1</v>
      </c>
      <c r="Q500" s="38">
        <f>_xll.qlIndexFixing(Currency&amp;IborType&amp;"6M",_xll.qlInterestRateIndexFixingDate(Currency&amp;IborType&amp;"6M",M500),TRUE,AllTriggers)</f>
        <v>1.941565613102272E-2</v>
      </c>
      <c r="R500" s="38">
        <f>_xll.qlOvernightIndexedSwapFairRate(O500,AllTriggers)</f>
        <v>1.9026188039198276E-2</v>
      </c>
      <c r="S500" s="345">
        <f t="shared" si="11"/>
        <v>3.8946809182444433E-4</v>
      </c>
    </row>
    <row r="501" spans="5:19" ht="11.25" customHeight="1" x14ac:dyDescent="0.2">
      <c r="E501" s="254"/>
      <c r="F501" s="254"/>
      <c r="G501" s="39"/>
      <c r="J501" s="39"/>
      <c r="K501" s="39"/>
      <c r="M501" s="346">
        <f>_xll.qlCalendarAdvance(Calendar,M500,"1M","f",,Trigger)</f>
        <v>57510</v>
      </c>
      <c r="N501" s="344">
        <f>_xll.qlCalendarAdvance(Calendar,M501,"3M","f",,Trigger)</f>
        <v>57602</v>
      </c>
      <c r="O501" s="40" t="str">
        <f>_xll.qlMakeDatedOIS(,M501,N501,OvernightIndex,0,,,,EvaluationDate)</f>
        <v>obj_0086d#0000</v>
      </c>
      <c r="P501" s="40" t="b">
        <f>_xll.qlInstrumentSetPricingEngine(O501,OisEngine)</f>
        <v>1</v>
      </c>
      <c r="Q501" s="38">
        <f>_xll.qlIndexFixing(Currency&amp;IborType&amp;"6M",_xll.qlInterestRateIndexFixingDate(Currency&amp;IborType&amp;"6M",M501),TRUE,AllTriggers)</f>
        <v>1.9391360629536367E-2</v>
      </c>
      <c r="R501" s="38">
        <f>_xll.qlOvernightIndexedSwapFairRate(O501,AllTriggers)</f>
        <v>1.9008319287622498E-2</v>
      </c>
      <c r="S501" s="345">
        <f t="shared" si="11"/>
        <v>3.8304134191386938E-4</v>
      </c>
    </row>
    <row r="502" spans="5:19" ht="11.25" customHeight="1" x14ac:dyDescent="0.2">
      <c r="E502" s="254"/>
      <c r="F502" s="254"/>
      <c r="G502" s="39"/>
      <c r="J502" s="39"/>
      <c r="K502" s="39"/>
      <c r="M502" s="346">
        <f>_xll.qlCalendarAdvance(Calendar,M501,"1M","f",,Trigger)</f>
        <v>57542</v>
      </c>
      <c r="N502" s="344">
        <f>_xll.qlCalendarAdvance(Calendar,M502,"3M","f",,Trigger)</f>
        <v>57634</v>
      </c>
      <c r="O502" s="40" t="str">
        <f>_xll.qlMakeDatedOIS(,M502,N502,OvernightIndex,0,,,,EvaluationDate)</f>
        <v>obj_00a07#0000</v>
      </c>
      <c r="P502" s="40" t="b">
        <f>_xll.qlInstrumentSetPricingEngine(O502,OisEngine)</f>
        <v>1</v>
      </c>
      <c r="Q502" s="38">
        <f>_xll.qlIndexFixing(Currency&amp;IborType&amp;"6M",_xll.qlInterestRateIndexFixingDate(Currency&amp;IborType&amp;"6M",M502),TRUE,AllTriggers)</f>
        <v>1.9367173551432589E-2</v>
      </c>
      <c r="R502" s="38">
        <f>_xll.qlOvernightIndexedSwapFairRate(O502,AllTriggers)</f>
        <v>1.8990311909009041E-2</v>
      </c>
      <c r="S502" s="345">
        <f t="shared" si="11"/>
        <v>3.7686164242354755E-4</v>
      </c>
    </row>
    <row r="503" spans="5:19" ht="11.25" customHeight="1" x14ac:dyDescent="0.2">
      <c r="E503" s="254"/>
      <c r="F503" s="254"/>
      <c r="G503" s="39"/>
      <c r="J503" s="39"/>
      <c r="K503" s="39"/>
      <c r="M503" s="346">
        <f>_xll.qlCalendarAdvance(Calendar,M502,"1M","f",,Trigger)</f>
        <v>57573</v>
      </c>
      <c r="N503" s="344">
        <f>_xll.qlCalendarAdvance(Calendar,M503,"3M","f",,Trigger)</f>
        <v>57665</v>
      </c>
      <c r="O503" s="40" t="str">
        <f>_xll.qlMakeDatedOIS(,M503,N503,OvernightIndex,0,,,,EvaluationDate)</f>
        <v>obj_009e9#0000</v>
      </c>
      <c r="P503" s="40" t="b">
        <f>_xll.qlInstrumentSetPricingEngine(O503,OisEngine)</f>
        <v>1</v>
      </c>
      <c r="Q503" s="38">
        <f>_xll.qlIndexFixing(Currency&amp;IborType&amp;"6M",_xll.qlInterestRateIndexFixingDate(Currency&amp;IborType&amp;"6M",M503),TRUE,AllTriggers)</f>
        <v>1.9344503836043556E-2</v>
      </c>
      <c r="R503" s="38">
        <f>_xll.qlOvernightIndexedSwapFairRate(O503,AllTriggers)</f>
        <v>1.8973291358815435E-2</v>
      </c>
      <c r="S503" s="345">
        <f t="shared" si="11"/>
        <v>3.7121247722812084E-4</v>
      </c>
    </row>
    <row r="504" spans="5:19" ht="11.25" customHeight="1" x14ac:dyDescent="0.2">
      <c r="E504" s="254"/>
      <c r="F504" s="254"/>
      <c r="G504" s="39"/>
      <c r="J504" s="39"/>
      <c r="K504" s="39"/>
      <c r="M504" s="346">
        <f>_xll.qlCalendarAdvance(Calendar,M503,"1M","f",,Trigger)</f>
        <v>57605</v>
      </c>
      <c r="N504" s="344">
        <f>_xll.qlCalendarAdvance(Calendar,M504,"3M","f",,Trigger)</f>
        <v>57696</v>
      </c>
      <c r="O504" s="40" t="str">
        <f>_xll.qlMakeDatedOIS(,M504,N504,OvernightIndex,0,,,,EvaluationDate)</f>
        <v>obj_009b4#0000</v>
      </c>
      <c r="P504" s="40" t="b">
        <f>_xll.qlInstrumentSetPricingEngine(O504,OisEngine)</f>
        <v>1</v>
      </c>
      <c r="Q504" s="38">
        <f>_xll.qlIndexFixing(Currency&amp;IborType&amp;"6M",_xll.qlInterestRateIndexFixingDate(Currency&amp;IborType&amp;"6M",M504),TRUE,AllTriggers)</f>
        <v>1.9320708532104009E-2</v>
      </c>
      <c r="R504" s="38">
        <f>_xll.qlOvernightIndexedSwapFairRate(O504,AllTriggers)</f>
        <v>1.8955922206241954E-2</v>
      </c>
      <c r="S504" s="345">
        <f t="shared" si="11"/>
        <v>3.6478632586205498E-4</v>
      </c>
    </row>
    <row r="505" spans="5:19" ht="11.25" customHeight="1" x14ac:dyDescent="0.2">
      <c r="E505" s="254"/>
      <c r="F505" s="254"/>
      <c r="G505" s="39"/>
      <c r="J505" s="39"/>
      <c r="K505" s="39"/>
      <c r="M505" s="346">
        <f>_xll.qlCalendarAdvance(Calendar,M504,"1M","f",,Trigger)</f>
        <v>57635</v>
      </c>
      <c r="N505" s="344">
        <f>_xll.qlCalendarAdvance(Calendar,M505,"3M","f",,Trigger)</f>
        <v>57727</v>
      </c>
      <c r="O505" s="40" t="str">
        <f>_xll.qlMakeDatedOIS(,M505,N505,OvernightIndex,0,,,,EvaluationDate)</f>
        <v>obj_0097c#0000</v>
      </c>
      <c r="P505" s="40" t="b">
        <f>_xll.qlInstrumentSetPricingEngine(O505,OisEngine)</f>
        <v>1</v>
      </c>
      <c r="Q505" s="38">
        <f>_xll.qlIndexFixing(Currency&amp;IborType&amp;"6M",_xll.qlInterestRateIndexFixingDate(Currency&amp;IborType&amp;"6M",M505),TRUE,AllTriggers)</f>
        <v>1.9299555532079016E-2</v>
      </c>
      <c r="R505" s="38">
        <f>_xll.qlOvernightIndexedSwapFairRate(O505,AllTriggers)</f>
        <v>1.8940502335090571E-2</v>
      </c>
      <c r="S505" s="345">
        <f t="shared" si="11"/>
        <v>3.5905319698844446E-4</v>
      </c>
    </row>
    <row r="506" spans="5:19" ht="11.25" customHeight="1" x14ac:dyDescent="0.2">
      <c r="E506" s="254"/>
      <c r="F506" s="254"/>
      <c r="G506" s="39"/>
      <c r="J506" s="39"/>
      <c r="K506" s="39"/>
      <c r="M506" s="346">
        <f>_xll.qlCalendarAdvance(Calendar,M505,"1M","f",,Trigger)</f>
        <v>57668</v>
      </c>
      <c r="N506" s="344">
        <f>_xll.qlCalendarAdvance(Calendar,M506,"3M","f",,Trigger)</f>
        <v>57760</v>
      </c>
      <c r="O506" s="40" t="str">
        <f>_xll.qlMakeDatedOIS(,M506,N506,OvernightIndex,0,,,,EvaluationDate)</f>
        <v>obj_0095a#0000</v>
      </c>
      <c r="P506" s="40" t="b">
        <f>_xll.qlInstrumentSetPricingEngine(O506,OisEngine)</f>
        <v>1</v>
      </c>
      <c r="Q506" s="38">
        <f>_xll.qlIndexFixing(Currency&amp;IborType&amp;"6M",_xll.qlInterestRateIndexFixingDate(Currency&amp;IborType&amp;"6M",M506),TRUE,AllTriggers)</f>
        <v>1.9276904007893E-2</v>
      </c>
      <c r="R506" s="38">
        <f>_xll.qlOvernightIndexedSwapFairRate(O506,AllTriggers)</f>
        <v>1.8923730860937626E-2</v>
      </c>
      <c r="S506" s="345">
        <f t="shared" si="11"/>
        <v>3.5317314695537325E-4</v>
      </c>
    </row>
    <row r="507" spans="5:19" ht="11.25" customHeight="1" x14ac:dyDescent="0.2">
      <c r="E507" s="254"/>
      <c r="F507" s="254"/>
      <c r="G507" s="39"/>
      <c r="J507" s="39"/>
      <c r="K507" s="39"/>
      <c r="M507" s="346">
        <f>_xll.qlCalendarAdvance(Calendar,M506,"1M","f",,Trigger)</f>
        <v>57698</v>
      </c>
      <c r="N507" s="344">
        <f>_xll.qlCalendarAdvance(Calendar,M507,"3M","f",,Trigger)</f>
        <v>57788</v>
      </c>
      <c r="O507" s="40" t="str">
        <f>_xll.qlMakeDatedOIS(,M507,N507,OvernightIndex,0,,,,EvaluationDate)</f>
        <v>obj_008bf#0000</v>
      </c>
      <c r="P507" s="40" t="b">
        <f>_xll.qlInstrumentSetPricingEngine(O507,OisEngine)</f>
        <v>1</v>
      </c>
      <c r="Q507" s="38">
        <f>_xll.qlIndexFixing(Currency&amp;IborType&amp;"6M",_xll.qlInterestRateIndexFixingDate(Currency&amp;IborType&amp;"6M",M507),TRUE,AllTriggers)</f>
        <v>1.9256872400571098E-2</v>
      </c>
      <c r="R507" s="38">
        <f>_xll.qlOvernightIndexedSwapFairRate(O507,AllTriggers)</f>
        <v>1.8908384522681843E-2</v>
      </c>
      <c r="S507" s="345">
        <f t="shared" si="11"/>
        <v>3.4848787788925584E-4</v>
      </c>
    </row>
    <row r="508" spans="5:19" ht="11.25" customHeight="1" x14ac:dyDescent="0.2">
      <c r="E508" s="254"/>
      <c r="F508" s="254"/>
      <c r="G508" s="39"/>
      <c r="J508" s="39"/>
      <c r="K508" s="39"/>
      <c r="M508" s="346">
        <f>_xll.qlCalendarAdvance(Calendar,M507,"1M","f",,Trigger)</f>
        <v>57731</v>
      </c>
      <c r="N508" s="344">
        <f>_xll.qlCalendarAdvance(Calendar,M508,"3M","f",,Trigger)</f>
        <v>57822</v>
      </c>
      <c r="O508" s="40" t="str">
        <f>_xll.qlMakeDatedOIS(,M508,N508,OvernightIndex,0,,,,EvaluationDate)</f>
        <v>obj_00812#0000</v>
      </c>
      <c r="P508" s="40" t="b">
        <f>_xll.qlInstrumentSetPricingEngine(O508,OisEngine)</f>
        <v>1</v>
      </c>
      <c r="Q508" s="38">
        <f>_xll.qlIndexFixing(Currency&amp;IborType&amp;"6M",_xll.qlInterestRateIndexFixingDate(Currency&amp;IborType&amp;"6M",M508),TRUE,AllTriggers)</f>
        <v>1.9235454368861156E-2</v>
      </c>
      <c r="R508" s="38">
        <f>_xll.qlOvernightIndexedSwapFairRate(O508,AllTriggers)</f>
        <v>1.8892764483029772E-2</v>
      </c>
      <c r="S508" s="345">
        <f t="shared" si="11"/>
        <v>3.4268988583138413E-4</v>
      </c>
    </row>
    <row r="509" spans="5:19" ht="11.25" customHeight="1" x14ac:dyDescent="0.2">
      <c r="E509" s="254"/>
      <c r="F509" s="254"/>
      <c r="G509" s="39"/>
      <c r="J509" s="39"/>
      <c r="K509" s="39"/>
      <c r="M509" s="346">
        <f>_xll.qlCalendarAdvance(Calendar,M508,"1M","f",,Trigger)</f>
        <v>57762</v>
      </c>
      <c r="N509" s="344">
        <f>_xll.qlCalendarAdvance(Calendar,M509,"3M","f",,Trigger)</f>
        <v>57851</v>
      </c>
      <c r="O509" s="40" t="str">
        <f>_xll.qlMakeDatedOIS(,M509,N509,OvernightIndex,0,,,,EvaluationDate)</f>
        <v>obj_0086c#0000</v>
      </c>
      <c r="P509" s="40" t="b">
        <f>_xll.qlInstrumentSetPricingEngine(O509,OisEngine)</f>
        <v>1</v>
      </c>
      <c r="Q509" s="38">
        <f>_xll.qlIndexFixing(Currency&amp;IborType&amp;"6M",_xll.qlInterestRateIndexFixingDate(Currency&amp;IborType&amp;"6M",M509),TRUE,AllTriggers)</f>
        <v>1.9215713261634532E-2</v>
      </c>
      <c r="R509" s="38">
        <f>_xll.qlOvernightIndexedSwapFairRate(O509,AllTriggers)</f>
        <v>1.8877748157246309E-2</v>
      </c>
      <c r="S509" s="345">
        <f t="shared" si="11"/>
        <v>3.3796510438822286E-4</v>
      </c>
    </row>
    <row r="510" spans="5:19" ht="11.25" customHeight="1" x14ac:dyDescent="0.2">
      <c r="E510" s="254"/>
      <c r="F510" s="254"/>
      <c r="G510" s="39"/>
      <c r="J510" s="39"/>
      <c r="K510" s="39"/>
      <c r="M510" s="346">
        <f>_xll.qlCalendarAdvance(Calendar,M509,"1M","f",,Trigger)</f>
        <v>57790</v>
      </c>
      <c r="N510" s="344">
        <f>_xll.qlCalendarAdvance(Calendar,M510,"3M","f",,Trigger)</f>
        <v>57882</v>
      </c>
      <c r="O510" s="40" t="str">
        <f>_xll.qlMakeDatedOIS(,M510,N510,OvernightIndex,0,,,,EvaluationDate)</f>
        <v>obj_00a06#0000</v>
      </c>
      <c r="P510" s="40" t="b">
        <f>_xll.qlInstrumentSetPricingEngine(O510,OisEngine)</f>
        <v>1</v>
      </c>
      <c r="Q510" s="38">
        <f>_xll.qlIndexFixing(Currency&amp;IborType&amp;"6M",_xll.qlInterestRateIndexFixingDate(Currency&amp;IborType&amp;"6M",M510),TRUE,AllTriggers)</f>
        <v>1.919964180306925E-2</v>
      </c>
      <c r="R510" s="38">
        <f>_xll.qlOvernightIndexedSwapFairRate(O510,AllTriggers)</f>
        <v>1.8865833318900443E-2</v>
      </c>
      <c r="S510" s="345">
        <f t="shared" si="11"/>
        <v>3.3380848416880715E-4</v>
      </c>
    </row>
    <row r="511" spans="5:19" ht="11.25" customHeight="1" x14ac:dyDescent="0.2">
      <c r="E511" s="254"/>
      <c r="F511" s="254"/>
      <c r="G511" s="39"/>
      <c r="J511" s="39"/>
      <c r="K511" s="39"/>
      <c r="M511" s="346">
        <f>_xll.qlCalendarAdvance(Calendar,M510,"1M","f",,Trigger)</f>
        <v>57822</v>
      </c>
      <c r="N511" s="344">
        <f>_xll.qlCalendarAdvance(Calendar,M511,"3M","f",,Trigger)</f>
        <v>57913</v>
      </c>
      <c r="O511" s="40" t="str">
        <f>_xll.qlMakeDatedOIS(,M511,N511,OvernightIndex,0,,,,EvaluationDate)</f>
        <v>obj_00816#0000</v>
      </c>
      <c r="P511" s="40" t="b">
        <f>_xll.qlInstrumentSetPricingEngine(O511,OisEngine)</f>
        <v>1</v>
      </c>
      <c r="Q511" s="38">
        <f>_xll.qlIndexFixing(Currency&amp;IborType&amp;"6M",_xll.qlInterestRateIndexFixingDate(Currency&amp;IborType&amp;"6M",M511),TRUE,AllTriggers)</f>
        <v>1.9179965499122899E-2</v>
      </c>
      <c r="R511" s="38">
        <f>_xll.qlOvernightIndexedSwapFairRate(O511,AllTriggers)</f>
        <v>1.8851438142761655E-2</v>
      </c>
      <c r="S511" s="345">
        <f t="shared" si="11"/>
        <v>3.2852735636124467E-4</v>
      </c>
    </row>
    <row r="512" spans="5:19" ht="11.25" customHeight="1" x14ac:dyDescent="0.2">
      <c r="E512" s="254"/>
      <c r="F512" s="254"/>
      <c r="G512" s="39"/>
      <c r="J512" s="39"/>
      <c r="K512" s="39"/>
      <c r="M512" s="346">
        <f>_xll.qlCalendarAdvance(Calendar,M511,"1M","f",,Trigger)</f>
        <v>57852</v>
      </c>
      <c r="N512" s="344">
        <f>_xll.qlCalendarAdvance(Calendar,M512,"3M","f",,Trigger)</f>
        <v>57944</v>
      </c>
      <c r="O512" s="40" t="str">
        <f>_xll.qlMakeDatedOIS(,M512,N512,OvernightIndex,0,,,,EvaluationDate)</f>
        <v>obj_00818#0000</v>
      </c>
      <c r="P512" s="40" t="b">
        <f>_xll.qlInstrumentSetPricingEngine(O512,OisEngine)</f>
        <v>1</v>
      </c>
      <c r="Q512" s="38">
        <f>_xll.qlIndexFixing(Currency&amp;IborType&amp;"6M",_xll.qlInterestRateIndexFixingDate(Currency&amp;IborType&amp;"6M",M512),TRUE,AllTriggers)</f>
        <v>1.916291667164435E-2</v>
      </c>
      <c r="R512" s="38">
        <f>_xll.qlOvernightIndexedSwapFairRate(O512,AllTriggers)</f>
        <v>1.8838887029823854E-2</v>
      </c>
      <c r="S512" s="345">
        <f t="shared" si="11"/>
        <v>3.2402964182049604E-4</v>
      </c>
    </row>
    <row r="513" spans="5:19" ht="11.25" customHeight="1" x14ac:dyDescent="0.2">
      <c r="E513" s="254"/>
      <c r="F513" s="254"/>
      <c r="G513" s="39"/>
      <c r="J513" s="39"/>
      <c r="K513" s="39"/>
      <c r="M513" s="346">
        <f>_xll.qlCalendarAdvance(Calendar,M512,"1M","f",,Trigger)</f>
        <v>57885</v>
      </c>
      <c r="N513" s="344">
        <f>_xll.qlCalendarAdvance(Calendar,M513,"3M","f",,Trigger)</f>
        <v>57977</v>
      </c>
      <c r="O513" s="40" t="str">
        <f>_xll.qlMakeDatedOIS(,M513,N513,OvernightIndex,0,,,,EvaluationDate)</f>
        <v>obj_009e8#0000</v>
      </c>
      <c r="P513" s="40" t="b">
        <f>_xll.qlInstrumentSetPricingEngine(O513,OisEngine)</f>
        <v>1</v>
      </c>
      <c r="Q513" s="38">
        <f>_xll.qlIndexFixing(Currency&amp;IborType&amp;"6M",_xll.qlInterestRateIndexFixingDate(Currency&amp;IborType&amp;"6M",M513),TRUE,AllTriggers)</f>
        <v>1.9144288442291012E-2</v>
      </c>
      <c r="R513" s="38">
        <f>_xll.qlOvernightIndexedSwapFairRate(O513,AllTriggers)</f>
        <v>1.8825225345060387E-2</v>
      </c>
      <c r="S513" s="345">
        <f t="shared" si="11"/>
        <v>3.1906309723062423E-4</v>
      </c>
    </row>
    <row r="514" spans="5:19" ht="11.25" customHeight="1" x14ac:dyDescent="0.2">
      <c r="E514" s="254"/>
      <c r="F514" s="254"/>
      <c r="G514" s="39"/>
      <c r="J514" s="39"/>
      <c r="K514" s="39"/>
      <c r="M514" s="346">
        <f>_xll.qlCalendarAdvance(Calendar,M513,"1M","f",,Trigger)</f>
        <v>57915</v>
      </c>
      <c r="N514" s="344">
        <f>_xll.qlCalendarAdvance(Calendar,M514,"3M","f",,Trigger)</f>
        <v>58007</v>
      </c>
      <c r="O514" s="40" t="str">
        <f>_xll.qlMakeDatedOIS(,M514,N514,OvernightIndex,0,,,,EvaluationDate)</f>
        <v>obj_009b3#0000</v>
      </c>
      <c r="P514" s="40" t="b">
        <f>_xll.qlInstrumentSetPricingEngine(O514,OisEngine)</f>
        <v>1</v>
      </c>
      <c r="Q514" s="38">
        <f>_xll.qlIndexFixing(Currency&amp;IborType&amp;"6M",_xll.qlInterestRateIndexFixingDate(Currency&amp;IborType&amp;"6M",M514),TRUE,AllTriggers)</f>
        <v>1.912837769955501E-2</v>
      </c>
      <c r="R514" s="38">
        <f>_xll.qlOvernightIndexedSwapFairRate(O514,AllTriggers)</f>
        <v>1.8813215997285023E-2</v>
      </c>
      <c r="S514" s="345">
        <f t="shared" si="11"/>
        <v>3.1516170226998652E-4</v>
      </c>
    </row>
    <row r="515" spans="5:19" ht="11.25" customHeight="1" x14ac:dyDescent="0.2">
      <c r="E515" s="254"/>
      <c r="F515" s="254"/>
      <c r="G515" s="39"/>
      <c r="J515" s="39"/>
      <c r="K515" s="39"/>
      <c r="M515" s="346">
        <f>_xll.qlCalendarAdvance(Calendar,M514,"1M","f",,Trigger)</f>
        <v>57948</v>
      </c>
      <c r="N515" s="344">
        <f>_xll.qlCalendarAdvance(Calendar,M515,"3M","f",,Trigger)</f>
        <v>58040</v>
      </c>
      <c r="O515" s="40" t="str">
        <f>_xll.qlMakeDatedOIS(,M515,N515,OvernightIndex,0,,,,EvaluationDate)</f>
        <v>obj_0097b#0000</v>
      </c>
      <c r="P515" s="40" t="b">
        <f>_xll.qlInstrumentSetPricingEngine(O515,OisEngine)</f>
        <v>1</v>
      </c>
      <c r="Q515" s="38">
        <f>_xll.qlIndexFixing(Currency&amp;IborType&amp;"6M",_xll.qlInterestRateIndexFixingDate(Currency&amp;IborType&amp;"6M",M515),TRUE,AllTriggers)</f>
        <v>1.9111225573405187E-2</v>
      </c>
      <c r="R515" s="38">
        <f>_xll.qlOvernightIndexedSwapFairRate(O515,AllTriggers)</f>
        <v>1.8800457112531092E-2</v>
      </c>
      <c r="S515" s="345">
        <f t="shared" ref="S515:S578" si="12">Q515-R515</f>
        <v>3.1076846087409529E-4</v>
      </c>
    </row>
    <row r="516" spans="5:19" ht="11.25" customHeight="1" x14ac:dyDescent="0.2">
      <c r="E516" s="254"/>
      <c r="F516" s="254"/>
      <c r="G516" s="39"/>
      <c r="J516" s="39"/>
      <c r="K516" s="39"/>
      <c r="M516" s="346">
        <f>_xll.qlCalendarAdvance(Calendar,M515,"1M","f",,Trigger)</f>
        <v>57979</v>
      </c>
      <c r="N516" s="344">
        <f>_xll.qlCalendarAdvance(Calendar,M516,"3M","f",,Trigger)</f>
        <v>58071</v>
      </c>
      <c r="O516" s="40" t="str">
        <f>_xll.qlMakeDatedOIS(,M516,N516,OvernightIndex,0,,,,EvaluationDate)</f>
        <v>obj_00959#0000</v>
      </c>
      <c r="P516" s="40" t="b">
        <f>_xll.qlInstrumentSetPricingEngine(O516,OisEngine)</f>
        <v>1</v>
      </c>
      <c r="Q516" s="38">
        <f>_xll.qlIndexFixing(Currency&amp;IborType&amp;"6M",_xll.qlInterestRateIndexFixingDate(Currency&amp;IborType&amp;"6M",M516),TRUE,AllTriggers)</f>
        <v>1.9094897969872043E-2</v>
      </c>
      <c r="R516" s="38">
        <f>_xll.qlOvernightIndexedSwapFairRate(O516,AllTriggers)</f>
        <v>1.8788902260696613E-2</v>
      </c>
      <c r="S516" s="345">
        <f t="shared" si="12"/>
        <v>3.0599570917543006E-4</v>
      </c>
    </row>
    <row r="517" spans="5:19" ht="11.25" customHeight="1" x14ac:dyDescent="0.2">
      <c r="E517" s="254"/>
      <c r="F517" s="254"/>
      <c r="G517" s="39"/>
      <c r="J517" s="39"/>
      <c r="K517" s="39"/>
      <c r="M517" s="346">
        <f>_xll.qlCalendarAdvance(Calendar,M516,"1M","f",,Trigger)</f>
        <v>58011</v>
      </c>
      <c r="N517" s="344">
        <f>_xll.qlCalendarAdvance(Calendar,M517,"3M","f",,Trigger)</f>
        <v>58103</v>
      </c>
      <c r="O517" s="40" t="str">
        <f>_xll.qlMakeDatedOIS(,M517,N517,OvernightIndex,0,,,,EvaluationDate)</f>
        <v>obj_00910#0000</v>
      </c>
      <c r="P517" s="40" t="b">
        <f>_xll.qlInstrumentSetPricingEngine(O517,OisEngine)</f>
        <v>1</v>
      </c>
      <c r="Q517" s="38">
        <f>_xll.qlIndexFixing(Currency&amp;IborType&amp;"6M",_xll.qlInterestRateIndexFixingDate(Currency&amp;IborType&amp;"6M",M517),TRUE,AllTriggers)</f>
        <v>1.9079721331317672E-2</v>
      </c>
      <c r="R517" s="38">
        <f>_xll.qlOvernightIndexedSwapFairRate(O517,AllTriggers)</f>
        <v>1.877741238275361E-2</v>
      </c>
      <c r="S517" s="345">
        <f t="shared" si="12"/>
        <v>3.0230894856406176E-4</v>
      </c>
    </row>
    <row r="518" spans="5:19" ht="11.25" customHeight="1" x14ac:dyDescent="0.2">
      <c r="E518" s="254"/>
      <c r="F518" s="254"/>
      <c r="G518" s="39"/>
      <c r="J518" s="39"/>
      <c r="K518" s="39"/>
      <c r="M518" s="346">
        <f>_xll.qlCalendarAdvance(Calendar,M517,"1M","f",,Trigger)</f>
        <v>58042</v>
      </c>
      <c r="N518" s="344">
        <f>_xll.qlCalendarAdvance(Calendar,M518,"3M","f",,Trigger)</f>
        <v>58134</v>
      </c>
      <c r="O518" s="40" t="str">
        <f>_xll.qlMakeDatedOIS(,M518,N518,OvernightIndex,0,,,,EvaluationDate)</f>
        <v>obj_008be#0000</v>
      </c>
      <c r="P518" s="40" t="b">
        <f>_xll.qlInstrumentSetPricingEngine(O518,OisEngine)</f>
        <v>1</v>
      </c>
      <c r="Q518" s="38">
        <f>_xll.qlIndexFixing(Currency&amp;IborType&amp;"6M",_xll.qlInterestRateIndexFixingDate(Currency&amp;IborType&amp;"6M",M518),TRUE,AllTriggers)</f>
        <v>1.9065054142956013E-2</v>
      </c>
      <c r="R518" s="38">
        <f>_xll.qlOvernightIndexedSwapFairRate(O518,AllTriggers)</f>
        <v>1.8766705592434058E-2</v>
      </c>
      <c r="S518" s="345">
        <f t="shared" si="12"/>
        <v>2.9834855052195478E-4</v>
      </c>
    </row>
    <row r="519" spans="5:19" ht="11.25" customHeight="1" x14ac:dyDescent="0.2">
      <c r="E519" s="254"/>
      <c r="F519" s="254"/>
      <c r="G519" s="39"/>
      <c r="J519" s="39"/>
      <c r="K519" s="39"/>
      <c r="M519" s="346">
        <f>_xll.qlCalendarAdvance(Calendar,M518,"1M","f",,Trigger)</f>
        <v>58074</v>
      </c>
      <c r="N519" s="344">
        <f>_xll.qlCalendarAdvance(Calendar,M519,"3M","f",,Trigger)</f>
        <v>58166</v>
      </c>
      <c r="O519" s="40" t="str">
        <f>_xll.qlMakeDatedOIS(,M519,N519,OvernightIndex,0,,,,EvaluationDate)</f>
        <v>obj_00a05#0000</v>
      </c>
      <c r="P519" s="40" t="b">
        <f>_xll.qlInstrumentSetPricingEngine(O519,OisEngine)</f>
        <v>1</v>
      </c>
      <c r="Q519" s="38">
        <f>_xll.qlIndexFixing(Currency&amp;IborType&amp;"6M",_xll.qlInterestRateIndexFixingDate(Currency&amp;IborType&amp;"6M",M519),TRUE,AllTriggers)</f>
        <v>1.9051090378902617E-2</v>
      </c>
      <c r="R519" s="38">
        <f>_xll.qlOvernightIndexedSwapFairRate(O519,AllTriggers)</f>
        <v>1.875609112542263E-2</v>
      </c>
      <c r="S519" s="345">
        <f t="shared" si="12"/>
        <v>2.9499925347998765E-4</v>
      </c>
    </row>
    <row r="520" spans="5:19" ht="11.25" customHeight="1" x14ac:dyDescent="0.2">
      <c r="E520" s="254"/>
      <c r="F520" s="254"/>
      <c r="G520" s="39"/>
      <c r="J520" s="39"/>
      <c r="K520" s="39"/>
      <c r="M520" s="346">
        <f>_xll.qlCalendarAdvance(Calendar,M519,"1M","f",,Trigger)</f>
        <v>58105</v>
      </c>
      <c r="N520" s="344">
        <f>_xll.qlCalendarAdvance(Calendar,M520,"3M","f",,Trigger)</f>
        <v>58195</v>
      </c>
      <c r="O520" s="40" t="str">
        <f>_xll.qlMakeDatedOIS(,M520,N520,OvernightIndex,0,,,,EvaluationDate)</f>
        <v>obj_009e7#0000</v>
      </c>
      <c r="P520" s="40" t="b">
        <f>_xll.qlInstrumentSetPricingEngine(O520,OisEngine)</f>
        <v>1</v>
      </c>
      <c r="Q520" s="38">
        <f>_xll.qlIndexFixing(Currency&amp;IborType&amp;"6M",_xll.qlInterestRateIndexFixingDate(Currency&amp;IborType&amp;"6M",M520),TRUE,AllTriggers)</f>
        <v>1.9037564327565801E-2</v>
      </c>
      <c r="R520" s="38">
        <f>_xll.qlOvernightIndexedSwapFairRate(O520,AllTriggers)</f>
        <v>1.874556269493155E-2</v>
      </c>
      <c r="S520" s="345">
        <f t="shared" si="12"/>
        <v>2.9200163263425061E-4</v>
      </c>
    </row>
    <row r="521" spans="5:19" ht="11.25" customHeight="1" x14ac:dyDescent="0.2">
      <c r="E521" s="254"/>
      <c r="F521" s="254"/>
      <c r="G521" s="39"/>
      <c r="J521" s="39"/>
      <c r="K521" s="39"/>
      <c r="M521" s="346">
        <f>_xll.qlCalendarAdvance(Calendar,M520,"1M","f",,Trigger)</f>
        <v>58134</v>
      </c>
      <c r="N521" s="344">
        <f>_xll.qlCalendarAdvance(Calendar,M521,"3M","f",,Trigger)</f>
        <v>58223</v>
      </c>
      <c r="O521" s="40" t="str">
        <f>_xll.qlMakeDatedOIS(,M521,N521,OvernightIndex,0,,,,EvaluationDate)</f>
        <v>obj_00820#0000</v>
      </c>
      <c r="P521" s="40" t="b">
        <f>_xll.qlInstrumentSetPricingEngine(O521,OisEngine)</f>
        <v>1</v>
      </c>
      <c r="Q521" s="38">
        <f>_xll.qlIndexFixing(Currency&amp;IborType&amp;"6M",_xll.qlInterestRateIndexFixingDate(Currency&amp;IborType&amp;"6M",M521),TRUE,AllTriggers)</f>
        <v>1.902601141324899E-2</v>
      </c>
      <c r="R521" s="38">
        <f>_xll.qlOvernightIndexedSwapFairRate(O521,AllTriggers)</f>
        <v>1.8736365641296385E-2</v>
      </c>
      <c r="S521" s="345">
        <f t="shared" si="12"/>
        <v>2.896457719526041E-4</v>
      </c>
    </row>
    <row r="522" spans="5:19" ht="11.25" customHeight="1" x14ac:dyDescent="0.2">
      <c r="E522" s="254"/>
      <c r="F522" s="254"/>
      <c r="G522" s="39"/>
      <c r="J522" s="39"/>
      <c r="K522" s="39"/>
      <c r="M522" s="346">
        <f>_xll.qlCalendarAdvance(Calendar,M521,"1M","f",,Trigger)</f>
        <v>58166</v>
      </c>
      <c r="N522" s="344">
        <f>_xll.qlCalendarAdvance(Calendar,M522,"3M","f",,Trigger)</f>
        <v>58257</v>
      </c>
      <c r="O522" s="40" t="str">
        <f>_xll.qlMakeDatedOIS(,M522,N522,OvernightIndex,0,,,,EvaluationDate)</f>
        <v>obj_0097a#0000</v>
      </c>
      <c r="P522" s="40" t="b">
        <f>_xll.qlInstrumentSetPricingEngine(O522,OisEngine)</f>
        <v>1</v>
      </c>
      <c r="Q522" s="38">
        <f>_xll.qlIndexFixing(Currency&amp;IborType&amp;"6M",_xll.qlInterestRateIndexFixingDate(Currency&amp;IborType&amp;"6M",M522),TRUE,AllTriggers)</f>
        <v>1.9013827994732634E-2</v>
      </c>
      <c r="R522" s="38">
        <f>_xll.qlOvernightIndexedSwapFairRate(O522,AllTriggers)</f>
        <v>1.8727704132109245E-2</v>
      </c>
      <c r="S522" s="345">
        <f t="shared" si="12"/>
        <v>2.8612386262338863E-4</v>
      </c>
    </row>
    <row r="523" spans="5:19" ht="11.25" customHeight="1" x14ac:dyDescent="0.2">
      <c r="E523" s="254"/>
      <c r="F523" s="254"/>
      <c r="G523" s="39"/>
      <c r="J523" s="39"/>
      <c r="K523" s="39"/>
      <c r="M523" s="346">
        <f>_xll.qlCalendarAdvance(Calendar,M522,"1M","f",,Trigger)</f>
        <v>58197</v>
      </c>
      <c r="N523" s="344">
        <f>_xll.qlCalendarAdvance(Calendar,M523,"3M","f",,Trigger)</f>
        <v>58291</v>
      </c>
      <c r="O523" s="40" t="str">
        <f>_xll.qlMakeDatedOIS(,M523,N523,OvernightIndex,0,,,,EvaluationDate)</f>
        <v>obj_00958#0000</v>
      </c>
      <c r="P523" s="40" t="b">
        <f>_xll.qlInstrumentSetPricingEngine(O523,OisEngine)</f>
        <v>1</v>
      </c>
      <c r="Q523" s="38">
        <f>_xll.qlIndexFixing(Currency&amp;IborType&amp;"6M",_xll.qlInterestRateIndexFixingDate(Currency&amp;IborType&amp;"6M",M523),TRUE,AllTriggers)</f>
        <v>1.9002959763215956E-2</v>
      </c>
      <c r="R523" s="38">
        <f>_xll.qlOvernightIndexedSwapFairRate(O523,AllTriggers)</f>
        <v>1.8720138440720173E-2</v>
      </c>
      <c r="S523" s="345">
        <f t="shared" si="12"/>
        <v>2.8282132249578262E-4</v>
      </c>
    </row>
    <row r="524" spans="5:19" ht="11.25" customHeight="1" x14ac:dyDescent="0.2">
      <c r="E524" s="254"/>
      <c r="F524" s="254"/>
      <c r="G524" s="39"/>
      <c r="J524" s="39"/>
      <c r="K524" s="39"/>
      <c r="M524" s="346">
        <f>_xll.qlCalendarAdvance(Calendar,M523,"1M","f",,Trigger)</f>
        <v>58228</v>
      </c>
      <c r="N524" s="344">
        <f>_xll.qlCalendarAdvance(Calendar,M524,"3M","f",,Trigger)</f>
        <v>58320</v>
      </c>
      <c r="O524" s="40" t="str">
        <f>_xll.qlMakeDatedOIS(,M524,N524,OvernightIndex,0,,,,EvaluationDate)</f>
        <v>obj_0090f#0000</v>
      </c>
      <c r="P524" s="40" t="b">
        <f>_xll.qlInstrumentSetPricingEngine(O524,OisEngine)</f>
        <v>1</v>
      </c>
      <c r="Q524" s="38">
        <f>_xll.qlIndexFixing(Currency&amp;IborType&amp;"6M",_xll.qlInterestRateIndexFixingDate(Currency&amp;IborType&amp;"6M",M524),TRUE,AllTriggers)</f>
        <v>1.8991348691826969E-2</v>
      </c>
      <c r="R524" s="38">
        <f>_xll.qlOvernightIndexedSwapFairRate(O524,AllTriggers)</f>
        <v>1.8711227932868665E-2</v>
      </c>
      <c r="S524" s="345">
        <f t="shared" si="12"/>
        <v>2.8012075895830421E-4</v>
      </c>
    </row>
    <row r="525" spans="5:19" ht="11.25" customHeight="1" x14ac:dyDescent="0.2">
      <c r="E525" s="254"/>
      <c r="F525" s="254"/>
      <c r="G525" s="39"/>
      <c r="J525" s="39"/>
      <c r="K525" s="39"/>
      <c r="M525" s="346">
        <f>_xll.qlCalendarAdvance(Calendar,M524,"1M","f",,Trigger)</f>
        <v>58258</v>
      </c>
      <c r="N525" s="344">
        <f>_xll.qlCalendarAdvance(Calendar,M525,"3M","f",,Trigger)</f>
        <v>58350</v>
      </c>
      <c r="O525" s="40" t="str">
        <f>_xll.qlMakeDatedOIS(,M525,N525,OvernightIndex,0,,,,EvaluationDate)</f>
        <v>obj_008bd#0000</v>
      </c>
      <c r="P525" s="40" t="b">
        <f>_xll.qlInstrumentSetPricingEngine(O525,OisEngine)</f>
        <v>1</v>
      </c>
      <c r="Q525" s="38">
        <f>_xll.qlIndexFixing(Currency&amp;IborType&amp;"6M",_xll.qlInterestRateIndexFixingDate(Currency&amp;IborType&amp;"6M",M525),TRUE,AllTriggers)</f>
        <v>1.8981626697613749E-2</v>
      </c>
      <c r="R525" s="38">
        <f>_xll.qlOvernightIndexedSwapFairRate(O525,AllTriggers)</f>
        <v>1.8703686783901649E-2</v>
      </c>
      <c r="S525" s="345">
        <f t="shared" si="12"/>
        <v>2.7793991371210039E-4</v>
      </c>
    </row>
    <row r="526" spans="5:19" ht="11.25" customHeight="1" x14ac:dyDescent="0.2">
      <c r="E526" s="254"/>
      <c r="F526" s="254"/>
      <c r="G526" s="39"/>
      <c r="J526" s="39"/>
      <c r="K526" s="39"/>
      <c r="M526" s="346">
        <f>_xll.qlCalendarAdvance(Calendar,M525,"1M","f",,Trigger)</f>
        <v>58291</v>
      </c>
      <c r="N526" s="344">
        <f>_xll.qlCalendarAdvance(Calendar,M526,"3M","f",,Trigger)</f>
        <v>58383</v>
      </c>
      <c r="O526" s="40" t="str">
        <f>_xll.qlMakeDatedOIS(,M526,N526,OvernightIndex,0,,,,EvaluationDate)</f>
        <v>obj_0086a#0000</v>
      </c>
      <c r="P526" s="40" t="b">
        <f>_xll.qlInstrumentSetPricingEngine(O526,OisEngine)</f>
        <v>1</v>
      </c>
      <c r="Q526" s="38">
        <f>_xll.qlIndexFixing(Currency&amp;IborType&amp;"6M",_xll.qlInterestRateIndexFixingDate(Currency&amp;IborType&amp;"6M",M526),TRUE,AllTriggers)</f>
        <v>1.8971162985315818E-2</v>
      </c>
      <c r="R526" s="38">
        <f>_xll.qlOvernightIndexedSwapFairRate(O526,AllTriggers)</f>
        <v>1.8695842880169889E-2</v>
      </c>
      <c r="S526" s="345">
        <f t="shared" si="12"/>
        <v>2.7532010514592919E-4</v>
      </c>
    </row>
    <row r="527" spans="5:19" ht="11.25" customHeight="1" x14ac:dyDescent="0.2">
      <c r="E527" s="254"/>
      <c r="F527" s="254"/>
      <c r="G527" s="39"/>
      <c r="J527" s="39"/>
      <c r="K527" s="39"/>
      <c r="M527" s="346">
        <f>_xll.qlCalendarAdvance(Calendar,M526,"1M","f",,Trigger)</f>
        <v>58322</v>
      </c>
      <c r="N527" s="344">
        <f>_xll.qlCalendarAdvance(Calendar,M527,"3M","f",,Trigger)</f>
        <v>58413</v>
      </c>
      <c r="O527" s="40" t="str">
        <f>_xll.qlMakeDatedOIS(,M527,N527,OvernightIndex,0,,,,EvaluationDate)</f>
        <v>obj_00826#0000</v>
      </c>
      <c r="P527" s="40" t="b">
        <f>_xll.qlInstrumentSetPricingEngine(O527,OisEngine)</f>
        <v>1</v>
      </c>
      <c r="Q527" s="38">
        <f>_xll.qlIndexFixing(Currency&amp;IborType&amp;"6M",_xll.qlInterestRateIndexFixingDate(Currency&amp;IborType&amp;"6M",M527),TRUE,AllTriggers)</f>
        <v>1.8961176602565272E-2</v>
      </c>
      <c r="R527" s="38">
        <f>_xll.qlOvernightIndexedSwapFairRate(O527,AllTriggers)</f>
        <v>1.8688526044460436E-2</v>
      </c>
      <c r="S527" s="345">
        <f t="shared" si="12"/>
        <v>2.7265055810483593E-4</v>
      </c>
    </row>
    <row r="528" spans="5:19" ht="11.25" customHeight="1" x14ac:dyDescent="0.2">
      <c r="E528" s="254"/>
      <c r="F528" s="254"/>
      <c r="G528" s="39"/>
      <c r="J528" s="39"/>
      <c r="K528" s="39"/>
      <c r="M528" s="346">
        <f>_xll.qlCalendarAdvance(Calendar,M527,"1M","f",,Trigger)</f>
        <v>58354</v>
      </c>
      <c r="N528" s="344">
        <f>_xll.qlCalendarAdvance(Calendar,M528,"3M","f",,Trigger)</f>
        <v>58446</v>
      </c>
      <c r="O528" s="40" t="str">
        <f>_xll.qlMakeDatedOIS(,M528,N528,OvernightIndex,0,,,,EvaluationDate)</f>
        <v>obj_009e6#0000</v>
      </c>
      <c r="P528" s="40" t="b">
        <f>_xll.qlInstrumentSetPricingEngine(O528,OisEngine)</f>
        <v>1</v>
      </c>
      <c r="Q528" s="38">
        <f>_xll.qlIndexFixing(Currency&amp;IborType&amp;"6M",_xll.qlInterestRateIndexFixingDate(Currency&amp;IborType&amp;"6M",M528),TRUE,AllTriggers)</f>
        <v>1.8952532916556263E-2</v>
      </c>
      <c r="R528" s="38">
        <f>_xll.qlOvernightIndexedSwapFairRate(O528,AllTriggers)</f>
        <v>1.8682181192660789E-2</v>
      </c>
      <c r="S528" s="345">
        <f t="shared" si="12"/>
        <v>2.7035172389547335E-4</v>
      </c>
    </row>
    <row r="529" spans="5:19" ht="11.25" customHeight="1" x14ac:dyDescent="0.2">
      <c r="E529" s="254"/>
      <c r="F529" s="254"/>
      <c r="G529" s="39"/>
      <c r="J529" s="39"/>
      <c r="K529" s="39"/>
      <c r="M529" s="346">
        <f>_xll.qlCalendarAdvance(Calendar,M528,"1M","f",,Trigger)</f>
        <v>58385</v>
      </c>
      <c r="N529" s="344">
        <f>_xll.qlCalendarAdvance(Calendar,M529,"3M","f",,Trigger)</f>
        <v>58477</v>
      </c>
      <c r="O529" s="40" t="str">
        <f>_xll.qlMakeDatedOIS(,M529,N529,OvernightIndex,0,,,,EvaluationDate)</f>
        <v>obj_00828#0000</v>
      </c>
      <c r="P529" s="40" t="b">
        <f>_xll.qlInstrumentSetPricingEngine(O529,OisEngine)</f>
        <v>1</v>
      </c>
      <c r="Q529" s="38">
        <f>_xll.qlIndexFixing(Currency&amp;IborType&amp;"6M",_xll.qlInterestRateIndexFixingDate(Currency&amp;IborType&amp;"6M",M529),TRUE,AllTriggers)</f>
        <v>1.8943973699083325E-2</v>
      </c>
      <c r="R529" s="38">
        <f>_xll.qlOvernightIndexedSwapFairRate(O529,AllTriggers)</f>
        <v>1.8676091408151952E-2</v>
      </c>
      <c r="S529" s="345">
        <f t="shared" si="12"/>
        <v>2.6788229093137328E-4</v>
      </c>
    </row>
    <row r="530" spans="5:19" ht="11.25" customHeight="1" x14ac:dyDescent="0.2">
      <c r="E530" s="254"/>
      <c r="F530" s="254"/>
      <c r="G530" s="39"/>
      <c r="J530" s="39"/>
      <c r="K530" s="39"/>
      <c r="M530" s="346">
        <f>_xll.qlCalendarAdvance(Calendar,M529,"1M","f",,Trigger)</f>
        <v>58417</v>
      </c>
      <c r="N530" s="344">
        <f>_xll.qlCalendarAdvance(Calendar,M530,"3M","f",,Trigger)</f>
        <v>58508</v>
      </c>
      <c r="O530" s="40" t="str">
        <f>_xll.qlMakeDatedOIS(,M530,N530,OvernightIndex,0,,,,EvaluationDate)</f>
        <v>obj_00979#0000</v>
      </c>
      <c r="P530" s="40" t="b">
        <f>_xll.qlInstrumentSetPricingEngine(O530,OisEngine)</f>
        <v>1</v>
      </c>
      <c r="Q530" s="38">
        <f>_xll.qlIndexFixing(Currency&amp;IborType&amp;"6M",_xll.qlInterestRateIndexFixingDate(Currency&amp;IborType&amp;"6M",M530),TRUE,AllTriggers)</f>
        <v>1.8936458789481195E-2</v>
      </c>
      <c r="R530" s="38">
        <f>_xll.qlOvernightIndexedSwapFairRate(O530,AllTriggers)</f>
        <v>1.8669844142091611E-2</v>
      </c>
      <c r="S530" s="345">
        <f t="shared" si="12"/>
        <v>2.6661464738958474E-4</v>
      </c>
    </row>
    <row r="531" spans="5:19" ht="11.25" customHeight="1" x14ac:dyDescent="0.2">
      <c r="E531" s="254"/>
      <c r="F531" s="254"/>
      <c r="G531" s="39"/>
      <c r="J531" s="39"/>
      <c r="K531" s="39"/>
      <c r="M531" s="346">
        <f>_xll.qlCalendarAdvance(Calendar,M530,"1M","f",,Trigger)</f>
        <v>58448</v>
      </c>
      <c r="N531" s="344">
        <f>_xll.qlCalendarAdvance(Calendar,M531,"3M","f",,Trigger)</f>
        <v>58539</v>
      </c>
      <c r="O531" s="40" t="str">
        <f>_xll.qlMakeDatedOIS(,M531,N531,OvernightIndex,0,,,,EvaluationDate)</f>
        <v>obj_00957#0000</v>
      </c>
      <c r="P531" s="40" t="b">
        <f>_xll.qlInstrumentSetPricingEngine(O531,OisEngine)</f>
        <v>1</v>
      </c>
      <c r="Q531" s="38">
        <f>_xll.qlIndexFixing(Currency&amp;IborType&amp;"6M",_xll.qlInterestRateIndexFixingDate(Currency&amp;IborType&amp;"6M",M531),TRUE,AllTriggers)</f>
        <v>1.892895462140684E-2</v>
      </c>
      <c r="R531" s="38">
        <f>_xll.qlOvernightIndexedSwapFairRate(O531,AllTriggers)</f>
        <v>1.8664595889387972E-2</v>
      </c>
      <c r="S531" s="345">
        <f t="shared" si="12"/>
        <v>2.6435873201886839E-4</v>
      </c>
    </row>
    <row r="532" spans="5:19" ht="11.25" customHeight="1" x14ac:dyDescent="0.2">
      <c r="E532" s="254"/>
      <c r="F532" s="254"/>
      <c r="G532" s="39"/>
      <c r="J532" s="39"/>
      <c r="K532" s="39"/>
      <c r="M532" s="346">
        <f>_xll.qlCalendarAdvance(Calendar,M531,"1M","f",,Trigger)</f>
        <v>58480</v>
      </c>
      <c r="N532" s="344">
        <f>_xll.qlCalendarAdvance(Calendar,M532,"3M","f",,Trigger)</f>
        <v>58571</v>
      </c>
      <c r="O532" s="40" t="str">
        <f>_xll.qlMakeDatedOIS(,M532,N532,OvernightIndex,0,,,,EvaluationDate)</f>
        <v>obj_0082c#0000</v>
      </c>
      <c r="P532" s="40" t="b">
        <f>_xll.qlInstrumentSetPricingEngine(O532,OisEngine)</f>
        <v>1</v>
      </c>
      <c r="Q532" s="38">
        <f>_xll.qlIndexFixing(Currency&amp;IborType&amp;"6M",_xll.qlInterestRateIndexFixingDate(Currency&amp;IborType&amp;"6M",M532),TRUE,AllTriggers)</f>
        <v>1.8922159298839343E-2</v>
      </c>
      <c r="R532" s="38">
        <f>_xll.qlOvernightIndexedSwapFairRate(O532,AllTriggers)</f>
        <v>1.8659615985223338E-2</v>
      </c>
      <c r="S532" s="345">
        <f t="shared" si="12"/>
        <v>2.6254331361600519E-4</v>
      </c>
    </row>
    <row r="533" spans="5:19" ht="11.25" customHeight="1" x14ac:dyDescent="0.2">
      <c r="E533" s="254"/>
      <c r="F533" s="254"/>
      <c r="G533" s="39"/>
      <c r="J533" s="39"/>
      <c r="K533" s="39"/>
      <c r="M533" s="346">
        <f>_xll.qlCalendarAdvance(Calendar,M532,"1M","f",,Trigger)</f>
        <v>58509</v>
      </c>
      <c r="N533" s="344">
        <f>_xll.qlCalendarAdvance(Calendar,M533,"3M","f",,Trigger)</f>
        <v>58601</v>
      </c>
      <c r="O533" s="40" t="str">
        <f>_xll.qlMakeDatedOIS(,M533,N533,OvernightIndex,0,,,,EvaluationDate)</f>
        <v>obj_0090e#0000</v>
      </c>
      <c r="P533" s="40" t="b">
        <f>_xll.qlInstrumentSetPricingEngine(O533,OisEngine)</f>
        <v>1</v>
      </c>
      <c r="Q533" s="38">
        <f>_xll.qlIndexFixing(Currency&amp;IborType&amp;"6M",_xll.qlInterestRateIndexFixingDate(Currency&amp;IborType&amp;"6M",M533),TRUE,AllTriggers)</f>
        <v>1.8917306162778934E-2</v>
      </c>
      <c r="R533" s="38">
        <f>_xll.qlOvernightIndexedSwapFairRate(O533,AllTriggers)</f>
        <v>1.865590491295914E-2</v>
      </c>
      <c r="S533" s="345">
        <f t="shared" si="12"/>
        <v>2.6140124981979471E-4</v>
      </c>
    </row>
    <row r="534" spans="5:19" ht="11.25" customHeight="1" x14ac:dyDescent="0.2">
      <c r="E534" s="254"/>
      <c r="F534" s="254"/>
      <c r="G534" s="39"/>
      <c r="J534" s="39"/>
      <c r="K534" s="39"/>
      <c r="M534" s="346">
        <f>_xll.qlCalendarAdvance(Calendar,M533,"1M","f",,Trigger)</f>
        <v>58540</v>
      </c>
      <c r="N534" s="344">
        <f>_xll.qlCalendarAdvance(Calendar,M534,"3M","f",,Trigger)</f>
        <v>58631</v>
      </c>
      <c r="O534" s="40" t="str">
        <f>_xll.qlMakeDatedOIS(,M534,N534,OvernightIndex,0,,,,EvaluationDate)</f>
        <v>obj_008bc#0000</v>
      </c>
      <c r="P534" s="40" t="b">
        <f>_xll.qlInstrumentSetPricingEngine(O534,OisEngine)</f>
        <v>1</v>
      </c>
      <c r="Q534" s="38">
        <f>_xll.qlIndexFixing(Currency&amp;IborType&amp;"6M",_xll.qlInterestRateIndexFixingDate(Currency&amp;IborType&amp;"6M",M534),TRUE,AllTriggers)</f>
        <v>1.8912186506183447E-2</v>
      </c>
      <c r="R534" s="38">
        <f>_xll.qlOvernightIndexedSwapFairRate(O534,AllTriggers)</f>
        <v>1.8651476978449294E-2</v>
      </c>
      <c r="S534" s="345">
        <f t="shared" si="12"/>
        <v>2.6070952773415285E-4</v>
      </c>
    </row>
    <row r="535" spans="5:19" ht="11.25" customHeight="1" x14ac:dyDescent="0.2">
      <c r="E535" s="254"/>
      <c r="F535" s="254"/>
      <c r="G535" s="39"/>
      <c r="J535" s="39"/>
      <c r="K535" s="39"/>
      <c r="M535" s="346">
        <f>_xll.qlCalendarAdvance(Calendar,M534,"1M","f",,Trigger)</f>
        <v>58571</v>
      </c>
      <c r="N535" s="344">
        <f>_xll.qlCalendarAdvance(Calendar,M535,"3M","f",,Trigger)</f>
        <v>58663</v>
      </c>
      <c r="O535" s="40" t="str">
        <f>_xll.qlMakeDatedOIS(,M535,N535,OvernightIndex,0,,,,EvaluationDate)</f>
        <v>obj_00869#0000</v>
      </c>
      <c r="P535" s="40" t="b">
        <f>_xll.qlInstrumentSetPricingEngine(O535,OisEngine)</f>
        <v>1</v>
      </c>
      <c r="Q535" s="38">
        <f>_xll.qlIndexFixing(Currency&amp;IborType&amp;"6M",_xll.qlInterestRateIndexFixingDate(Currency&amp;IborType&amp;"6M",M535),TRUE,AllTriggers)</f>
        <v>1.8906756650087692E-2</v>
      </c>
      <c r="R535" s="38">
        <f>_xll.qlOvernightIndexedSwapFairRate(O535,AllTriggers)</f>
        <v>1.8648315229038669E-2</v>
      </c>
      <c r="S535" s="345">
        <f t="shared" si="12"/>
        <v>2.5844142104902365E-4</v>
      </c>
    </row>
    <row r="536" spans="5:19" ht="11.25" customHeight="1" x14ac:dyDescent="0.2">
      <c r="E536" s="254"/>
      <c r="F536" s="254"/>
      <c r="G536" s="39"/>
      <c r="J536" s="39"/>
      <c r="K536" s="39"/>
      <c r="M536" s="346">
        <f>_xll.qlCalendarAdvance(Calendar,M535,"1M","f",,Trigger)</f>
        <v>58602</v>
      </c>
      <c r="N536" s="344">
        <f>_xll.qlCalendarAdvance(Calendar,M536,"3M","f",,Trigger)</f>
        <v>58694</v>
      </c>
      <c r="O536" s="40" t="str">
        <f>_xll.qlMakeDatedOIS(,M536,N536,OvernightIndex,0,,,,EvaluationDate)</f>
        <v>obj_00a03#0000</v>
      </c>
      <c r="P536" s="40" t="b">
        <f>_xll.qlInstrumentSetPricingEngine(O536,OisEngine)</f>
        <v>1</v>
      </c>
      <c r="Q536" s="38">
        <f>_xll.qlIndexFixing(Currency&amp;IborType&amp;"6M",_xll.qlInterestRateIndexFixingDate(Currency&amp;IborType&amp;"6M",M536),TRUE,AllTriggers)</f>
        <v>1.8901837435654979E-2</v>
      </c>
      <c r="R536" s="38">
        <f>_xll.qlOvernightIndexedSwapFairRate(O536,AllTriggers)</f>
        <v>1.8645146273421623E-2</v>
      </c>
      <c r="S536" s="345">
        <f t="shared" si="12"/>
        <v>2.5669116223335509E-4</v>
      </c>
    </row>
    <row r="537" spans="5:19" ht="11.25" customHeight="1" x14ac:dyDescent="0.2">
      <c r="E537" s="254"/>
      <c r="F537" s="254"/>
      <c r="G537" s="39"/>
      <c r="J537" s="39"/>
      <c r="K537" s="39"/>
      <c r="M537" s="346">
        <f>_xll.qlCalendarAdvance(Calendar,M536,"1M","f",,Trigger)</f>
        <v>58634</v>
      </c>
      <c r="N537" s="344">
        <f>_xll.qlCalendarAdvance(Calendar,M537,"3M","f",,Trigger)</f>
        <v>58726</v>
      </c>
      <c r="O537" s="40" t="str">
        <f>_xll.qlMakeDatedOIS(,M537,N537,OvernightIndex,0,,,,EvaluationDate)</f>
        <v>obj_009e5#0000</v>
      </c>
      <c r="P537" s="40" t="b">
        <f>_xll.qlInstrumentSetPricingEngine(O537,OisEngine)</f>
        <v>1</v>
      </c>
      <c r="Q537" s="38">
        <f>_xll.qlIndexFixing(Currency&amp;IborType&amp;"6M",_xll.qlInterestRateIndexFixingDate(Currency&amp;IborType&amp;"6M",M537),TRUE,AllTriggers)</f>
        <v>1.889819605691944E-2</v>
      </c>
      <c r="R537" s="38">
        <f>_xll.qlOvernightIndexedSwapFairRate(O537,AllTriggers)</f>
        <v>1.8642312756499652E-2</v>
      </c>
      <c r="S537" s="345">
        <f t="shared" si="12"/>
        <v>2.5588330041978816E-4</v>
      </c>
    </row>
    <row r="538" spans="5:19" ht="11.25" customHeight="1" x14ac:dyDescent="0.2">
      <c r="E538" s="254"/>
      <c r="F538" s="254"/>
      <c r="G538" s="39"/>
      <c r="J538" s="39"/>
      <c r="K538" s="39"/>
      <c r="M538" s="346">
        <f>_xll.qlCalendarAdvance(Calendar,M537,"1M","f",,Trigger)</f>
        <v>58665</v>
      </c>
      <c r="N538" s="344">
        <f>_xll.qlCalendarAdvance(Calendar,M538,"3M","f",,Trigger)</f>
        <v>58757</v>
      </c>
      <c r="O538" s="40" t="str">
        <f>_xll.qlMakeDatedOIS(,M538,N538,OvernightIndex,0,,,,EvaluationDate)</f>
        <v>obj_009b0#0000</v>
      </c>
      <c r="P538" s="40" t="b">
        <f>_xll.qlInstrumentSetPricingEngine(O538,OisEngine)</f>
        <v>1</v>
      </c>
      <c r="Q538" s="38">
        <f>_xll.qlIndexFixing(Currency&amp;IborType&amp;"6M",_xll.qlInterestRateIndexFixingDate(Currency&amp;IborType&amp;"6M",M538),TRUE,AllTriggers)</f>
        <v>1.8895686737910613E-2</v>
      </c>
      <c r="R538" s="38">
        <f>_xll.qlOvernightIndexedSwapFairRate(O538,AllTriggers)</f>
        <v>1.8639991772185352E-2</v>
      </c>
      <c r="S538" s="345">
        <f t="shared" si="12"/>
        <v>2.5569496572526093E-4</v>
      </c>
    </row>
    <row r="539" spans="5:19" ht="11.25" customHeight="1" x14ac:dyDescent="0.2">
      <c r="E539" s="254"/>
      <c r="F539" s="254"/>
      <c r="G539" s="39"/>
      <c r="J539" s="39"/>
      <c r="K539" s="39"/>
      <c r="M539" s="346">
        <f>_xll.qlCalendarAdvance(Calendar,M538,"1M","f",,Trigger)</f>
        <v>58697</v>
      </c>
      <c r="N539" s="344">
        <f>_xll.qlCalendarAdvance(Calendar,M539,"3M","f",,Trigger)</f>
        <v>58788</v>
      </c>
      <c r="O539" s="40" t="str">
        <f>_xll.qlMakeDatedOIS(,M539,N539,OvernightIndex,0,,,,EvaluationDate)</f>
        <v>obj_00834#0000</v>
      </c>
      <c r="P539" s="40" t="b">
        <f>_xll.qlInstrumentSetPricingEngine(O539,OisEngine)</f>
        <v>1</v>
      </c>
      <c r="Q539" s="38">
        <f>_xll.qlIndexFixing(Currency&amp;IborType&amp;"6M",_xll.qlInterestRateIndexFixingDate(Currency&amp;IborType&amp;"6M",M539),TRUE,AllTriggers)</f>
        <v>1.8890891209575177E-2</v>
      </c>
      <c r="R539" s="38">
        <f>_xll.qlOvernightIndexedSwapFairRate(O539,AllTriggers)</f>
        <v>1.8637575749808125E-2</v>
      </c>
      <c r="S539" s="345">
        <f t="shared" si="12"/>
        <v>2.533154597670513E-4</v>
      </c>
    </row>
    <row r="540" spans="5:19" ht="11.25" customHeight="1" x14ac:dyDescent="0.2">
      <c r="E540" s="254"/>
      <c r="F540" s="254"/>
      <c r="G540" s="39"/>
      <c r="J540" s="39"/>
      <c r="K540" s="39"/>
      <c r="M540" s="346">
        <f>_xll.qlCalendarAdvance(Calendar,M539,"1M","f",,Trigger)</f>
        <v>58727</v>
      </c>
      <c r="N540" s="344">
        <f>_xll.qlCalendarAdvance(Calendar,M540,"3M","f",,Trigger)</f>
        <v>58819</v>
      </c>
      <c r="O540" s="40" t="str">
        <f>_xll.qlMakeDatedOIS(,M540,N540,OvernightIndex,0,,,,EvaluationDate)</f>
        <v>obj_00978#0000</v>
      </c>
      <c r="P540" s="40" t="b">
        <f>_xll.qlInstrumentSetPricingEngine(O540,OisEngine)</f>
        <v>1</v>
      </c>
      <c r="Q540" s="38">
        <f>_xll.qlIndexFixing(Currency&amp;IborType&amp;"6M",_xll.qlInterestRateIndexFixingDate(Currency&amp;IborType&amp;"6M",M540),TRUE,AllTriggers)</f>
        <v>1.8888599780381096E-2</v>
      </c>
      <c r="R540" s="38">
        <f>_xll.qlOvernightIndexedSwapFairRate(O540,AllTriggers)</f>
        <v>1.8636601566542173E-2</v>
      </c>
      <c r="S540" s="345">
        <f t="shared" si="12"/>
        <v>2.5199821383892207E-4</v>
      </c>
    </row>
    <row r="541" spans="5:19" ht="11.25" customHeight="1" x14ac:dyDescent="0.2">
      <c r="E541" s="254"/>
      <c r="F541" s="254"/>
      <c r="G541" s="39"/>
      <c r="J541" s="39"/>
      <c r="K541" s="39"/>
      <c r="M541" s="346">
        <f>_xll.qlCalendarAdvance(Calendar,M540,"1M","f",,Trigger)</f>
        <v>58760</v>
      </c>
      <c r="N541" s="344">
        <f>_xll.qlCalendarAdvance(Calendar,M541,"3M","f",,Trigger)</f>
        <v>58852</v>
      </c>
      <c r="O541" s="40" t="str">
        <f>_xll.qlMakeDatedOIS(,M541,N541,OvernightIndex,0,,,,EvaluationDate)</f>
        <v>obj_00837#0000</v>
      </c>
      <c r="P541" s="40" t="b">
        <f>_xll.qlInstrumentSetPricingEngine(O541,OisEngine)</f>
        <v>1</v>
      </c>
      <c r="Q541" s="38">
        <f>_xll.qlIndexFixing(Currency&amp;IborType&amp;"6M",_xll.qlInterestRateIndexFixingDate(Currency&amp;IborType&amp;"6M",M541),TRUE,AllTriggers)</f>
        <v>1.8886649128993425E-2</v>
      </c>
      <c r="R541" s="38">
        <f>_xll.qlOvernightIndexedSwapFairRate(O541,AllTriggers)</f>
        <v>1.8635477690194538E-2</v>
      </c>
      <c r="S541" s="345">
        <f t="shared" si="12"/>
        <v>2.5117143879888754E-4</v>
      </c>
    </row>
    <row r="542" spans="5:19" ht="11.25" customHeight="1" x14ac:dyDescent="0.2">
      <c r="E542" s="254"/>
      <c r="F542" s="254"/>
      <c r="G542" s="39"/>
      <c r="J542" s="39"/>
      <c r="K542" s="39"/>
      <c r="M542" s="346">
        <f>_xll.qlCalendarAdvance(Calendar,M541,"1M","f",,Trigger)</f>
        <v>58790</v>
      </c>
      <c r="N542" s="344">
        <f>_xll.qlCalendarAdvance(Calendar,M542,"3M","f",,Trigger)</f>
        <v>58880</v>
      </c>
      <c r="O542" s="40" t="str">
        <f>_xll.qlMakeDatedOIS(,M542,N542,OvernightIndex,0,,,,EvaluationDate)</f>
        <v>obj_00956#0000</v>
      </c>
      <c r="P542" s="40" t="b">
        <f>_xll.qlInstrumentSetPricingEngine(O542,OisEngine)</f>
        <v>1</v>
      </c>
      <c r="Q542" s="38">
        <f>_xll.qlIndexFixing(Currency&amp;IborType&amp;"6M",_xll.qlInterestRateIndexFixingDate(Currency&amp;IborType&amp;"6M",M542),TRUE,AllTriggers)</f>
        <v>1.8885393917875522E-2</v>
      </c>
      <c r="R542" s="38">
        <f>_xll.qlOvernightIndexedSwapFairRate(O542,AllTriggers)</f>
        <v>1.8633910743440119E-2</v>
      </c>
      <c r="S542" s="345">
        <f t="shared" si="12"/>
        <v>2.5148317443540388E-4</v>
      </c>
    </row>
    <row r="543" spans="5:19" ht="11.25" customHeight="1" x14ac:dyDescent="0.2">
      <c r="E543" s="254"/>
      <c r="F543" s="254"/>
      <c r="G543" s="39"/>
      <c r="J543" s="39"/>
      <c r="K543" s="39"/>
      <c r="M543" s="346">
        <f>_xll.qlCalendarAdvance(Calendar,M542,"1M","f",,Trigger)</f>
        <v>58823</v>
      </c>
      <c r="N543" s="344">
        <f>_xll.qlCalendarAdvance(Calendar,M543,"3M","f",,Trigger)</f>
        <v>58914</v>
      </c>
      <c r="O543" s="40" t="str">
        <f>_xll.qlMakeDatedOIS(,M543,N543,OvernightIndex,0,,,,EvaluationDate)</f>
        <v>obj_0090d#0000</v>
      </c>
      <c r="P543" s="40" t="b">
        <f>_xll.qlInstrumentSetPricingEngine(O543,OisEngine)</f>
        <v>1</v>
      </c>
      <c r="Q543" s="38">
        <f>_xll.qlIndexFixing(Currency&amp;IborType&amp;"6M",_xll.qlInterestRateIndexFixingDate(Currency&amp;IborType&amp;"6M",M543),TRUE,AllTriggers)</f>
        <v>1.888458310365668E-2</v>
      </c>
      <c r="R543" s="38">
        <f>_xll.qlOvernightIndexedSwapFairRate(O543,AllTriggers)</f>
        <v>1.8634160081151197E-2</v>
      </c>
      <c r="S543" s="345">
        <f t="shared" si="12"/>
        <v>2.5042302250548321E-4</v>
      </c>
    </row>
    <row r="544" spans="5:19" ht="11.25" customHeight="1" x14ac:dyDescent="0.2">
      <c r="E544" s="254"/>
      <c r="F544" s="254"/>
      <c r="G544" s="39"/>
      <c r="J544" s="39"/>
      <c r="K544" s="39"/>
      <c r="M544" s="346">
        <f>_xll.qlCalendarAdvance(Calendar,M543,"1M","f",,Trigger)</f>
        <v>58854</v>
      </c>
      <c r="N544" s="344">
        <f>_xll.qlCalendarAdvance(Calendar,M544,"3M","f",,Trigger)</f>
        <v>58943</v>
      </c>
      <c r="O544" s="40" t="str">
        <f>_xll.qlMakeDatedOIS(,M544,N544,OvernightIndex,0,,,,EvaluationDate)</f>
        <v>obj_008bb#0000</v>
      </c>
      <c r="P544" s="40" t="b">
        <f>_xll.qlInstrumentSetPricingEngine(O544,OisEngine)</f>
        <v>1</v>
      </c>
      <c r="Q544" s="38">
        <f>_xll.qlIndexFixing(Currency&amp;IborType&amp;"6M",_xll.qlInterestRateIndexFixingDate(Currency&amp;IborType&amp;"6M",M544),TRUE,AllTriggers)</f>
        <v>1.8883862617910765E-2</v>
      </c>
      <c r="R544" s="38">
        <f>_xll.qlOvernightIndexedSwapFairRate(O544,AllTriggers)</f>
        <v>1.863339324820228E-2</v>
      </c>
      <c r="S544" s="345">
        <f t="shared" si="12"/>
        <v>2.5046936970848574E-4</v>
      </c>
    </row>
    <row r="545" spans="5:19" ht="11.25" customHeight="1" x14ac:dyDescent="0.2">
      <c r="E545" s="254"/>
      <c r="F545" s="254"/>
      <c r="G545" s="39"/>
      <c r="J545" s="39"/>
      <c r="K545" s="39"/>
      <c r="M545" s="346">
        <f>_xll.qlCalendarAdvance(Calendar,M544,"1M","f",,Trigger)</f>
        <v>58882</v>
      </c>
      <c r="N545" s="344">
        <f>_xll.qlCalendarAdvance(Calendar,M545,"3M","f",,Trigger)</f>
        <v>58974</v>
      </c>
      <c r="O545" s="40" t="str">
        <f>_xll.qlMakeDatedOIS(,M545,N545,OvernightIndex,0,,,,EvaluationDate)</f>
        <v>obj_00868#0000</v>
      </c>
      <c r="P545" s="40" t="b">
        <f>_xll.qlInstrumentSetPricingEngine(O545,OisEngine)</f>
        <v>1</v>
      </c>
      <c r="Q545" s="38">
        <f>_xll.qlIndexFixing(Currency&amp;IborType&amp;"6M",_xll.qlInterestRateIndexFixingDate(Currency&amp;IborType&amp;"6M",M545),TRUE,AllTriggers)</f>
        <v>1.888666496517314E-2</v>
      </c>
      <c r="R545" s="38">
        <f>_xll.qlOvernightIndexedSwapFairRate(O545,AllTriggers)</f>
        <v>1.8635427984195221E-2</v>
      </c>
      <c r="S545" s="345">
        <f t="shared" si="12"/>
        <v>2.5123698097791886E-4</v>
      </c>
    </row>
    <row r="546" spans="5:19" ht="11.25" customHeight="1" x14ac:dyDescent="0.2">
      <c r="E546" s="254"/>
      <c r="F546" s="254"/>
      <c r="G546" s="39"/>
      <c r="J546" s="39"/>
      <c r="K546" s="39"/>
      <c r="M546" s="346">
        <f>_xll.qlCalendarAdvance(Calendar,M545,"1M","f",,Trigger)</f>
        <v>58914</v>
      </c>
      <c r="N546" s="344">
        <f>_xll.qlCalendarAdvance(Calendar,M546,"3M","f",,Trigger)</f>
        <v>59005</v>
      </c>
      <c r="O546" s="40" t="str">
        <f>_xll.qlMakeDatedOIS(,M546,N546,OvernightIndex,0,,,,EvaluationDate)</f>
        <v>obj_00a02#0000</v>
      </c>
      <c r="P546" s="40" t="b">
        <f>_xll.qlInstrumentSetPricingEngine(O546,OisEngine)</f>
        <v>1</v>
      </c>
      <c r="Q546" s="38">
        <f>_xll.qlIndexFixing(Currency&amp;IborType&amp;"6M",_xll.qlInterestRateIndexFixingDate(Currency&amp;IborType&amp;"6M",M546),TRUE,AllTriggers)</f>
        <v>1.8885959902998468E-2</v>
      </c>
      <c r="R546" s="38">
        <f>_xll.qlOvernightIndexedSwapFairRate(O546,AllTriggers)</f>
        <v>1.8635979925646962E-2</v>
      </c>
      <c r="S546" s="345">
        <f t="shared" si="12"/>
        <v>2.4997997735150615E-4</v>
      </c>
    </row>
    <row r="547" spans="5:19" ht="11.25" customHeight="1" x14ac:dyDescent="0.2">
      <c r="E547" s="254"/>
      <c r="F547" s="254"/>
      <c r="G547" s="39"/>
      <c r="J547" s="39"/>
      <c r="K547" s="39"/>
      <c r="M547" s="346">
        <f>_xll.qlCalendarAdvance(Calendar,M546,"1M","f",,Trigger)</f>
        <v>58944</v>
      </c>
      <c r="N547" s="344">
        <f>_xll.qlCalendarAdvance(Calendar,M547,"3M","f",,Trigger)</f>
        <v>59036</v>
      </c>
      <c r="O547" s="40" t="str">
        <f>_xll.qlMakeDatedOIS(,M547,N547,OvernightIndex,0,,,,EvaluationDate)</f>
        <v>obj_0083e#0000</v>
      </c>
      <c r="P547" s="40" t="b">
        <f>_xll.qlInstrumentSetPricingEngine(O547,OisEngine)</f>
        <v>1</v>
      </c>
      <c r="Q547" s="38">
        <f>_xll.qlIndexFixing(Currency&amp;IborType&amp;"6M",_xll.qlInterestRateIndexFixingDate(Currency&amp;IborType&amp;"6M",M547),TRUE,AllTriggers)</f>
        <v>1.8887773837142668E-2</v>
      </c>
      <c r="R547" s="38">
        <f>_xll.qlOvernightIndexedSwapFairRate(O547,AllTriggers)</f>
        <v>1.8637879322394604E-2</v>
      </c>
      <c r="S547" s="345">
        <f t="shared" si="12"/>
        <v>2.4989451474806412E-4</v>
      </c>
    </row>
    <row r="548" spans="5:19" ht="11.25" customHeight="1" x14ac:dyDescent="0.2">
      <c r="E548" s="254"/>
      <c r="F548" s="254"/>
      <c r="G548" s="39"/>
      <c r="J548" s="39"/>
      <c r="K548" s="39"/>
      <c r="M548" s="346">
        <f>_xll.qlCalendarAdvance(Calendar,M547,"1M","f",,Trigger)</f>
        <v>58977</v>
      </c>
      <c r="N548" s="344">
        <f>_xll.qlCalendarAdvance(Calendar,M548,"3M","f",,Trigger)</f>
        <v>59069</v>
      </c>
      <c r="O548" s="40" t="str">
        <f>_xll.qlMakeDatedOIS(,M548,N548,OvernightIndex,0,,,,EvaluationDate)</f>
        <v>obj_009e4#0000</v>
      </c>
      <c r="P548" s="40" t="b">
        <f>_xll.qlInstrumentSetPricingEngine(O548,OisEngine)</f>
        <v>1</v>
      </c>
      <c r="Q548" s="38">
        <f>_xll.qlIndexFixing(Currency&amp;IborType&amp;"6M",_xll.qlInterestRateIndexFixingDate(Currency&amp;IborType&amp;"6M",M548),TRUE,AllTriggers)</f>
        <v>1.8889230550872094E-2</v>
      </c>
      <c r="R548" s="38">
        <f>_xll.qlOvernightIndexedSwapFairRate(O548,AllTriggers)</f>
        <v>1.8639864655058961E-2</v>
      </c>
      <c r="S548" s="345">
        <f t="shared" si="12"/>
        <v>2.493658958131334E-4</v>
      </c>
    </row>
    <row r="549" spans="5:19" ht="11.25" customHeight="1" x14ac:dyDescent="0.2">
      <c r="E549" s="254"/>
      <c r="F549" s="254"/>
      <c r="G549" s="39"/>
      <c r="J549" s="39"/>
      <c r="K549" s="39"/>
      <c r="M549" s="346">
        <f>_xll.qlCalendarAdvance(Calendar,M548,"1M","f",,Trigger)</f>
        <v>59007</v>
      </c>
      <c r="N549" s="344">
        <f>_xll.qlCalendarAdvance(Calendar,M549,"3M","f",,Trigger)</f>
        <v>59099</v>
      </c>
      <c r="O549" s="40" t="str">
        <f>_xll.qlMakeDatedOIS(,M549,N549,OvernightIndex,0,,,,EvaluationDate)</f>
        <v>obj_00841#0000</v>
      </c>
      <c r="P549" s="40" t="b">
        <f>_xll.qlInstrumentSetPricingEngine(O549,OisEngine)</f>
        <v>1</v>
      </c>
      <c r="Q549" s="38">
        <f>_xll.qlIndexFixing(Currency&amp;IborType&amp;"6M",_xll.qlInterestRateIndexFixingDate(Currency&amp;IborType&amp;"6M",M549),TRUE,AllTriggers)</f>
        <v>1.8892098254466465E-2</v>
      </c>
      <c r="R549" s="38">
        <f>_xll.qlOvernightIndexedSwapFairRate(O549,AllTriggers)</f>
        <v>1.8642079810400721E-2</v>
      </c>
      <c r="S549" s="345">
        <f t="shared" si="12"/>
        <v>2.5001844406574367E-4</v>
      </c>
    </row>
    <row r="550" spans="5:19" ht="11.25" customHeight="1" x14ac:dyDescent="0.2">
      <c r="E550" s="254"/>
      <c r="F550" s="254"/>
      <c r="G550" s="39"/>
      <c r="J550" s="39"/>
      <c r="K550" s="39"/>
      <c r="M550" s="346">
        <f>_xll.qlCalendarAdvance(Calendar,M549,"1M","f",,Trigger)</f>
        <v>59040</v>
      </c>
      <c r="N550" s="344">
        <f>_xll.qlCalendarAdvance(Calendar,M550,"3M","f",,Trigger)</f>
        <v>59132</v>
      </c>
      <c r="O550" s="40" t="str">
        <f>_xll.qlMakeDatedOIS(,M550,N550,OvernightIndex,0,,,,EvaluationDate)</f>
        <v>obj_009af#0000</v>
      </c>
      <c r="P550" s="40" t="b">
        <f>_xll.qlInstrumentSetPricingEngine(O550,OisEngine)</f>
        <v>1</v>
      </c>
      <c r="Q550" s="38">
        <f>_xll.qlIndexFixing(Currency&amp;IborType&amp;"6M",_xll.qlInterestRateIndexFixingDate(Currency&amp;IborType&amp;"6M",M550),TRUE,AllTriggers)</f>
        <v>1.8895231969194175E-2</v>
      </c>
      <c r="R550" s="38">
        <f>_xll.qlOvernightIndexedSwapFairRate(O550,AllTriggers)</f>
        <v>1.8644967820299774E-2</v>
      </c>
      <c r="S550" s="345">
        <f t="shared" si="12"/>
        <v>2.5026414889440032E-4</v>
      </c>
    </row>
    <row r="551" spans="5:19" ht="11.25" customHeight="1" x14ac:dyDescent="0.2">
      <c r="E551" s="254"/>
      <c r="F551" s="254"/>
      <c r="G551" s="39"/>
      <c r="J551" s="39"/>
      <c r="K551" s="39"/>
      <c r="M551" s="346">
        <f>_xll.qlCalendarAdvance(Calendar,M550,"1M","f",,Trigger)</f>
        <v>59071</v>
      </c>
      <c r="N551" s="344">
        <f>_xll.qlCalendarAdvance(Calendar,M551,"3M","f",,Trigger)</f>
        <v>59162</v>
      </c>
      <c r="O551" s="40" t="str">
        <f>_xll.qlMakeDatedOIS(,M551,N551,OvernightIndex,0,,,,EvaluationDate)</f>
        <v>obj_00844#0000</v>
      </c>
      <c r="P551" s="40" t="b">
        <f>_xll.qlInstrumentSetPricingEngine(O551,OisEngine)</f>
        <v>1</v>
      </c>
      <c r="Q551" s="38">
        <f>_xll.qlIndexFixing(Currency&amp;IborType&amp;"6M",_xll.qlInterestRateIndexFixingDate(Currency&amp;IborType&amp;"6M",M551),TRUE,AllTriggers)</f>
        <v>1.8897030496349672E-2</v>
      </c>
      <c r="R551" s="38">
        <f>_xll.qlOvernightIndexedSwapFairRate(O551,AllTriggers)</f>
        <v>1.8647571976849853E-2</v>
      </c>
      <c r="S551" s="345">
        <f t="shared" si="12"/>
        <v>2.4945851949981918E-4</v>
      </c>
    </row>
    <row r="552" spans="5:19" ht="11.25" customHeight="1" x14ac:dyDescent="0.2">
      <c r="E552" s="254"/>
      <c r="F552" s="254"/>
      <c r="G552" s="39"/>
      <c r="J552" s="39"/>
      <c r="K552" s="39"/>
      <c r="M552" s="346">
        <f>_xll.qlCalendarAdvance(Calendar,M551,"1M","f",,Trigger)</f>
        <v>59103</v>
      </c>
      <c r="N552" s="344">
        <f>_xll.qlCalendarAdvance(Calendar,M552,"3M","f",,Trigger)</f>
        <v>59195</v>
      </c>
      <c r="O552" s="40" t="str">
        <f>_xll.qlMakeDatedOIS(,M552,N552,OvernightIndex,0,,,,EvaluationDate)</f>
        <v>obj_00977#0000</v>
      </c>
      <c r="P552" s="40" t="b">
        <f>_xll.qlInstrumentSetPricingEngine(O552,OisEngine)</f>
        <v>1</v>
      </c>
      <c r="Q552" s="38">
        <f>_xll.qlIndexFixing(Currency&amp;IborType&amp;"6M",_xll.qlInterestRateIndexFixingDate(Currency&amp;IborType&amp;"6M",M552),TRUE,AllTriggers)</f>
        <v>1.890172833448121E-2</v>
      </c>
      <c r="R552" s="38">
        <f>_xll.qlOvernightIndexedSwapFairRate(O552,AllTriggers)</f>
        <v>1.8651794283832488E-2</v>
      </c>
      <c r="S552" s="345">
        <f t="shared" si="12"/>
        <v>2.499340506487216E-4</v>
      </c>
    </row>
    <row r="553" spans="5:19" ht="11.25" customHeight="1" x14ac:dyDescent="0.2">
      <c r="E553" s="254"/>
      <c r="F553" s="254"/>
      <c r="G553" s="39"/>
      <c r="J553" s="39"/>
      <c r="K553" s="39"/>
      <c r="M553" s="346">
        <f>_xll.qlCalendarAdvance(Calendar,M552,"1M","f",,Trigger)</f>
        <v>59134</v>
      </c>
      <c r="N553" s="344">
        <f>_xll.qlCalendarAdvance(Calendar,M553,"3M","f",,Trigger)</f>
        <v>59226</v>
      </c>
      <c r="O553" s="40" t="str">
        <f>_xll.qlMakeDatedOIS(,M553,N553,OvernightIndex,0,,,,EvaluationDate)</f>
        <v>obj_00846#0000</v>
      </c>
      <c r="P553" s="40" t="b">
        <f>_xll.qlInstrumentSetPricingEngine(O553,OisEngine)</f>
        <v>1</v>
      </c>
      <c r="Q553" s="38">
        <f>_xll.qlIndexFixing(Currency&amp;IborType&amp;"6M",_xll.qlInterestRateIndexFixingDate(Currency&amp;IborType&amp;"6M",M553),TRUE,AllTriggers)</f>
        <v>1.8905688899647433E-2</v>
      </c>
      <c r="R553" s="38">
        <f>_xll.qlOvernightIndexedSwapFairRate(O553,AllTriggers)</f>
        <v>1.8655785954128527E-2</v>
      </c>
      <c r="S553" s="345">
        <f t="shared" si="12"/>
        <v>2.4990294551890599E-4</v>
      </c>
    </row>
    <row r="554" spans="5:19" ht="11.25" customHeight="1" x14ac:dyDescent="0.2">
      <c r="E554" s="254"/>
      <c r="F554" s="254"/>
      <c r="G554" s="39"/>
      <c r="J554" s="39"/>
      <c r="K554" s="39"/>
      <c r="M554" s="346">
        <f>_xll.qlCalendarAdvance(Calendar,M553,"1M","f",,Trigger)</f>
        <v>59167</v>
      </c>
      <c r="N554" s="344">
        <f>_xll.qlCalendarAdvance(Calendar,M554,"3M","f",,Trigger)</f>
        <v>59258</v>
      </c>
      <c r="O554" s="40" t="str">
        <f>_xll.qlMakeDatedOIS(,M554,N554,OvernightIndex,0,,,,EvaluationDate)</f>
        <v>obj_008ba#0000</v>
      </c>
      <c r="P554" s="40" t="b">
        <f>_xll.qlInstrumentSetPricingEngine(O554,OisEngine)</f>
        <v>1</v>
      </c>
      <c r="Q554" s="38">
        <f>_xll.qlIndexFixing(Currency&amp;IborType&amp;"6M",_xll.qlInterestRateIndexFixingDate(Currency&amp;IborType&amp;"6M",M554),TRUE,AllTriggers)</f>
        <v>1.8911682593565911E-2</v>
      </c>
      <c r="R554" s="38">
        <f>_xll.qlOvernightIndexedSwapFairRate(O554,AllTriggers)</f>
        <v>1.8659932640819145E-2</v>
      </c>
      <c r="S554" s="345">
        <f t="shared" si="12"/>
        <v>2.5174995274676593E-4</v>
      </c>
    </row>
    <row r="555" spans="5:19" ht="11.25" customHeight="1" x14ac:dyDescent="0.2">
      <c r="E555" s="254"/>
      <c r="F555" s="254"/>
      <c r="G555" s="39"/>
      <c r="J555" s="39"/>
      <c r="K555" s="39"/>
      <c r="M555" s="346">
        <f>_xll.qlCalendarAdvance(Calendar,M554,"1M","f",,Trigger)</f>
        <v>59198</v>
      </c>
      <c r="N555" s="344">
        <f>_xll.qlCalendarAdvance(Calendar,M555,"3M","f",,Trigger)</f>
        <v>59288</v>
      </c>
      <c r="O555" s="40" t="str">
        <f>_xll.qlMakeDatedOIS(,M555,N555,OvernightIndex,0,,,,EvaluationDate)</f>
        <v>obj_00867#0000</v>
      </c>
      <c r="P555" s="40" t="b">
        <f>_xll.qlInstrumentSetPricingEngine(O555,OisEngine)</f>
        <v>1</v>
      </c>
      <c r="Q555" s="38">
        <f>_xll.qlIndexFixing(Currency&amp;IborType&amp;"6M",_xll.qlInterestRateIndexFixingDate(Currency&amp;IborType&amp;"6M",M555),TRUE,AllTriggers)</f>
        <v>1.8916712826993216E-2</v>
      </c>
      <c r="R555" s="38">
        <f>_xll.qlOvernightIndexedSwapFairRate(O555,AllTriggers)</f>
        <v>1.8664210941914838E-2</v>
      </c>
      <c r="S555" s="345">
        <f t="shared" si="12"/>
        <v>2.5250188507837737E-4</v>
      </c>
    </row>
    <row r="556" spans="5:19" ht="11.25" customHeight="1" x14ac:dyDescent="0.2">
      <c r="E556" s="254"/>
      <c r="F556" s="254"/>
      <c r="G556" s="39"/>
      <c r="J556" s="39"/>
      <c r="K556" s="39"/>
      <c r="M556" s="346">
        <f>_xll.qlCalendarAdvance(Calendar,M555,"1M","f",,Trigger)</f>
        <v>59229</v>
      </c>
      <c r="N556" s="344">
        <f>_xll.qlCalendarAdvance(Calendar,M556,"3M","f",,Trigger)</f>
        <v>59320</v>
      </c>
      <c r="O556" s="40" t="str">
        <f>_xll.qlMakeDatedOIS(,M556,N556,OvernightIndex,0,,,,EvaluationDate)</f>
        <v>obj_00a01#0000</v>
      </c>
      <c r="P556" s="40" t="b">
        <f>_xll.qlInstrumentSetPricingEngine(O556,OisEngine)</f>
        <v>1</v>
      </c>
      <c r="Q556" s="38">
        <f>_xll.qlIndexFixing(Currency&amp;IborType&amp;"6M",_xll.qlInterestRateIndexFixingDate(Currency&amp;IborType&amp;"6M",M556),TRUE,AllTriggers)</f>
        <v>1.8923467376909819E-2</v>
      </c>
      <c r="R556" s="38">
        <f>_xll.qlOvernightIndexedSwapFairRate(O556,AllTriggers)</f>
        <v>1.8670042142262595E-2</v>
      </c>
      <c r="S556" s="345">
        <f t="shared" si="12"/>
        <v>2.5342523464722336E-4</v>
      </c>
    </row>
    <row r="557" spans="5:19" ht="11.25" customHeight="1" x14ac:dyDescent="0.2">
      <c r="E557" s="254"/>
      <c r="F557" s="254"/>
      <c r="G557" s="39"/>
      <c r="J557" s="39"/>
      <c r="K557" s="39"/>
      <c r="M557" s="346">
        <f>_xll.qlCalendarAdvance(Calendar,M556,"1M","f",,Trigger)</f>
        <v>59258</v>
      </c>
      <c r="N557" s="344">
        <f>_xll.qlCalendarAdvance(Calendar,M557,"3M","f",,Trigger)</f>
        <v>59350</v>
      </c>
      <c r="O557" s="40" t="str">
        <f>_xll.qlMakeDatedOIS(,M557,N557,OvernightIndex,0,,,,EvaluationDate)</f>
        <v>obj_0084a#0000</v>
      </c>
      <c r="P557" s="40" t="b">
        <f>_xll.qlInstrumentSetPricingEngine(O557,OisEngine)</f>
        <v>1</v>
      </c>
      <c r="Q557" s="38">
        <f>_xll.qlIndexFixing(Currency&amp;IborType&amp;"6M",_xll.qlInterestRateIndexFixingDate(Currency&amp;IborType&amp;"6M",M557),TRUE,AllTriggers)</f>
        <v>1.8930935326685522E-2</v>
      </c>
      <c r="R557" s="38">
        <f>_xll.qlOvernightIndexedSwapFairRate(O557,AllTriggers)</f>
        <v>1.8675925245605619E-2</v>
      </c>
      <c r="S557" s="345">
        <f t="shared" si="12"/>
        <v>2.5501008107990317E-4</v>
      </c>
    </row>
    <row r="558" spans="5:19" ht="11.25" customHeight="1" x14ac:dyDescent="0.2">
      <c r="E558" s="254"/>
      <c r="F558" s="254"/>
      <c r="G558" s="39"/>
      <c r="J558" s="39"/>
      <c r="K558" s="39"/>
      <c r="M558" s="346">
        <f>_xll.qlCalendarAdvance(Calendar,M557,"1M","f",,Trigger)</f>
        <v>59289</v>
      </c>
      <c r="N558" s="344">
        <f>_xll.qlCalendarAdvance(Calendar,M558,"3M","f",,Trigger)</f>
        <v>59380</v>
      </c>
      <c r="O558" s="40" t="str">
        <f>_xll.qlMakeDatedOIS(,M558,N558,OvernightIndex,0,,,,EvaluationDate)</f>
        <v>obj_009ae#0000</v>
      </c>
      <c r="P558" s="40" t="b">
        <f>_xll.qlInstrumentSetPricingEngine(O558,OisEngine)</f>
        <v>1</v>
      </c>
      <c r="Q558" s="38">
        <f>_xll.qlIndexFixing(Currency&amp;IborType&amp;"6M",_xll.qlInterestRateIndexFixingDate(Currency&amp;IborType&amp;"6M",M558),TRUE,AllTriggers)</f>
        <v>1.8939379597933983E-2</v>
      </c>
      <c r="R558" s="38">
        <f>_xll.qlOvernightIndexedSwapFairRate(O558,AllTriggers)</f>
        <v>1.8681414612783057E-2</v>
      </c>
      <c r="S558" s="345">
        <f t="shared" si="12"/>
        <v>2.5796498515092553E-4</v>
      </c>
    </row>
    <row r="559" spans="5:19" ht="11.25" customHeight="1" x14ac:dyDescent="0.2">
      <c r="E559" s="254"/>
      <c r="F559" s="254"/>
      <c r="G559" s="39"/>
      <c r="J559" s="39"/>
      <c r="K559" s="39"/>
      <c r="M559" s="346">
        <f>_xll.qlCalendarAdvance(Calendar,M558,"1M","f",,Trigger)</f>
        <v>59320</v>
      </c>
      <c r="N559" s="344">
        <f>_xll.qlCalendarAdvance(Calendar,M559,"3M","f",,Trigger)</f>
        <v>59412</v>
      </c>
      <c r="O559" s="40" t="str">
        <f>_xll.qlMakeDatedOIS(,M559,N559,OvernightIndex,0,,,,EvaluationDate)</f>
        <v>obj_00976#0000</v>
      </c>
      <c r="P559" s="40" t="b">
        <f>_xll.qlInstrumentSetPricingEngine(O559,OisEngine)</f>
        <v>1</v>
      </c>
      <c r="Q559" s="38">
        <f>_xll.qlIndexFixing(Currency&amp;IborType&amp;"6M",_xll.qlInterestRateIndexFixingDate(Currency&amp;IborType&amp;"6M",M559),TRUE,AllTriggers)</f>
        <v>1.894584915127907E-2</v>
      </c>
      <c r="R559" s="38">
        <f>_xll.qlOvernightIndexedSwapFairRate(O559,AllTriggers)</f>
        <v>1.8688498480426734E-2</v>
      </c>
      <c r="S559" s="345">
        <f t="shared" si="12"/>
        <v>2.5735067085233543E-4</v>
      </c>
    </row>
    <row r="560" spans="5:19" ht="11.25" customHeight="1" x14ac:dyDescent="0.2">
      <c r="E560" s="254"/>
      <c r="F560" s="254"/>
      <c r="G560" s="39"/>
      <c r="J560" s="39"/>
      <c r="K560" s="39"/>
      <c r="M560" s="346">
        <f>_xll.qlCalendarAdvance(Calendar,M559,"1M","f",,Trigger)</f>
        <v>59351</v>
      </c>
      <c r="N560" s="344">
        <f>_xll.qlCalendarAdvance(Calendar,M560,"3M","f",,Trigger)</f>
        <v>59443</v>
      </c>
      <c r="O560" s="40" t="str">
        <f>_xll.qlMakeDatedOIS(,M560,N560,OvernightIndex,0,,,,EvaluationDate)</f>
        <v>obj_0084c#0000</v>
      </c>
      <c r="P560" s="40" t="b">
        <f>_xll.qlInstrumentSetPricingEngine(O560,OisEngine)</f>
        <v>1</v>
      </c>
      <c r="Q560" s="38">
        <f>_xll.qlIndexFixing(Currency&amp;IborType&amp;"6M",_xll.qlInterestRateIndexFixingDate(Currency&amp;IborType&amp;"6M",M560),TRUE,AllTriggers)</f>
        <v>1.8953453595720208E-2</v>
      </c>
      <c r="R560" s="38">
        <f>_xll.qlOvernightIndexedSwapFairRate(O560,AllTriggers)</f>
        <v>1.8695411001765545E-2</v>
      </c>
      <c r="S560" s="345">
        <f t="shared" si="12"/>
        <v>2.5804259395466322E-4</v>
      </c>
    </row>
    <row r="561" spans="5:19" ht="11.25" customHeight="1" x14ac:dyDescent="0.2">
      <c r="E561" s="254"/>
      <c r="F561" s="254"/>
      <c r="G561" s="39"/>
      <c r="J561" s="39"/>
      <c r="K561" s="39"/>
      <c r="M561" s="346">
        <f>_xll.qlCalendarAdvance(Calendar,M560,"1M","f",,Trigger)</f>
        <v>59383</v>
      </c>
      <c r="N561" s="344">
        <f>_xll.qlCalendarAdvance(Calendar,M561,"3M","f",,Trigger)</f>
        <v>59475</v>
      </c>
      <c r="O561" s="40" t="str">
        <f>_xll.qlMakeDatedOIS(,M561,N561,OvernightIndex,0,,,,EvaluationDate)</f>
        <v>obj_0090b#0000</v>
      </c>
      <c r="P561" s="40" t="b">
        <f>_xll.qlInstrumentSetPricingEngine(O561,OisEngine)</f>
        <v>1</v>
      </c>
      <c r="Q561" s="38">
        <f>_xll.qlIndexFixing(Currency&amp;IborType&amp;"6M",_xll.qlInterestRateIndexFixingDate(Currency&amp;IborType&amp;"6M",M561),TRUE,AllTriggers)</f>
        <v>1.8963162723012319E-2</v>
      </c>
      <c r="R561" s="38">
        <f>_xll.qlOvernightIndexedSwapFairRate(O561,AllTriggers)</f>
        <v>1.8702984187555321E-2</v>
      </c>
      <c r="S561" s="345">
        <f t="shared" si="12"/>
        <v>2.6017853545699798E-4</v>
      </c>
    </row>
    <row r="562" spans="5:19" ht="11.25" customHeight="1" x14ac:dyDescent="0.2">
      <c r="E562" s="254"/>
      <c r="F562" s="254"/>
      <c r="G562" s="39"/>
      <c r="J562" s="39"/>
      <c r="K562" s="39"/>
      <c r="M562" s="346">
        <f>_xll.qlCalendarAdvance(Calendar,M561,"1M","f",,Trigger)</f>
        <v>59414</v>
      </c>
      <c r="N562" s="344">
        <f>_xll.qlCalendarAdvance(Calendar,M562,"3M","f",,Trigger)</f>
        <v>59505</v>
      </c>
      <c r="O562" s="40" t="str">
        <f>_xll.qlMakeDatedOIS(,M562,N562,OvernightIndex,0,,,,EvaluationDate)</f>
        <v>obj_008b9#0000</v>
      </c>
      <c r="P562" s="40" t="b">
        <f>_xll.qlInstrumentSetPricingEngine(O562,OisEngine)</f>
        <v>1</v>
      </c>
      <c r="Q562" s="38">
        <f>_xll.qlIndexFixing(Currency&amp;IborType&amp;"6M",_xll.qlInterestRateIndexFixingDate(Currency&amp;IborType&amp;"6M",M562),TRUE,AllTriggers)</f>
        <v>1.8970498217013434E-2</v>
      </c>
      <c r="R562" s="38">
        <f>_xll.qlOvernightIndexedSwapFairRate(O562,AllTriggers)</f>
        <v>1.8710127474223612E-2</v>
      </c>
      <c r="S562" s="345">
        <f t="shared" si="12"/>
        <v>2.6037074278982206E-4</v>
      </c>
    </row>
    <row r="563" spans="5:19" ht="11.25" customHeight="1" x14ac:dyDescent="0.2">
      <c r="E563" s="254"/>
      <c r="F563" s="254"/>
      <c r="G563" s="39"/>
      <c r="J563" s="39"/>
      <c r="K563" s="39"/>
      <c r="M563" s="346">
        <f>_xll.qlCalendarAdvance(Calendar,M562,"1M","f",,Trigger)</f>
        <v>59446</v>
      </c>
      <c r="N563" s="344">
        <f>_xll.qlCalendarAdvance(Calendar,M563,"3M","f",,Trigger)</f>
        <v>59538</v>
      </c>
      <c r="O563" s="40" t="str">
        <f>_xll.qlMakeDatedOIS(,M563,N563,OvernightIndex,0,,,,EvaluationDate)</f>
        <v>obj_00866#0000</v>
      </c>
      <c r="P563" s="40" t="b">
        <f>_xll.qlInstrumentSetPricingEngine(O563,OisEngine)</f>
        <v>1</v>
      </c>
      <c r="Q563" s="38">
        <f>_xll.qlIndexFixing(Currency&amp;IborType&amp;"6M",_xll.qlInterestRateIndexFixingDate(Currency&amp;IborType&amp;"6M",M563),TRUE,AllTriggers)</f>
        <v>1.8981312080388824E-2</v>
      </c>
      <c r="R563" s="38">
        <f>_xll.qlOvernightIndexedSwapFairRate(O563,AllTriggers)</f>
        <v>1.8719193269261747E-2</v>
      </c>
      <c r="S563" s="345">
        <f t="shared" si="12"/>
        <v>2.6211881112707738E-4</v>
      </c>
    </row>
    <row r="564" spans="5:19" ht="11.25" customHeight="1" x14ac:dyDescent="0.2">
      <c r="E564" s="254"/>
      <c r="F564" s="254"/>
      <c r="G564" s="39"/>
      <c r="J564" s="39"/>
      <c r="K564" s="39"/>
      <c r="M564" s="346">
        <f>_xll.qlCalendarAdvance(Calendar,M563,"1M","f",,Trigger)</f>
        <v>59477</v>
      </c>
      <c r="N564" s="344">
        <f>_xll.qlCalendarAdvance(Calendar,M564,"3M","f",,Trigger)</f>
        <v>59569</v>
      </c>
      <c r="O564" s="40" t="str">
        <f>_xll.qlMakeDatedOIS(,M564,N564,OvernightIndex,0,,,,EvaluationDate)</f>
        <v>obj_00a00#0000</v>
      </c>
      <c r="P564" s="40" t="b">
        <f>_xll.qlInstrumentSetPricingEngine(O564,OisEngine)</f>
        <v>1</v>
      </c>
      <c r="Q564" s="38">
        <f>_xll.qlIndexFixing(Currency&amp;IborType&amp;"6M",_xll.qlInterestRateIndexFixingDate(Currency&amp;IborType&amp;"6M",M564),TRUE,AllTriggers)</f>
        <v>1.8991004283768785E-2</v>
      </c>
      <c r="R564" s="38">
        <f>_xll.qlOvernightIndexedSwapFairRate(O564,AllTriggers)</f>
        <v>1.8727801815189151E-2</v>
      </c>
      <c r="S564" s="345">
        <f t="shared" si="12"/>
        <v>2.63202468579634E-4</v>
      </c>
    </row>
    <row r="565" spans="5:19" ht="11.25" customHeight="1" x14ac:dyDescent="0.2">
      <c r="E565" s="254"/>
      <c r="F565" s="254"/>
      <c r="G565" s="39"/>
      <c r="J565" s="39"/>
      <c r="K565" s="39"/>
      <c r="M565" s="346">
        <f>_xll.qlCalendarAdvance(Calendar,M564,"1M","f",,Trigger)</f>
        <v>59509</v>
      </c>
      <c r="N565" s="344">
        <f>_xll.qlCalendarAdvance(Calendar,M565,"3M","f",,Trigger)</f>
        <v>59600</v>
      </c>
      <c r="O565" s="40" t="str">
        <f>_xll.qlMakeDatedOIS(,M565,N565,OvernightIndex,0,,,,EvaluationDate)</f>
        <v>obj_009e2#0000</v>
      </c>
      <c r="P565" s="40" t="b">
        <f>_xll.qlInstrumentSetPricingEngine(O565,OisEngine)</f>
        <v>1</v>
      </c>
      <c r="Q565" s="38">
        <f>_xll.qlIndexFixing(Currency&amp;IborType&amp;"6M",_xll.qlInterestRateIndexFixingDate(Currency&amp;IborType&amp;"6M",M565),TRUE,AllTriggers)</f>
        <v>1.9002941959510907E-2</v>
      </c>
      <c r="R565" s="38">
        <f>_xll.qlOvernightIndexedSwapFairRate(O565,AllTriggers)</f>
        <v>1.8736486512027053E-2</v>
      </c>
      <c r="S565" s="345">
        <f t="shared" si="12"/>
        <v>2.664554474838543E-4</v>
      </c>
    </row>
    <row r="566" spans="5:19" ht="11.25" customHeight="1" x14ac:dyDescent="0.2">
      <c r="E566" s="254"/>
      <c r="F566" s="254"/>
      <c r="G566" s="39"/>
      <c r="J566" s="39"/>
      <c r="K566" s="39"/>
      <c r="M566" s="346">
        <f>_xll.qlCalendarAdvance(Calendar,M565,"1M","f",,Trigger)</f>
        <v>59540</v>
      </c>
      <c r="N566" s="344">
        <f>_xll.qlCalendarAdvance(Calendar,M566,"3M","f",,Trigger)</f>
        <v>59630</v>
      </c>
      <c r="O566" s="40" t="str">
        <f>_xll.qlMakeDatedOIS(,M566,N566,OvernightIndex,0,,,,EvaluationDate)</f>
        <v>obj_009ad#0000</v>
      </c>
      <c r="P566" s="40" t="b">
        <f>_xll.qlInstrumentSetPricingEngine(O566,OisEngine)</f>
        <v>1</v>
      </c>
      <c r="Q566" s="38">
        <f>_xll.qlIndexFixing(Currency&amp;IborType&amp;"6M",_xll.qlInterestRateIndexFixingDate(Currency&amp;IborType&amp;"6M",M566),TRUE,AllTriggers)</f>
        <v>1.9013686633028177E-2</v>
      </c>
      <c r="R566" s="38">
        <f>_xll.qlOvernightIndexedSwapFairRate(O566,AllTriggers)</f>
        <v>1.8745289587544178E-2</v>
      </c>
      <c r="S566" s="345">
        <f t="shared" si="12"/>
        <v>2.6839704548399859E-4</v>
      </c>
    </row>
    <row r="567" spans="5:19" ht="11.25" customHeight="1" x14ac:dyDescent="0.2">
      <c r="E567" s="254"/>
      <c r="F567" s="254"/>
      <c r="G567" s="39"/>
      <c r="J567" s="39"/>
      <c r="K567" s="39"/>
      <c r="M567" s="346">
        <f>_xll.qlCalendarAdvance(Calendar,M566,"1M","f",,Trigger)</f>
        <v>59572</v>
      </c>
      <c r="N567" s="344">
        <f>_xll.qlCalendarAdvance(Calendar,M567,"3M","f",,Trigger)</f>
        <v>59663</v>
      </c>
      <c r="O567" s="40" t="str">
        <f>_xll.qlMakeDatedOIS(,M567,N567,OvernightIndex,0,,,,EvaluationDate)</f>
        <v>obj_00975#0000</v>
      </c>
      <c r="P567" s="40" t="b">
        <f>_xll.qlInstrumentSetPricingEngine(O567,OisEngine)</f>
        <v>1</v>
      </c>
      <c r="Q567" s="38">
        <f>_xll.qlIndexFixing(Currency&amp;IborType&amp;"6M",_xll.qlInterestRateIndexFixingDate(Currency&amp;IborType&amp;"6M",M567),TRUE,AllTriggers)</f>
        <v>1.9026748274062671E-2</v>
      </c>
      <c r="R567" s="38">
        <f>_xll.qlOvernightIndexedSwapFairRate(O567,AllTriggers)</f>
        <v>1.8756127710663793E-2</v>
      </c>
      <c r="S567" s="345">
        <f t="shared" si="12"/>
        <v>2.7062056339887883E-4</v>
      </c>
    </row>
    <row r="568" spans="5:19" ht="11.25" customHeight="1" x14ac:dyDescent="0.2">
      <c r="E568" s="254"/>
      <c r="F568" s="254"/>
      <c r="G568" s="39"/>
      <c r="J568" s="39"/>
      <c r="K568" s="39"/>
      <c r="M568" s="346">
        <f>_xll.qlCalendarAdvance(Calendar,M567,"1M","f",,Trigger)</f>
        <v>59600</v>
      </c>
      <c r="N568" s="344">
        <f>_xll.qlCalendarAdvance(Calendar,M568,"3M","f",,Trigger)</f>
        <v>59692</v>
      </c>
      <c r="O568" s="40" t="str">
        <f>_xll.qlMakeDatedOIS(,M568,N568,OvernightIndex,0,,,,EvaluationDate)</f>
        <v>obj_00855#0000</v>
      </c>
      <c r="P568" s="40" t="b">
        <f>_xll.qlInstrumentSetPricingEngine(O568,OisEngine)</f>
        <v>1</v>
      </c>
      <c r="Q568" s="38">
        <f>_xll.qlIndexFixing(Currency&amp;IborType&amp;"6M",_xll.qlInterestRateIndexFixingDate(Currency&amp;IborType&amp;"6M",M568),TRUE,AllTriggers)</f>
        <v>1.9039458652615134E-2</v>
      </c>
      <c r="R568" s="38">
        <f>_xll.qlOvernightIndexedSwapFairRate(O568,AllTriggers)</f>
        <v>1.8766070801240535E-2</v>
      </c>
      <c r="S568" s="345">
        <f t="shared" si="12"/>
        <v>2.7338785137459923E-4</v>
      </c>
    </row>
    <row r="569" spans="5:19" ht="11.25" customHeight="1" x14ac:dyDescent="0.2">
      <c r="E569" s="254"/>
      <c r="F569" s="254"/>
      <c r="G569" s="39"/>
      <c r="J569" s="39"/>
      <c r="K569" s="39"/>
      <c r="M569" s="346">
        <f>_xll.qlCalendarAdvance(Calendar,M568,"1M","f",,Trigger)</f>
        <v>59631</v>
      </c>
      <c r="N569" s="344">
        <f>_xll.qlCalendarAdvance(Calendar,M569,"3M","f",,Trigger)</f>
        <v>59722</v>
      </c>
      <c r="O569" s="40" t="str">
        <f>_xll.qlMakeDatedOIS(,M569,N569,OvernightIndex,0,,,,EvaluationDate)</f>
        <v>obj_00857#0000</v>
      </c>
      <c r="P569" s="40" t="b">
        <f>_xll.qlInstrumentSetPricingEngine(O569,OisEngine)</f>
        <v>1</v>
      </c>
      <c r="Q569" s="38">
        <f>_xll.qlIndexFixing(Currency&amp;IborType&amp;"6M",_xll.qlInterestRateIndexFixingDate(Currency&amp;IborType&amp;"6M",M569),TRUE,AllTriggers)</f>
        <v>1.9051741343961249E-2</v>
      </c>
      <c r="R569" s="38">
        <f>_xll.qlOvernightIndexedSwapFairRate(O569,AllTriggers)</f>
        <v>1.8776084547551898E-2</v>
      </c>
      <c r="S569" s="345">
        <f t="shared" si="12"/>
        <v>2.7565679640935078E-4</v>
      </c>
    </row>
    <row r="570" spans="5:19" ht="11.25" customHeight="1" x14ac:dyDescent="0.2">
      <c r="E570" s="254"/>
      <c r="F570" s="254"/>
      <c r="G570" s="39"/>
      <c r="J570" s="39"/>
      <c r="K570" s="39"/>
      <c r="M570" s="346">
        <f>_xll.qlCalendarAdvance(Calendar,M569,"1M","f",,Trigger)</f>
        <v>59663</v>
      </c>
      <c r="N570" s="344">
        <f>_xll.qlCalendarAdvance(Calendar,M570,"3M","f",,Trigger)</f>
        <v>59755</v>
      </c>
      <c r="O570" s="40" t="str">
        <f>_xll.qlMakeDatedOIS(,M570,N570,OvernightIndex,0,,,,EvaluationDate)</f>
        <v>obj_0090a#0000</v>
      </c>
      <c r="P570" s="40" t="b">
        <f>_xll.qlInstrumentSetPricingEngine(O570,OisEngine)</f>
        <v>1</v>
      </c>
      <c r="Q570" s="38">
        <f>_xll.qlIndexFixing(Currency&amp;IborType&amp;"6M",_xll.qlInterestRateIndexFixingDate(Currency&amp;IborType&amp;"6M",M570),TRUE,AllTriggers)</f>
        <v>1.9066446238487706E-2</v>
      </c>
      <c r="R570" s="38">
        <f>_xll.qlOvernightIndexedSwapFairRate(O570,AllTriggers)</f>
        <v>1.8788216128219688E-2</v>
      </c>
      <c r="S570" s="345">
        <f t="shared" si="12"/>
        <v>2.7823011026801778E-4</v>
      </c>
    </row>
    <row r="571" spans="5:19" ht="11.25" customHeight="1" x14ac:dyDescent="0.2">
      <c r="E571" s="254"/>
      <c r="F571" s="254"/>
      <c r="G571" s="39"/>
      <c r="J571" s="39"/>
      <c r="K571" s="39"/>
      <c r="M571" s="346">
        <f>_xll.qlCalendarAdvance(Calendar,M570,"1M","f",,Trigger)</f>
        <v>59694</v>
      </c>
      <c r="N571" s="344">
        <f>_xll.qlCalendarAdvance(Calendar,M571,"3M","f",,Trigger)</f>
        <v>59786</v>
      </c>
      <c r="O571" s="40" t="str">
        <f>_xll.qlMakeDatedOIS(,M571,N571,OvernightIndex,0,,,,EvaluationDate)</f>
        <v>obj_008b8#0000</v>
      </c>
      <c r="P571" s="40" t="b">
        <f>_xll.qlInstrumentSetPricingEngine(O571,OisEngine)</f>
        <v>1</v>
      </c>
      <c r="Q571" s="38">
        <f>_xll.qlIndexFixing(Currency&amp;IborType&amp;"6M",_xll.qlInterestRateIndexFixingDate(Currency&amp;IborType&amp;"6M",M571),TRUE,AllTriggers)</f>
        <v>1.9079781323442728E-2</v>
      </c>
      <c r="R571" s="38">
        <f>_xll.qlOvernightIndexedSwapFairRate(O571,AllTriggers)</f>
        <v>1.8799745716557653E-2</v>
      </c>
      <c r="S571" s="345">
        <f t="shared" si="12"/>
        <v>2.8003560688507484E-4</v>
      </c>
    </row>
    <row r="572" spans="5:19" ht="11.25" customHeight="1" x14ac:dyDescent="0.2">
      <c r="E572" s="254"/>
      <c r="F572" s="254"/>
      <c r="G572" s="39"/>
      <c r="J572" s="39"/>
      <c r="K572" s="39"/>
      <c r="M572" s="346">
        <f>_xll.qlCalendarAdvance(Calendar,M571,"1M","f",,Trigger)</f>
        <v>59726</v>
      </c>
      <c r="N572" s="344">
        <f>_xll.qlCalendarAdvance(Calendar,M572,"3M","f",,Trigger)</f>
        <v>59818</v>
      </c>
      <c r="O572" s="40" t="str">
        <f>_xll.qlMakeDatedOIS(,M572,N572,OvernightIndex,0,,,,EvaluationDate)</f>
        <v>obj_0085a#0000</v>
      </c>
      <c r="P572" s="40" t="b">
        <f>_xll.qlInstrumentSetPricingEngine(O572,OisEngine)</f>
        <v>1</v>
      </c>
      <c r="Q572" s="38">
        <f>_xll.qlIndexFixing(Currency&amp;IborType&amp;"6M",_xll.qlInterestRateIndexFixingDate(Currency&amp;IborType&amp;"6M",M572),TRUE,AllTriggers)</f>
        <v>1.9095610697875642E-2</v>
      </c>
      <c r="R572" s="38">
        <f>_xll.qlOvernightIndexedSwapFairRate(O572,AllTriggers)</f>
        <v>1.8812084941852235E-2</v>
      </c>
      <c r="S572" s="345">
        <f t="shared" si="12"/>
        <v>2.8352575602340682E-4</v>
      </c>
    </row>
    <row r="573" spans="5:19" ht="11.25" customHeight="1" x14ac:dyDescent="0.2">
      <c r="E573" s="254"/>
      <c r="F573" s="254"/>
      <c r="G573" s="39"/>
      <c r="J573" s="39"/>
      <c r="K573" s="39"/>
      <c r="M573" s="346">
        <f>_xll.qlCalendarAdvance(Calendar,M572,"1M","f",,Trigger)</f>
        <v>59757</v>
      </c>
      <c r="N573" s="344">
        <f>_xll.qlCalendarAdvance(Calendar,M573,"3M","f",,Trigger)</f>
        <v>59849</v>
      </c>
      <c r="O573" s="40" t="str">
        <f>_xll.qlMakeDatedOIS(,M573,N573,OvernightIndex,0,,,,EvaluationDate)</f>
        <v>obj_0085c#0000</v>
      </c>
      <c r="P573" s="40" t="b">
        <f>_xll.qlInstrumentSetPricingEngine(O573,OisEngine)</f>
        <v>1</v>
      </c>
      <c r="Q573" s="38">
        <f>_xll.qlIndexFixing(Currency&amp;IborType&amp;"6M",_xll.qlInterestRateIndexFixingDate(Currency&amp;IborType&amp;"6M",M573),TRUE,AllTriggers)</f>
        <v>1.9112286309577533E-2</v>
      </c>
      <c r="R573" s="38">
        <f>_xll.qlOvernightIndexedSwapFairRate(O573,AllTriggers)</f>
        <v>1.8824462606432477E-2</v>
      </c>
      <c r="S573" s="345">
        <f t="shared" si="12"/>
        <v>2.8782370314505562E-4</v>
      </c>
    </row>
    <row r="574" spans="5:19" ht="11.25" customHeight="1" x14ac:dyDescent="0.2">
      <c r="E574" s="254"/>
      <c r="F574" s="254"/>
      <c r="G574" s="39"/>
      <c r="J574" s="39"/>
      <c r="K574" s="39"/>
      <c r="M574" s="346">
        <f>_xll.qlCalendarAdvance(Calendar,M573,"1M","f",,Trigger)</f>
        <v>59789</v>
      </c>
      <c r="N574" s="344">
        <f>_xll.qlCalendarAdvance(Calendar,M574,"3M","f",,Trigger)</f>
        <v>59880</v>
      </c>
      <c r="O574" s="40" t="str">
        <f>_xll.qlMakeDatedOIS(,M574,N574,OvernightIndex,0,,,,EvaluationDate)</f>
        <v>obj_00865#0000</v>
      </c>
      <c r="P574" s="40" t="b">
        <f>_xll.qlInstrumentSetPricingEngine(O574,OisEngine)</f>
        <v>1</v>
      </c>
      <c r="Q574" s="38">
        <f>_xll.qlIndexFixing(Currency&amp;IborType&amp;"6M",_xll.qlInterestRateIndexFixingDate(Currency&amp;IborType&amp;"6M",M574),TRUE,AllTriggers)</f>
        <v>1.9125408078902326E-2</v>
      </c>
      <c r="R574" s="38">
        <f>_xll.qlOvernightIndexedSwapFairRate(O574,AllTriggers)</f>
        <v>1.8836972014010502E-2</v>
      </c>
      <c r="S574" s="345">
        <f t="shared" si="12"/>
        <v>2.8843606489182411E-4</v>
      </c>
    </row>
    <row r="575" spans="5:19" ht="11.25" customHeight="1" x14ac:dyDescent="0.2">
      <c r="E575" s="254"/>
      <c r="F575" s="254"/>
      <c r="G575" s="39"/>
      <c r="J575" s="39"/>
      <c r="K575" s="39"/>
      <c r="M575" s="346">
        <f>_xll.qlCalendarAdvance(Calendar,M574,"1M","f",,Trigger)</f>
        <v>59819</v>
      </c>
      <c r="N575" s="344">
        <f>_xll.qlCalendarAdvance(Calendar,M575,"3M","f",,Trigger)</f>
        <v>59911</v>
      </c>
      <c r="O575" s="40" t="str">
        <f>_xll.qlMakeDatedOIS(,M575,N575,OvernightIndex,0,,,,EvaluationDate)</f>
        <v>obj_009ff#0000</v>
      </c>
      <c r="P575" s="40" t="b">
        <f>_xll.qlInstrumentSetPricingEngine(O575,OisEngine)</f>
        <v>1</v>
      </c>
      <c r="Q575" s="38">
        <f>_xll.qlIndexFixing(Currency&amp;IborType&amp;"6M",_xll.qlInterestRateIndexFixingDate(Currency&amp;IborType&amp;"6M",M575),TRUE,AllTriggers)</f>
        <v>1.9141860599360596E-2</v>
      </c>
      <c r="R575" s="38">
        <f>_xll.qlOvernightIndexedSwapFairRate(O575,AllTriggers)</f>
        <v>1.8850469879455455E-2</v>
      </c>
      <c r="S575" s="345">
        <f t="shared" si="12"/>
        <v>2.9139071990514145E-4</v>
      </c>
    </row>
    <row r="576" spans="5:19" ht="11.25" customHeight="1" x14ac:dyDescent="0.2">
      <c r="E576" s="254"/>
      <c r="F576" s="254"/>
      <c r="G576" s="39"/>
      <c r="J576" s="39"/>
      <c r="K576" s="39"/>
      <c r="M576" s="346">
        <f>_xll.qlCalendarAdvance(Calendar,M575,"1M","f",,Trigger)</f>
        <v>59852</v>
      </c>
      <c r="N576" s="344">
        <f>_xll.qlCalendarAdvance(Calendar,M576,"3M","f",,Trigger)</f>
        <v>59944</v>
      </c>
      <c r="O576" s="40" t="str">
        <f>_xll.qlMakeDatedOIS(,M576,N576,OvernightIndex,0,,,,EvaluationDate)</f>
        <v>obj_0085f#0000</v>
      </c>
      <c r="P576" s="40" t="b">
        <f>_xll.qlInstrumentSetPricingEngine(O576,OisEngine)</f>
        <v>1</v>
      </c>
      <c r="Q576" s="38">
        <f>_xll.qlIndexFixing(Currency&amp;IborType&amp;"6M",_xll.qlInterestRateIndexFixingDate(Currency&amp;IborType&amp;"6M",M576),TRUE,AllTriggers)</f>
        <v>1.9158888480304372E-2</v>
      </c>
      <c r="R576" s="38">
        <f>_xll.qlOvernightIndexedSwapFairRate(O576,AllTriggers)</f>
        <v>1.8864993156892652E-2</v>
      </c>
      <c r="S576" s="345">
        <f t="shared" si="12"/>
        <v>2.9389532341171989E-4</v>
      </c>
    </row>
    <row r="577" spans="5:19" ht="11.25" customHeight="1" x14ac:dyDescent="0.2">
      <c r="E577" s="254"/>
      <c r="F577" s="254"/>
      <c r="G577" s="39"/>
      <c r="J577" s="39"/>
      <c r="K577" s="39"/>
      <c r="M577" s="346">
        <f>_xll.qlCalendarAdvance(Calendar,M576,"1M","f",,Trigger)</f>
        <v>59882</v>
      </c>
      <c r="N577" s="344">
        <f>_xll.qlCalendarAdvance(Calendar,M577,"3M","f",,Trigger)</f>
        <v>59973</v>
      </c>
      <c r="O577" s="40" t="str">
        <f>_xll.qlMakeDatedOIS(,M577,N577,OvernightIndex,0,,,,EvaluationDate)</f>
        <v>obj_009ac#0000</v>
      </c>
      <c r="P577" s="40" t="b">
        <f>_xll.qlInstrumentSetPricingEngine(O577,OisEngine)</f>
        <v>1</v>
      </c>
      <c r="Q577" s="38">
        <f>_xll.qlIndexFixing(Currency&amp;IborType&amp;"6M",_xll.qlInterestRateIndexFixingDate(Currency&amp;IborType&amp;"6M",M577),TRUE,AllTriggers)</f>
        <v>1.9176396733812526E-2</v>
      </c>
      <c r="R577" s="38">
        <f>_xll.qlOvernightIndexedSwapFairRate(O577,AllTriggers)</f>
        <v>1.8877878923832202E-2</v>
      </c>
      <c r="S577" s="345">
        <f t="shared" si="12"/>
        <v>2.9851780998032401E-4</v>
      </c>
    </row>
    <row r="578" spans="5:19" ht="11.25" customHeight="1" x14ac:dyDescent="0.2">
      <c r="M578" s="346">
        <f>_xll.qlCalendarAdvance(Calendar,M577,"1M","f",,Trigger)</f>
        <v>59915</v>
      </c>
      <c r="N578" s="344">
        <f>_xll.qlCalendarAdvance(Calendar,M578,"3M","f",,Trigger)</f>
        <v>60006</v>
      </c>
      <c r="O578" s="40" t="str">
        <f>_xll.qlMakeDatedOIS(,M578,N578,OvernightIndex,0,,,,EvaluationDate)</f>
        <v>obj_00974#0000</v>
      </c>
      <c r="P578" s="40" t="b">
        <f>_xll.qlInstrumentSetPricingEngine(O578,OisEngine)</f>
        <v>1</v>
      </c>
      <c r="Q578" s="38">
        <f>_xll.qlIndexFixing(Currency&amp;IborType&amp;"6M",_xll.qlInterestRateIndexFixingDate(Currency&amp;IborType&amp;"6M",M578),TRUE,AllTriggers)</f>
        <v>1.9194545826978816E-2</v>
      </c>
      <c r="R578" s="38">
        <f>_xll.qlOvernightIndexedSwapFairRate(O578,AllTriggers)</f>
        <v>1.8893297065104918E-2</v>
      </c>
      <c r="S578" s="345">
        <f t="shared" si="12"/>
        <v>3.0124876187389779E-4</v>
      </c>
    </row>
    <row r="579" spans="5:19" ht="11.25" customHeight="1" x14ac:dyDescent="0.2">
      <c r="M579" s="346">
        <f>_xll.qlCalendarAdvance(Calendar,M578,"1M","f",,Trigger)</f>
        <v>59946</v>
      </c>
      <c r="N579" s="344">
        <f>_xll.qlCalendarAdvance(Calendar,M579,"3M","f",,Trigger)</f>
        <v>60036</v>
      </c>
      <c r="O579" s="40" t="str">
        <f>_xll.qlMakeDatedOIS(,M579,N579,OvernightIndex,0,,,,EvaluationDate)</f>
        <v>obj_00952#0000</v>
      </c>
      <c r="P579" s="40" t="b">
        <f>_xll.qlInstrumentSetPricingEngine(O579,OisEngine)</f>
        <v>1</v>
      </c>
      <c r="Q579" s="38">
        <f>_xll.qlIndexFixing(Currency&amp;IborType&amp;"6M",_xll.qlInterestRateIndexFixingDate(Currency&amp;IborType&amp;"6M",M579),TRUE,AllTriggers)</f>
        <v>1.9212890686469638E-2</v>
      </c>
      <c r="R579" s="38">
        <f>_xll.qlOvernightIndexedSwapFairRate(O579,AllTriggers)</f>
        <v>1.8907468660813723E-2</v>
      </c>
      <c r="S579" s="345">
        <f t="shared" ref="S579:S581" si="13">Q579-R579</f>
        <v>3.0542202565591453E-4</v>
      </c>
    </row>
    <row r="580" spans="5:19" ht="11.25" customHeight="1" x14ac:dyDescent="0.2">
      <c r="M580" s="346">
        <f>_xll.qlCalendarAdvance(Calendar,M579,"1M","f",,Trigger)</f>
        <v>59975</v>
      </c>
      <c r="N580" s="344">
        <f>_xll.qlCalendarAdvance(Calendar,M580,"3M","f",,Trigger)</f>
        <v>60069</v>
      </c>
      <c r="O580" s="40" t="str">
        <f>_xll.qlMakeDatedOIS(,M580,N580,OvernightIndex,0,,,,EvaluationDate)</f>
        <v>obj_00864#0000</v>
      </c>
      <c r="P580" s="40" t="b">
        <f>_xll.qlInstrumentSetPricingEngine(O580,OisEngine)</f>
        <v>1</v>
      </c>
      <c r="Q580" s="38">
        <f>_xll.qlIndexFixing(Currency&amp;IborType&amp;"6M",_xll.qlInterestRateIndexFixingDate(Currency&amp;IborType&amp;"6M",M580),TRUE,AllTriggers)</f>
        <v>1.9233015423219584E-2</v>
      </c>
      <c r="R580" s="38">
        <f>_xll.qlOvernightIndexedSwapFairRate(O580,AllTriggers)</f>
        <v>1.8924792543331174E-2</v>
      </c>
      <c r="S580" s="345">
        <f t="shared" si="13"/>
        <v>3.0822287988840902E-4</v>
      </c>
    </row>
    <row r="581" spans="5:19" ht="11.25" customHeight="1" thickBot="1" x14ac:dyDescent="0.25">
      <c r="M581" s="352">
        <f>_xll.qlCalendarAdvance(Calendar,M580,"1M","f",,Trigger)</f>
        <v>60006</v>
      </c>
      <c r="N581" s="348">
        <f>_xll.qlCalendarAdvance(Calendar,M581,"3M","f",,Trigger)</f>
        <v>60097</v>
      </c>
      <c r="O581" s="40" t="str">
        <f>_xll.qlMakeDatedOIS(,M581,N581,OvernightIndex,0,,,,EvaluationDate)</f>
        <v>obj_008b7#0000</v>
      </c>
      <c r="P581" s="40" t="b">
        <f>_xll.qlInstrumentSetPricingEngine(O581,OisEngine)</f>
        <v>1</v>
      </c>
      <c r="Q581" s="38">
        <f>_xll.qlIndexFixing(Currency&amp;IborType&amp;"6M",_xll.qlInterestRateIndexFixingDate(Currency&amp;IborType&amp;"6M",M581),TRUE,AllTriggers)</f>
        <v>1.9250732400208661E-2</v>
      </c>
      <c r="R581" s="349">
        <f>_xll.qlOvernightIndexedSwapFairRate(O581,AllTriggers)</f>
        <v>1.8938263805540728E-2</v>
      </c>
      <c r="S581" s="350">
        <f t="shared" si="13"/>
        <v>3.1246859466793273E-4</v>
      </c>
    </row>
    <row r="582" spans="5:19" ht="11.25" customHeight="1" x14ac:dyDescent="0.2">
      <c r="O582" s="40"/>
      <c r="P582" s="40"/>
      <c r="Q582" s="38"/>
    </row>
    <row r="583" spans="5:19" ht="11.25" customHeight="1" x14ac:dyDescent="0.2">
      <c r="O583" s="40"/>
      <c r="P583" s="40"/>
      <c r="Q583" s="38"/>
    </row>
    <row r="584" spans="5:19" ht="11.25" customHeight="1" x14ac:dyDescent="0.2">
      <c r="O584" s="40"/>
      <c r="P584" s="40"/>
      <c r="Q584" s="38"/>
    </row>
    <row r="585" spans="5:19" ht="11.25" customHeight="1" x14ac:dyDescent="0.2">
      <c r="O585" s="40"/>
      <c r="P585" s="40"/>
      <c r="Q585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M1" workbookViewId="0">
      <selection activeCell="M1" sqref="M1"/>
    </sheetView>
  </sheetViews>
  <sheetFormatPr defaultRowHeight="11.25" outlineLevelCol="1" x14ac:dyDescent="0.2"/>
  <cols>
    <col min="1" max="1" width="3.1640625" style="44" hidden="1" customWidth="1" outlineLevel="1"/>
    <col min="2" max="2" width="7" style="44" hidden="1" customWidth="1" outlineLevel="1"/>
    <col min="3" max="3" width="3.5" style="44" hidden="1" customWidth="1" outlineLevel="1"/>
    <col min="4" max="4" width="2.33203125" style="383" hidden="1" customWidth="1" outlineLevel="1"/>
    <col min="5" max="5" width="4.6640625" style="383" hidden="1" customWidth="1" outlineLevel="1"/>
    <col min="6" max="6" width="8.1640625" style="44" hidden="1" customWidth="1" outlineLevel="1"/>
    <col min="7" max="7" width="22.5" style="44" hidden="1" customWidth="1" outlineLevel="1"/>
    <col min="8" max="8" width="12.83203125" style="44" hidden="1" customWidth="1" outlineLevel="1"/>
    <col min="9" max="9" width="9.33203125" style="44" hidden="1" customWidth="1" outlineLevel="1"/>
    <col min="10" max="10" width="31.1640625" style="44" hidden="1" customWidth="1" outlineLevel="1"/>
    <col min="11" max="11" width="17.83203125" style="385" hidden="1" customWidth="1" outlineLevel="1"/>
    <col min="12" max="12" width="26.33203125" style="44" hidden="1" customWidth="1" outlineLevel="1"/>
    <col min="13" max="13" width="2.83203125" style="44" customWidth="1" collapsed="1"/>
    <col min="14" max="15" width="17.83203125" style="44" bestFit="1" customWidth="1"/>
    <col min="16" max="21" width="20.1640625" style="44" bestFit="1" customWidth="1"/>
    <col min="22" max="22" width="7" style="44" hidden="1" customWidth="1" outlineLevel="1"/>
    <col min="23" max="23" width="9.33203125" style="44" hidden="1" customWidth="1" outlineLevel="1"/>
    <col min="24" max="24" width="9.33203125" style="44" bestFit="1" customWidth="1" collapsed="1"/>
    <col min="25" max="25" width="7" style="44" bestFit="1" customWidth="1"/>
    <col min="26" max="16384" width="9.33203125" style="44"/>
  </cols>
  <sheetData>
    <row r="1" spans="1:19" ht="11.25" customHeight="1" x14ac:dyDescent="0.2">
      <c r="D1" s="44"/>
      <c r="E1" s="44"/>
      <c r="J1" s="44" t="s">
        <v>45</v>
      </c>
      <c r="K1" s="44" t="str">
        <f>_xll.qlEuribor(,"1M",,,Trigger)</f>
        <v>obj_00503#0000</v>
      </c>
      <c r="L1" s="44" t="str">
        <f>_xll.ohRangeRetrieveError(K1)</f>
        <v/>
      </c>
    </row>
    <row r="2" spans="1:19" ht="24" customHeight="1" x14ac:dyDescent="0.2">
      <c r="A2" s="354"/>
      <c r="B2" s="355" t="s">
        <v>177</v>
      </c>
      <c r="C2" s="355"/>
      <c r="D2" s="356"/>
      <c r="E2" s="356"/>
      <c r="F2" s="355" t="s">
        <v>178</v>
      </c>
      <c r="G2" s="355" t="s">
        <v>179</v>
      </c>
      <c r="H2" s="355" t="s">
        <v>180</v>
      </c>
      <c r="I2" s="355" t="s">
        <v>181</v>
      </c>
      <c r="J2" s="355" t="s">
        <v>83</v>
      </c>
      <c r="K2" s="355" t="s">
        <v>84</v>
      </c>
      <c r="L2" s="357" t="s">
        <v>41</v>
      </c>
      <c r="M2" s="358"/>
      <c r="N2" s="359" t="s">
        <v>182</v>
      </c>
      <c r="O2" s="359" t="s">
        <v>85</v>
      </c>
      <c r="P2" s="359" t="s">
        <v>181</v>
      </c>
      <c r="Q2" s="359" t="s">
        <v>86</v>
      </c>
      <c r="R2" s="355" t="s">
        <v>89</v>
      </c>
      <c r="S2" s="355" t="s">
        <v>90</v>
      </c>
    </row>
    <row r="3" spans="1:19" ht="11.25" customHeight="1" x14ac:dyDescent="0.2">
      <c r="A3" s="360"/>
      <c r="B3" s="361" t="s">
        <v>194</v>
      </c>
      <c r="C3" s="425"/>
      <c r="D3" s="426"/>
      <c r="E3" s="426"/>
      <c r="F3" s="423"/>
      <c r="G3" s="423"/>
      <c r="H3" s="423"/>
      <c r="I3" s="427"/>
      <c r="J3" s="391" t="str">
        <f>PROPER((Currency))&amp;IborType&amp;J1&amp;"LastFixing"&amp;QuoteSuffix</f>
        <v>Euribor1MLastFixing_Quote</v>
      </c>
      <c r="K3" s="424" t="str">
        <f>_xll.qlDepositRateHelper(,J3,K1,,Trigger)</f>
        <v>obj_00540#0000</v>
      </c>
      <c r="L3" s="435" t="str">
        <f>_xll.ohRangeRetrieveError(K3)</f>
        <v/>
      </c>
      <c r="M3" s="369"/>
      <c r="N3" s="368" t="str">
        <f>_xll.qlRateHelperQuoteName(K3,Trigger)</f>
        <v>Euribor1MLastFixing_Quote</v>
      </c>
      <c r="O3" s="370">
        <f>_xll.qlQuoteValue(J3,AllTriggers)</f>
        <v>1E-4</v>
      </c>
      <c r="P3" s="370" t="e">
        <f>_xll.qlSwapRateHelperSpread(K3,AllTriggers)</f>
        <v>#NUM!</v>
      </c>
      <c r="Q3" s="368" t="b">
        <v>1</v>
      </c>
      <c r="R3" s="371">
        <f>_xll.qlRateHelperEarliestDate(K3,Trigger)</f>
        <v>41943</v>
      </c>
      <c r="S3" s="371">
        <f>_xll.qlRateHelperLatestDate(K3,Trigger)</f>
        <v>41971</v>
      </c>
    </row>
    <row r="4" spans="1:19" ht="11.25" customHeight="1" x14ac:dyDescent="0.2">
      <c r="A4" s="360"/>
      <c r="B4" s="428" t="s">
        <v>194</v>
      </c>
      <c r="C4" s="429" t="s">
        <v>52</v>
      </c>
      <c r="D4" s="430">
        <v>2</v>
      </c>
      <c r="E4" s="430" t="s">
        <v>195</v>
      </c>
      <c r="F4" s="428" t="s">
        <v>196</v>
      </c>
      <c r="G4" s="431" t="s">
        <v>183</v>
      </c>
      <c r="H4" s="431" t="s">
        <v>17</v>
      </c>
      <c r="I4" s="432">
        <v>0</v>
      </c>
      <c r="J4" s="433" t="str">
        <f t="shared" ref="J4:J9" si="0">Currency&amp;$D4&amp;$E4&amp;"_Quote"</f>
        <v>EUR2X1S_Quote</v>
      </c>
      <c r="K4" s="434" t="str">
        <f>_xll.qlSwapRateHelper2(,$J4,C4,Calendar,$F4,$G4,$H4,$K$1,$I4,B4,Discounting,Permanent,Trigger,ObjectOverwrite)</f>
        <v>obj_00508#0000</v>
      </c>
      <c r="L4" s="435" t="str">
        <f>_xll.ohRangeRetrieveError(K4)</f>
        <v/>
      </c>
      <c r="M4" s="369"/>
      <c r="N4" s="368" t="str">
        <f>_xll.qlRateHelperQuoteName(K4,Trigger)</f>
        <v>EUR2X1S_Quote</v>
      </c>
      <c r="O4" s="370">
        <f>_xll.qlQuoteValue(J4,AllTriggers)</f>
        <v>1.2E-4</v>
      </c>
      <c r="P4" s="370">
        <f>_xll.qlSwapRateHelperSpread(K4,AllTriggers)</f>
        <v>0</v>
      </c>
      <c r="Q4" s="368" t="b">
        <v>1</v>
      </c>
      <c r="R4" s="371">
        <f>_xll.qlRateHelperEarliestDate(K4,Trigger)</f>
        <v>41943</v>
      </c>
      <c r="S4" s="371">
        <f>_xll.qlRateHelperLatestDate(K4,Trigger)</f>
        <v>42004</v>
      </c>
    </row>
    <row r="5" spans="1:19" ht="11.25" customHeight="1" x14ac:dyDescent="0.2">
      <c r="A5" s="360"/>
      <c r="B5" s="361" t="s">
        <v>194</v>
      </c>
      <c r="C5" s="362" t="s">
        <v>46</v>
      </c>
      <c r="D5" s="363">
        <v>3</v>
      </c>
      <c r="E5" s="363" t="s">
        <v>195</v>
      </c>
      <c r="F5" s="361" t="s">
        <v>196</v>
      </c>
      <c r="G5" s="364" t="s">
        <v>183</v>
      </c>
      <c r="H5" s="364" t="s">
        <v>17</v>
      </c>
      <c r="I5" s="365">
        <v>0</v>
      </c>
      <c r="J5" s="366" t="str">
        <f t="shared" si="0"/>
        <v>EUR3X1S_Quote</v>
      </c>
      <c r="K5" s="367" t="str">
        <f>_xll.qlSwapRateHelper2(,$J5,C5,Calendar,$F5,$G5,$H5,$K$1,$I5,B5,Discounting,Permanent,Trigger,ObjectOverwrite)</f>
        <v>obj_00504#0000</v>
      </c>
      <c r="L5" s="368" t="str">
        <f>_xll.ohRangeRetrieveError(K5)</f>
        <v/>
      </c>
      <c r="M5" s="369"/>
      <c r="N5" s="368" t="str">
        <f>_xll.qlRateHelperQuoteName(K5,Trigger)</f>
        <v>EUR3X1S_Quote</v>
      </c>
      <c r="O5" s="370">
        <f>_xll.qlQuoteValue(J5,AllTriggers)</f>
        <v>1.4000000000000001E-4</v>
      </c>
      <c r="P5" s="370">
        <f>_xll.qlSwapRateHelperSpread(K5,AllTriggers)</f>
        <v>0</v>
      </c>
      <c r="Q5" s="368" t="b">
        <v>1</v>
      </c>
      <c r="R5" s="371">
        <f>_xll.qlRateHelperEarliestDate(K5,Trigger)</f>
        <v>41943</v>
      </c>
      <c r="S5" s="371">
        <f>_xll.qlRateHelperLatestDate(K5,Trigger)</f>
        <v>42034</v>
      </c>
    </row>
    <row r="6" spans="1:19" ht="11.25" customHeight="1" x14ac:dyDescent="0.2">
      <c r="A6" s="354"/>
      <c r="B6" s="361" t="s">
        <v>194</v>
      </c>
      <c r="C6" s="362" t="s">
        <v>53</v>
      </c>
      <c r="D6" s="363">
        <v>4</v>
      </c>
      <c r="E6" s="363" t="s">
        <v>195</v>
      </c>
      <c r="F6" s="361" t="s">
        <v>196</v>
      </c>
      <c r="G6" s="364" t="s">
        <v>183</v>
      </c>
      <c r="H6" s="364" t="s">
        <v>17</v>
      </c>
      <c r="I6" s="365">
        <v>0</v>
      </c>
      <c r="J6" s="366" t="str">
        <f t="shared" si="0"/>
        <v>EUR4X1S_Quote</v>
      </c>
      <c r="K6" s="367" t="str">
        <f>_xll.qlSwapRateHelper2(,$J6,C6,Calendar,$F6,$G6,$H6,$K$1,$I6,B6,Discounting,Permanent,Trigger,ObjectOverwrite)</f>
        <v>obj_00507#0000</v>
      </c>
      <c r="L6" s="368" t="str">
        <f>_xll.ohRangeRetrieveError(K6)</f>
        <v/>
      </c>
      <c r="M6" s="369"/>
      <c r="N6" s="368" t="str">
        <f>_xll.qlRateHelperQuoteName(K6,Trigger)</f>
        <v>EUR4X1S_Quote</v>
      </c>
      <c r="O6" s="370">
        <f>_xll.qlQuoteValue(J6,AllTriggers)</f>
        <v>1.8999999999999998E-4</v>
      </c>
      <c r="P6" s="370">
        <f>_xll.qlSwapRateHelperSpread(K6,AllTriggers)</f>
        <v>0</v>
      </c>
      <c r="Q6" s="368" t="b">
        <v>1</v>
      </c>
      <c r="R6" s="371">
        <f>_xll.qlRateHelperEarliestDate(K6,Trigger)</f>
        <v>41943</v>
      </c>
      <c r="S6" s="371">
        <f>_xll.qlRateHelperLatestDate(K6,Trigger)</f>
        <v>42062</v>
      </c>
    </row>
    <row r="7" spans="1:19" ht="11.25" customHeight="1" x14ac:dyDescent="0.2">
      <c r="A7" s="354"/>
      <c r="B7" s="361" t="s">
        <v>194</v>
      </c>
      <c r="C7" s="362" t="s">
        <v>54</v>
      </c>
      <c r="D7" s="363">
        <v>5</v>
      </c>
      <c r="E7" s="363" t="s">
        <v>195</v>
      </c>
      <c r="F7" s="361" t="s">
        <v>196</v>
      </c>
      <c r="G7" s="364" t="s">
        <v>183</v>
      </c>
      <c r="H7" s="364" t="s">
        <v>17</v>
      </c>
      <c r="I7" s="365">
        <v>0</v>
      </c>
      <c r="J7" s="366" t="str">
        <f t="shared" si="0"/>
        <v>EUR5X1S_Quote</v>
      </c>
      <c r="K7" s="367" t="str">
        <f>_xll.qlSwapRateHelper2(,$J7,C7,Calendar,$F7,$G7,$H7,$K$1,$I7,B7,Discounting,Permanent,Trigger,ObjectOverwrite)</f>
        <v>obj_00506#0000</v>
      </c>
      <c r="L7" s="368" t="str">
        <f>_xll.ohRangeRetrieveError(K7)</f>
        <v/>
      </c>
      <c r="M7" s="369"/>
      <c r="N7" s="368" t="str">
        <f>_xll.qlRateHelperQuoteName(K7,Trigger)</f>
        <v>EUR5X1S_Quote</v>
      </c>
      <c r="O7" s="370">
        <f>_xll.qlQuoteValue(J7,AllTriggers)</f>
        <v>2.0000000000000001E-4</v>
      </c>
      <c r="P7" s="370">
        <f>_xll.qlSwapRateHelperSpread(K7,AllTriggers)</f>
        <v>0</v>
      </c>
      <c r="Q7" s="368" t="b">
        <v>0</v>
      </c>
      <c r="R7" s="371">
        <f>_xll.qlRateHelperEarliestDate(K7,Trigger)</f>
        <v>41943</v>
      </c>
      <c r="S7" s="371">
        <f>_xll.qlRateHelperLatestDate(K7,Trigger)</f>
        <v>42094</v>
      </c>
    </row>
    <row r="8" spans="1:19" ht="11.25" customHeight="1" x14ac:dyDescent="0.2">
      <c r="A8" s="354"/>
      <c r="B8" s="361" t="s">
        <v>194</v>
      </c>
      <c r="C8" s="362" t="s">
        <v>47</v>
      </c>
      <c r="D8" s="363">
        <v>6</v>
      </c>
      <c r="E8" s="363" t="s">
        <v>195</v>
      </c>
      <c r="F8" s="361" t="s">
        <v>196</v>
      </c>
      <c r="G8" s="364" t="s">
        <v>183</v>
      </c>
      <c r="H8" s="364" t="s">
        <v>17</v>
      </c>
      <c r="I8" s="365">
        <v>0</v>
      </c>
      <c r="J8" s="366" t="str">
        <f t="shared" si="0"/>
        <v>EUR6X1S_Quote</v>
      </c>
      <c r="K8" s="367" t="str">
        <f>_xll.qlSwapRateHelper2(,$J8,C8,Calendar,$F8,$G8,$H8,$K$1,$I8,B8,Discounting,Permanent,Trigger,ObjectOverwrite)</f>
        <v>obj_00505#0000</v>
      </c>
      <c r="L8" s="368" t="str">
        <f>_xll.ohRangeRetrieveError(K8)</f>
        <v/>
      </c>
      <c r="M8" s="369"/>
      <c r="N8" s="368" t="str">
        <f>_xll.qlRateHelperQuoteName(K8,Trigger)</f>
        <v>EUR6X1S_Quote</v>
      </c>
      <c r="O8" s="370">
        <f>_xll.qlQuoteValue(J8,AllTriggers)</f>
        <v>2.0000000000000001E-4</v>
      </c>
      <c r="P8" s="370">
        <f>_xll.qlSwapRateHelperSpread(K8,AllTriggers)</f>
        <v>0</v>
      </c>
      <c r="Q8" s="368" t="b">
        <v>0</v>
      </c>
      <c r="R8" s="371">
        <f>_xll.qlRateHelperEarliestDate(K8,Trigger)</f>
        <v>41943</v>
      </c>
      <c r="S8" s="371">
        <f>_xll.qlRateHelperLatestDate(K8,Trigger)</f>
        <v>42124</v>
      </c>
    </row>
    <row r="9" spans="1:19" ht="11.25" customHeight="1" x14ac:dyDescent="0.2">
      <c r="B9" s="372" t="s">
        <v>194</v>
      </c>
      <c r="C9" s="373" t="s">
        <v>55</v>
      </c>
      <c r="D9" s="374">
        <v>7</v>
      </c>
      <c r="E9" s="374" t="s">
        <v>195</v>
      </c>
      <c r="F9" s="372" t="s">
        <v>196</v>
      </c>
      <c r="G9" s="375" t="s">
        <v>183</v>
      </c>
      <c r="H9" s="375" t="s">
        <v>17</v>
      </c>
      <c r="I9" s="376">
        <v>0</v>
      </c>
      <c r="J9" s="421" t="str">
        <f t="shared" si="0"/>
        <v>EUR7X1S_Quote</v>
      </c>
      <c r="K9" s="422" t="str">
        <f>_xll.qlSwapRateHelper2(,$J9,C9,Calendar,$F9,$G9,$H9,$K$1,$I9,B9,Discounting,Permanent,Trigger,ObjectOverwrite)</f>
        <v>obj_00509#0000</v>
      </c>
      <c r="L9" s="377" t="str">
        <f>_xll.ohRangeRetrieveError(K9)</f>
        <v/>
      </c>
      <c r="N9" s="377" t="str">
        <f>_xll.qlRateHelperQuoteName(K9,Trigger)</f>
        <v>EUR7X1S_Quote</v>
      </c>
      <c r="O9" s="378">
        <f>_xll.qlQuoteValue(J9,AllTriggers)</f>
        <v>1.8999999999999998E-4</v>
      </c>
      <c r="P9" s="378">
        <f>_xll.qlSwapRateHelperSpread(K9,AllTriggers)</f>
        <v>0</v>
      </c>
      <c r="Q9" s="377" t="b">
        <v>0</v>
      </c>
      <c r="R9" s="379">
        <f>_xll.qlRateHelperEarliestDate(K9,Trigger)</f>
        <v>41943</v>
      </c>
      <c r="S9" s="379">
        <f>_xll.qlRateHelperLatestDate(K9,Trigger)</f>
        <v>42153</v>
      </c>
    </row>
    <row r="10" spans="1:19" x14ac:dyDescent="0.2">
      <c r="D10" s="44"/>
      <c r="E10" s="44"/>
      <c r="K10" s="44"/>
      <c r="L10" s="369"/>
    </row>
    <row r="11" spans="1:19" x14ac:dyDescent="0.2">
      <c r="I11" s="384"/>
      <c r="J11" s="384"/>
      <c r="N11" s="380" t="s">
        <v>197</v>
      </c>
      <c r="O11" s="381"/>
      <c r="P11" s="381"/>
      <c r="Q11" s="381"/>
      <c r="R11" s="381"/>
      <c r="S11" s="382"/>
    </row>
    <row r="12" spans="1:19" x14ac:dyDescent="0.2">
      <c r="L12" s="359" t="s">
        <v>184</v>
      </c>
      <c r="N12" s="359" t="s">
        <v>103</v>
      </c>
      <c r="O12" s="359" t="s">
        <v>104</v>
      </c>
      <c r="P12" s="359" t="s">
        <v>181</v>
      </c>
      <c r="Q12" s="359" t="s">
        <v>89</v>
      </c>
      <c r="R12" s="359" t="s">
        <v>90</v>
      </c>
      <c r="S12" s="386">
        <f t="array" ref="S12:S21">_xll.qlPiecewiseYieldCurveData('General Settings'!J35,InterestRatesTrigger)</f>
        <v>1</v>
      </c>
    </row>
    <row r="13" spans="1:19" x14ac:dyDescent="0.2">
      <c r="I13" s="384"/>
      <c r="J13" s="384"/>
      <c r="L13" s="391" t="str">
        <f t="array" ref="L13:L21">_xll.ohFilter(K3:K9,Q3:Q9)</f>
        <v>obj_00540#0000</v>
      </c>
      <c r="N13" s="389" t="str">
        <f t="array" ref="N13:N21">_xll.ohFilter(N3:N8,Q3:Q8)</f>
        <v>Euribor1MLastFixing_Quote</v>
      </c>
      <c r="O13" s="370">
        <f t="array" ref="O13:O21">_xll.ohFilter(O3:O8,Q3:Q8)</f>
        <v>1E-4</v>
      </c>
      <c r="P13" s="370" t="e">
        <f t="array" ref="P13:P21">_xll.ohFilter(P3:P8,Q3:Q8)</f>
        <v>#NUM!</v>
      </c>
      <c r="Q13" s="371">
        <f t="array" ref="Q13:Q21">_xll.ohFilter(R3:R8,Q3:Q8)</f>
        <v>41943</v>
      </c>
      <c r="R13" s="371">
        <f t="array" ref="R13:R21">_xll.ohFilter(S3:S8,Q3:Q8)</f>
        <v>41971</v>
      </c>
      <c r="S13" s="387">
        <v>0.99999222228290863</v>
      </c>
    </row>
    <row r="14" spans="1:19" x14ac:dyDescent="0.2">
      <c r="L14" s="392" t="str">
        <v>obj_00508#0000</v>
      </c>
      <c r="N14" s="389" t="str">
        <v>EUR2X1S_Quote</v>
      </c>
      <c r="O14" s="370">
        <v>1.2E-4</v>
      </c>
      <c r="P14" s="370">
        <v>0</v>
      </c>
      <c r="Q14" s="371">
        <v>41943</v>
      </c>
      <c r="R14" s="371">
        <v>42004</v>
      </c>
      <c r="S14" s="387">
        <v>0.99997966699409546</v>
      </c>
    </row>
    <row r="15" spans="1:19" x14ac:dyDescent="0.2">
      <c r="I15" s="384"/>
      <c r="J15" s="384"/>
      <c r="L15" s="392" t="str">
        <v>obj_00504#0000</v>
      </c>
      <c r="N15" s="389" t="str">
        <v>EUR3X1S_Quote</v>
      </c>
      <c r="O15" s="370">
        <v>1.4000000000000001E-4</v>
      </c>
      <c r="P15" s="370">
        <v>0</v>
      </c>
      <c r="Q15" s="371">
        <v>41943</v>
      </c>
      <c r="R15" s="371">
        <v>42034</v>
      </c>
      <c r="S15" s="387">
        <v>0.99996461170696116</v>
      </c>
    </row>
    <row r="16" spans="1:19" x14ac:dyDescent="0.2">
      <c r="L16" s="392" t="str">
        <v>obj_00507#0000</v>
      </c>
      <c r="N16" s="389" t="str">
        <v>EUR4X1S_Quote</v>
      </c>
      <c r="O16" s="370">
        <v>1.8999999999999998E-4</v>
      </c>
      <c r="P16" s="370">
        <v>0</v>
      </c>
      <c r="Q16" s="371">
        <v>41943</v>
      </c>
      <c r="R16" s="371">
        <v>42062</v>
      </c>
      <c r="S16" s="387">
        <v>0.99993719670019177</v>
      </c>
    </row>
    <row r="17" spans="9:24" x14ac:dyDescent="0.2">
      <c r="I17" s="384"/>
      <c r="J17" s="384"/>
      <c r="L17" s="392" t="e">
        <v>#N/A</v>
      </c>
      <c r="N17" s="389" t="e">
        <v>#N/A</v>
      </c>
      <c r="O17" s="370" t="e">
        <v>#N/A</v>
      </c>
      <c r="P17" s="370" t="e">
        <v>#N/A</v>
      </c>
      <c r="Q17" s="371" t="e">
        <v>#N/A</v>
      </c>
      <c r="R17" s="371" t="e">
        <v>#N/A</v>
      </c>
      <c r="S17" s="387" t="e">
        <v>#N/A</v>
      </c>
    </row>
    <row r="18" spans="9:24" x14ac:dyDescent="0.2">
      <c r="L18" s="392" t="e">
        <v>#N/A</v>
      </c>
      <c r="N18" s="389" t="e">
        <v>#N/A</v>
      </c>
      <c r="O18" s="370" t="e">
        <v>#N/A</v>
      </c>
      <c r="P18" s="370" t="e">
        <v>#N/A</v>
      </c>
      <c r="Q18" s="371" t="e">
        <v>#N/A</v>
      </c>
      <c r="R18" s="371" t="e">
        <v>#N/A</v>
      </c>
      <c r="S18" s="387" t="e">
        <v>#N/A</v>
      </c>
    </row>
    <row r="19" spans="9:24" x14ac:dyDescent="0.2">
      <c r="I19" s="384"/>
      <c r="J19" s="384"/>
      <c r="L19" s="392" t="e">
        <v>#N/A</v>
      </c>
      <c r="N19" s="389" t="e">
        <v>#N/A</v>
      </c>
      <c r="O19" s="370" t="e">
        <v>#N/A</v>
      </c>
      <c r="P19" s="370" t="e">
        <v>#N/A</v>
      </c>
      <c r="Q19" s="371" t="e">
        <v>#N/A</v>
      </c>
      <c r="R19" s="371" t="e">
        <v>#N/A</v>
      </c>
      <c r="S19" s="387" t="e">
        <v>#N/A</v>
      </c>
    </row>
    <row r="20" spans="9:24" x14ac:dyDescent="0.2">
      <c r="L20" s="392" t="e">
        <v>#N/A</v>
      </c>
      <c r="N20" s="389" t="e">
        <v>#N/A</v>
      </c>
      <c r="O20" s="370" t="e">
        <v>#N/A</v>
      </c>
      <c r="P20" s="370" t="e">
        <v>#N/A</v>
      </c>
      <c r="Q20" s="371" t="e">
        <v>#N/A</v>
      </c>
      <c r="R20" s="371" t="e">
        <v>#N/A</v>
      </c>
      <c r="S20" s="387" t="e">
        <v>#N/A</v>
      </c>
    </row>
    <row r="21" spans="9:24" x14ac:dyDescent="0.2">
      <c r="I21" s="384"/>
      <c r="J21" s="384"/>
      <c r="L21" s="393" t="e">
        <v>#N/A</v>
      </c>
      <c r="N21" s="390" t="e">
        <v>#N/A</v>
      </c>
      <c r="O21" s="378" t="e">
        <v>#N/A</v>
      </c>
      <c r="P21" s="378" t="e">
        <v>#N/A</v>
      </c>
      <c r="Q21" s="379" t="e">
        <v>#N/A</v>
      </c>
      <c r="R21" s="379" t="e">
        <v>#N/A</v>
      </c>
      <c r="S21" s="388" t="e">
        <v>#N/A</v>
      </c>
    </row>
    <row r="22" spans="9:24" ht="12" hidden="1" thickBot="1" x14ac:dyDescent="0.25">
      <c r="L22" s="423"/>
      <c r="T22" s="395"/>
      <c r="U22" s="395"/>
      <c r="V22" s="395"/>
      <c r="W22" s="395"/>
      <c r="X22" s="397"/>
    </row>
    <row r="23" spans="9:24" ht="12" hidden="1" thickBot="1" x14ac:dyDescent="0.25">
      <c r="I23" s="384"/>
      <c r="J23" s="384"/>
      <c r="L23" s="393"/>
      <c r="N23" s="394" t="s">
        <v>185</v>
      </c>
      <c r="O23" s="395"/>
      <c r="P23" s="395"/>
      <c r="Q23" s="396"/>
      <c r="R23" s="394"/>
      <c r="S23" s="394" t="s">
        <v>186</v>
      </c>
      <c r="T23" s="399" t="s">
        <v>192</v>
      </c>
      <c r="U23" s="399" t="s">
        <v>193</v>
      </c>
      <c r="V23" s="399"/>
      <c r="W23" s="399"/>
      <c r="X23" s="400" t="s">
        <v>108</v>
      </c>
    </row>
    <row r="24" spans="9:24" ht="12" hidden="1" thickBot="1" x14ac:dyDescent="0.25">
      <c r="N24" s="398" t="s">
        <v>187</v>
      </c>
      <c r="O24" s="399" t="s">
        <v>188</v>
      </c>
      <c r="P24" s="399" t="s">
        <v>189</v>
      </c>
      <c r="Q24" s="399" t="s">
        <v>27</v>
      </c>
      <c r="R24" s="400" t="s">
        <v>190</v>
      </c>
      <c r="S24" s="399" t="s">
        <v>191</v>
      </c>
      <c r="T24" s="403">
        <f>_xll.qlCalendarAdvance(Calendar,SettlementDate,"1D","F",,Trigger)</f>
        <v>41946</v>
      </c>
      <c r="U24" s="403">
        <f>_xll.qlInterestRateIndexMaturity(N28,T24,Trigger)</f>
        <v>41976</v>
      </c>
      <c r="V24" s="406">
        <f>_xll.qlDayCounterYearFraction("actual/365 (fixed)",T24,U24,,,Trigger)</f>
        <v>8.2191780821917804E-2</v>
      </c>
      <c r="W24" s="406">
        <f>_xll.qlDayCounterYearFraction("Actual/365 (fixed)",$T$24,U24,,,Trigger)</f>
        <v>8.2191780821917804E-2</v>
      </c>
      <c r="X24" s="407" t="e">
        <f>R25</f>
        <v>#NUM!</v>
      </c>
    </row>
    <row r="25" spans="9:24" hidden="1" x14ac:dyDescent="0.2">
      <c r="I25" s="384"/>
      <c r="J25" s="384"/>
      <c r="N25" s="401" t="s">
        <v>46</v>
      </c>
      <c r="O25" s="402" t="str">
        <f>_xll.qlSwapIndex(,"BBSW",N25,1,Currency,Calendar,"3M","mf","actual/365 (fixed)",'1M Swaps'!$N$28,Discounting,,Trigger,ObjectOverwrite)</f>
        <v>obj_00a75#0000</v>
      </c>
      <c r="P25" s="403" t="str">
        <f>Currency&amp;"QM1M"&amp;N25</f>
        <v>EURQM1M3M</v>
      </c>
      <c r="Q25" s="403">
        <f>EvaluationDate</f>
        <v>41941</v>
      </c>
      <c r="R25" s="404" t="e">
        <f>_xll.qlIndexFixing(O25,$Q$25,TRUE,Trigger)</f>
        <v>#NUM!</v>
      </c>
      <c r="S25" s="405" t="str">
        <f>Currency&amp;"0x3"&amp;"F"</f>
        <v>EUR0x3F</v>
      </c>
      <c r="T25" s="409">
        <f>U24</f>
        <v>41976</v>
      </c>
      <c r="U25" s="409">
        <f>_xll.qlInterestRateIndexMaturity(N28,T25,Trigger)</f>
        <v>42009</v>
      </c>
      <c r="V25" s="411">
        <f>_xll.qlDayCounterYearFraction("actual/365 (fixed)",T25,U25,,,Trigger)</f>
        <v>9.0410958904109592E-2</v>
      </c>
      <c r="W25" s="411">
        <f>_xll.qlDayCounterYearFraction("Actual/365 (fixed)",$T$24,U25,,,Trigger)</f>
        <v>0.17260273972602741</v>
      </c>
      <c r="X25" s="412" t="e">
        <f>((1+R26*W25)/(1+X24*W24)-1)/V25</f>
        <v>#NUM!</v>
      </c>
    </row>
    <row r="26" spans="9:24" ht="12" hidden="1" thickBot="1" x14ac:dyDescent="0.25">
      <c r="N26" s="408" t="s">
        <v>47</v>
      </c>
      <c r="O26" s="402" t="str">
        <f>_xll.qlSwapIndex(,"BBSW",N26,1,Currency,Calendar,"3M","mf","actual/365 (fixed)",'1M Swaps'!$N$28,Discounting,,Trigger,ObjectOverwrite)</f>
        <v>obj_00a76#0000</v>
      </c>
      <c r="P26" s="409" t="str">
        <f>Currency&amp;"QM1M"&amp;N26</f>
        <v>EURQM1M6M</v>
      </c>
      <c r="Q26" s="409">
        <f>EvaluationDate</f>
        <v>41941</v>
      </c>
      <c r="R26" s="370" t="e">
        <f>_xll.qlIndexFixing(O26,$Q$25,TRUE,Trigger)</f>
        <v>#NUM!</v>
      </c>
      <c r="S26" s="410" t="str">
        <f>Currency&amp;"3x6"&amp;"F"</f>
        <v>EUR3x6F</v>
      </c>
      <c r="T26" s="414">
        <f>U25</f>
        <v>42009</v>
      </c>
      <c r="U26" s="414">
        <f>_xll.qlInterestRateIndexMaturity(N28,T26,Trigger)</f>
        <v>42040</v>
      </c>
      <c r="V26" s="416">
        <f>_xll.qlDayCounterYearFraction("actual/365 (fixed)",T26,U26,,,Trigger)</f>
        <v>8.4931506849315067E-2</v>
      </c>
      <c r="W26" s="416">
        <f>_xll.qlDayCounterYearFraction("Actual/365 (fixed)",$T$24,U26,,,Trigger)</f>
        <v>0.25753424657534246</v>
      </c>
      <c r="X26" s="417" t="e">
        <f>((1+R27*W26)/(1+R26*W25)-1)/V26</f>
        <v>#NUM!</v>
      </c>
    </row>
    <row r="27" spans="9:24" x14ac:dyDescent="0.2">
      <c r="I27" s="384"/>
      <c r="J27" s="384"/>
    </row>
    <row r="28" spans="9:24" ht="12" thickBot="1" x14ac:dyDescent="0.25">
      <c r="N28" s="44" t="str">
        <f>_xll.qlEuribor(,"1M",'General Settings'!J35,,Trigger)</f>
        <v>obj_00a73#0000</v>
      </c>
    </row>
    <row r="29" spans="9:24" ht="12" thickBot="1" x14ac:dyDescent="0.25">
      <c r="I29" s="384"/>
      <c r="J29" s="384"/>
      <c r="N29" s="394" t="s">
        <v>198</v>
      </c>
      <c r="O29" s="394"/>
      <c r="P29" s="395"/>
      <c r="Q29" s="395"/>
      <c r="R29" s="396"/>
    </row>
    <row r="30" spans="9:24" ht="12" thickBot="1" x14ac:dyDescent="0.25">
      <c r="N30" s="398" t="s">
        <v>199</v>
      </c>
      <c r="O30" s="399" t="s">
        <v>191</v>
      </c>
      <c r="P30" s="399" t="s">
        <v>105</v>
      </c>
      <c r="Q30" s="399" t="s">
        <v>106</v>
      </c>
      <c r="R30" s="399" t="s">
        <v>193</v>
      </c>
      <c r="S30" s="400" t="s">
        <v>108</v>
      </c>
    </row>
    <row r="31" spans="9:24" x14ac:dyDescent="0.2">
      <c r="I31" s="384"/>
      <c r="J31" s="384"/>
      <c r="N31" s="401" t="s">
        <v>45</v>
      </c>
      <c r="O31" s="405" t="str">
        <f>Currency&amp;"0X1"&amp;"F"</f>
        <v>EUR0X1F</v>
      </c>
      <c r="P31" s="409">
        <f>_xll.qlInterestRateIndexFixingDate($N$28,Q31,Trigger)</f>
        <v>41941</v>
      </c>
      <c r="Q31" s="403">
        <f>SettlementDate</f>
        <v>41943</v>
      </c>
      <c r="R31" s="403">
        <f>_xll.qlInterestRateIndexMaturity($N$28,Q31,Trigger)</f>
        <v>41971</v>
      </c>
      <c r="S31" s="407">
        <f>_xll.qlIndexFixing($N$28,P31,TRUE,AllTriggers)</f>
        <v>9.9999997516927609E-5</v>
      </c>
    </row>
    <row r="32" spans="9:24" x14ac:dyDescent="0.2">
      <c r="N32" s="408" t="s">
        <v>52</v>
      </c>
      <c r="O32" s="410" t="str">
        <f>Currency&amp;"1x2"&amp;"F"</f>
        <v>EUR1x2F</v>
      </c>
      <c r="P32" s="409">
        <f>_xll.qlInterestRateIndexFixingDate($N$28,Q32,Trigger)</f>
        <v>41969</v>
      </c>
      <c r="Q32" s="409">
        <f>R31</f>
        <v>41971</v>
      </c>
      <c r="R32" s="409">
        <f>_xll.qlInterestRateIndexMaturity($N$28,Q32,Trigger)</f>
        <v>42004</v>
      </c>
      <c r="S32" s="412">
        <f>_xll.qlIndexFixing($N$28,P32,TRUE,AllTriggers)</f>
        <v>1.369695720552435E-4</v>
      </c>
    </row>
    <row r="33" spans="9:19" x14ac:dyDescent="0.2">
      <c r="I33" s="384"/>
      <c r="J33" s="384"/>
      <c r="N33" s="408" t="s">
        <v>46</v>
      </c>
      <c r="O33" s="410" t="str">
        <f>Currency&amp;"2x3"&amp;"F"</f>
        <v>EUR2x3F</v>
      </c>
      <c r="P33" s="409">
        <f>_xll.qlInterestRateIndexFixingDate($N$28,Q33,Trigger)</f>
        <v>42002</v>
      </c>
      <c r="Q33" s="409">
        <f>R32</f>
        <v>42004</v>
      </c>
      <c r="R33" s="409">
        <f>_xll.qlInterestRateIndexMaturity($N$28,Q33,Trigger)</f>
        <v>42034</v>
      </c>
      <c r="S33" s="412">
        <f>_xll.qlIndexFixing($N$28,P33,TRUE,AllTriggers)</f>
        <v>1.8066983920927981E-4</v>
      </c>
    </row>
    <row r="34" spans="9:19" ht="12" thickBot="1" x14ac:dyDescent="0.25">
      <c r="N34" s="413" t="s">
        <v>53</v>
      </c>
      <c r="O34" s="415" t="str">
        <f>Currency&amp;"3x4"&amp;"F"</f>
        <v>EUR3x4F</v>
      </c>
      <c r="P34" s="414">
        <f>_xll.qlInterestRateIndexFixingDate($N$28,Q34,Trigger)</f>
        <v>42032</v>
      </c>
      <c r="Q34" s="414">
        <f>R33</f>
        <v>42034</v>
      </c>
      <c r="R34" s="414">
        <f>_xll.qlInterestRateIndexMaturity($N$28,Q34,Trigger)</f>
        <v>42062</v>
      </c>
      <c r="S34" s="417">
        <f>_xll.qlIndexFixing($N$28,P34,TRUE,AllTriggers)</f>
        <v>3.5250079667774922E-4</v>
      </c>
    </row>
    <row r="35" spans="9:19" x14ac:dyDescent="0.2">
      <c r="I35" s="384"/>
      <c r="J35" s="384"/>
    </row>
    <row r="37" spans="9:19" x14ac:dyDescent="0.2">
      <c r="I37" s="384"/>
      <c r="J37" s="384"/>
    </row>
  </sheetData>
  <dataValidations count="4">
    <dataValidation type="list" allowBlank="1" showInputMessage="1" showErrorMessage="1" sqref="Q3:Q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73</vt:i4>
      </vt:variant>
    </vt:vector>
  </HeadingPairs>
  <TitlesOfParts>
    <vt:vector size="84" baseType="lpstr">
      <vt:lpstr>General Settings</vt:lpstr>
      <vt:lpstr>1MSynthDepo</vt:lpstr>
      <vt:lpstr>3MSynthDepo</vt:lpstr>
      <vt:lpstr>6MSynthDepo</vt:lpstr>
      <vt:lpstr>1YSynthDepo</vt:lpstr>
      <vt:lpstr>RateHelpersFra</vt:lpstr>
      <vt:lpstr>SynthFra</vt:lpstr>
      <vt:lpstr>Contribution</vt:lpstr>
      <vt:lpstr>basis 3M</vt:lpstr>
      <vt:lpstr>basis 6M </vt:lpstr>
      <vt:lpstr>1M Swaps</vt:lpstr>
      <vt:lpstr>'1M Swaps'!Accuracy</vt:lpstr>
      <vt:lpstr>Accuracy</vt:lpstr>
      <vt:lpstr>AllTriggers</vt:lpstr>
      <vt:lpstr>'1M Swaps'!BasisInterpolation</vt:lpstr>
      <vt:lpstr>BasisInterpolation</vt:lpstr>
      <vt:lpstr>BasisInterpolator</vt:lpstr>
      <vt:lpstr>Calendar</vt:lpstr>
      <vt:lpstr>'1M Swaps'!Conventions</vt:lpstr>
      <vt:lpstr>Currency</vt:lpstr>
      <vt:lpstr>'1M Swaps'!DayCounter</vt:lpstr>
      <vt:lpstr>DayCounter</vt:lpstr>
      <vt:lpstr>'1MSynthDepo'!DayCounter1M</vt:lpstr>
      <vt:lpstr>'1YSynthDepo'!DayCounter1M</vt:lpstr>
      <vt:lpstr>'3MSynthDepo'!DayCounter3M</vt:lpstr>
      <vt:lpstr>'6MSynthDepo'!DayCounter6M</vt:lpstr>
      <vt:lpstr>'1MSynthDepo'!DayCounterOIS</vt:lpstr>
      <vt:lpstr>'1YSynthDepo'!DayCounterOIS</vt:lpstr>
      <vt:lpstr>'3MSynthDepo'!DayCounterOIS</vt:lpstr>
      <vt:lpstr>'6MSynthDepo'!DayCounterOIS</vt:lpstr>
      <vt:lpstr>'1MSynthDepo'!DayCounterON</vt:lpstr>
      <vt:lpstr>'1YSynthDepo'!DayCounterON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IborIndex</vt:lpstr>
      <vt:lpstr>'1M Swaps'!IborTenor</vt:lpstr>
      <vt:lpstr>IborTenor</vt:lpstr>
      <vt:lpstr>IborType</vt:lpstr>
      <vt:lpstr>InterestRatesTrigger</vt:lpstr>
      <vt:lpstr>'1M Swaps'!InterpolatorID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MinDistance</vt:lpstr>
      <vt:lpstr>Contribution!Months12M</vt:lpstr>
      <vt:lpstr>Contribution!Months1M</vt:lpstr>
      <vt:lpstr>Contribution!Months3M</vt:lpstr>
      <vt:lpstr>Contribution!Months6M</vt:lpstr>
      <vt:lpstr>'1M Swaps'!NDays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'1M Swaps'!TraitsID</vt:lpstr>
      <vt:lpstr>TraitsID</vt:lpstr>
      <vt:lpstr>Trigger</vt:lpstr>
      <vt:lpstr>TriggerCounter</vt:lpstr>
      <vt:lpstr>'1M Swaps'!YieldCurve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2014-10-29T15:50:20Z</dcterms:modified>
</cp:coreProperties>
</file>