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_data\Daten F\Agrammon\Revision Modellparameter\2016\N-Ausscheidung_Korrektur Fütterung Milchkühe DC\"/>
    </mc:Choice>
  </mc:AlternateContent>
  <xr:revisionPtr revIDLastSave="0" documentId="13_ncr:1_{CC788B9B-FAAD-49DE-AF90-1786BDAE22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grammon GRUD17" sheetId="4" r:id="rId1"/>
    <sheet name="Agrammon 4.1" sheetId="5" r:id="rId2"/>
    <sheet name="Sheet3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4" l="1"/>
  <c r="U19" i="4"/>
  <c r="S4" i="4"/>
  <c r="O4" i="4"/>
  <c r="E4" i="4"/>
  <c r="M25" i="4"/>
  <c r="M27" i="4"/>
  <c r="M28" i="4"/>
  <c r="J26" i="4"/>
  <c r="L26" i="4"/>
  <c r="K26" i="4"/>
  <c r="M26" i="4"/>
  <c r="E36" i="4"/>
  <c r="O36" i="4"/>
  <c r="Q36" i="4"/>
  <c r="R36" i="4"/>
  <c r="F14" i="4"/>
  <c r="E14" i="4"/>
  <c r="G14" i="4"/>
  <c r="H14" i="4"/>
  <c r="I14" i="4"/>
  <c r="J14" i="4"/>
  <c r="K14" i="4"/>
  <c r="L14" i="4"/>
  <c r="O14" i="4"/>
  <c r="R14" i="4"/>
  <c r="N36" i="4"/>
  <c r="S36" i="4"/>
  <c r="S14" i="4"/>
  <c r="L18" i="4"/>
  <c r="U28" i="4"/>
  <c r="E15" i="4"/>
  <c r="U20" i="4"/>
  <c r="U21" i="4"/>
  <c r="U22" i="4"/>
  <c r="U23" i="4"/>
  <c r="U24" i="4"/>
  <c r="U25" i="4"/>
  <c r="B6" i="5"/>
  <c r="E6" i="5"/>
  <c r="C6" i="5"/>
  <c r="D6" i="5"/>
  <c r="B7" i="5"/>
  <c r="E7" i="5"/>
  <c r="C7" i="5"/>
  <c r="D7" i="5"/>
  <c r="B8" i="5"/>
  <c r="E8" i="5"/>
  <c r="C8" i="5"/>
  <c r="D8" i="5"/>
  <c r="B9" i="5"/>
  <c r="E9" i="5"/>
  <c r="C9" i="5"/>
  <c r="D9" i="5"/>
  <c r="B10" i="5"/>
  <c r="E10" i="5"/>
  <c r="C10" i="5"/>
  <c r="D10" i="5"/>
  <c r="B11" i="5"/>
  <c r="E11" i="5"/>
  <c r="C11" i="5"/>
  <c r="D11" i="5"/>
  <c r="B12" i="5"/>
  <c r="E12" i="5"/>
  <c r="C12" i="5"/>
  <c r="D12" i="5"/>
  <c r="B13" i="5"/>
  <c r="E13" i="5"/>
  <c r="C13" i="5"/>
  <c r="D13" i="5"/>
  <c r="C5" i="5"/>
  <c r="D5" i="5"/>
  <c r="B5" i="5"/>
  <c r="E5" i="5"/>
  <c r="E13" i="4"/>
  <c r="O13" i="4"/>
  <c r="S13" i="4"/>
  <c r="E12" i="4"/>
  <c r="N12" i="4"/>
  <c r="N13" i="4"/>
  <c r="W13" i="5"/>
  <c r="V13" i="5"/>
  <c r="S13" i="5"/>
  <c r="X13" i="5"/>
  <c r="W12" i="5"/>
  <c r="V12" i="5"/>
  <c r="S12" i="5"/>
  <c r="Y12" i="5"/>
  <c r="W11" i="5"/>
  <c r="V11" i="5"/>
  <c r="S11" i="5"/>
  <c r="Y11" i="5"/>
  <c r="W10" i="5"/>
  <c r="V10" i="5"/>
  <c r="S10" i="5"/>
  <c r="Y10" i="5"/>
  <c r="W9" i="5"/>
  <c r="V9" i="5"/>
  <c r="S9" i="5"/>
  <c r="X9" i="5"/>
  <c r="S8" i="5"/>
  <c r="X8" i="5"/>
  <c r="W8" i="5"/>
  <c r="V8" i="5"/>
  <c r="Y8" i="5"/>
  <c r="W7" i="5"/>
  <c r="V7" i="5"/>
  <c r="S7" i="5"/>
  <c r="Y7" i="5"/>
  <c r="W6" i="5"/>
  <c r="V6" i="5"/>
  <c r="S6" i="5"/>
  <c r="Y6" i="5"/>
  <c r="W5" i="5"/>
  <c r="V5" i="5"/>
  <c r="S5" i="5"/>
  <c r="X5" i="5"/>
  <c r="E9" i="4"/>
  <c r="O9" i="4"/>
  <c r="E10" i="4"/>
  <c r="N10" i="4"/>
  <c r="E11" i="4"/>
  <c r="N11" i="4"/>
  <c r="X6" i="5"/>
  <c r="X7" i="5"/>
  <c r="X10" i="5"/>
  <c r="X11" i="5"/>
  <c r="X12" i="5"/>
  <c r="O11" i="4"/>
  <c r="S11" i="4"/>
  <c r="S9" i="4"/>
  <c r="N12" i="5"/>
  <c r="Q12" i="4"/>
  <c r="N9" i="5"/>
  <c r="Q9" i="4"/>
  <c r="R9" i="4"/>
  <c r="O10" i="4"/>
  <c r="N10" i="5"/>
  <c r="Q10" i="4"/>
  <c r="N9" i="4"/>
  <c r="N5" i="5"/>
  <c r="Q5" i="4"/>
  <c r="N6" i="5"/>
  <c r="N13" i="5"/>
  <c r="Q13" i="4"/>
  <c r="R13" i="4"/>
  <c r="N7" i="5"/>
  <c r="Q7" i="4"/>
  <c r="N8" i="5"/>
  <c r="N11" i="5"/>
  <c r="Q11" i="4"/>
  <c r="R11" i="4"/>
  <c r="O12" i="4"/>
  <c r="Y13" i="5"/>
  <c r="Y5" i="5"/>
  <c r="Y9" i="5"/>
  <c r="S4" i="5"/>
  <c r="E4" i="5"/>
  <c r="N4" i="5"/>
  <c r="Q4" i="4"/>
  <c r="R10" i="4"/>
  <c r="S12" i="4"/>
  <c r="S10" i="4"/>
  <c r="R12" i="4"/>
  <c r="V4" i="5"/>
  <c r="Y4" i="5"/>
  <c r="X4" i="5"/>
  <c r="W4" i="5"/>
  <c r="E8" i="4"/>
  <c r="E7" i="4"/>
  <c r="E6" i="4"/>
  <c r="E5" i="4"/>
  <c r="O5" i="4"/>
  <c r="S5" i="4"/>
  <c r="O6" i="4"/>
  <c r="S6" i="4"/>
  <c r="N5" i="4"/>
  <c r="R5" i="4"/>
  <c r="R6" i="4"/>
  <c r="N6" i="4"/>
  <c r="N7" i="4"/>
  <c r="O7" i="4"/>
  <c r="O8" i="4"/>
  <c r="N8" i="4"/>
  <c r="N4" i="4"/>
  <c r="R4" i="4"/>
  <c r="R8" i="4"/>
  <c r="S8" i="4"/>
  <c r="R7" i="4"/>
  <c r="S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Kupper Thomas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Kupper Thomas:</t>
        </r>
        <r>
          <rPr>
            <sz val="9"/>
            <color indexed="81"/>
            <rFont val="Tahoma"/>
            <charset val="1"/>
          </rPr>
          <t xml:space="preserve">
am 22.3.18 nicht mehr kontrolliert</t>
        </r>
      </text>
    </comment>
  </commentList>
</comments>
</file>

<file path=xl/sharedStrings.xml><?xml version="1.0" encoding="utf-8"?>
<sst xmlns="http://schemas.openxmlformats.org/spreadsheetml/2006/main" count="79" uniqueCount="49">
  <si>
    <t>K1S (Dürrfutter)</t>
  </si>
  <si>
    <t>K2S (Maissilage)</t>
  </si>
  <si>
    <t>K1W (Maissilage)</t>
  </si>
  <si>
    <t>K2W (Grasssilage)</t>
  </si>
  <si>
    <t>Winter</t>
  </si>
  <si>
    <t>nur DF*</t>
  </si>
  <si>
    <t xml:space="preserve">DF + Mais (Silage oder Würfel) </t>
  </si>
  <si>
    <t xml:space="preserve">DF + Grassilage </t>
  </si>
  <si>
    <t>Sommer</t>
  </si>
  <si>
    <t>nur Gras*</t>
  </si>
  <si>
    <t xml:space="preserve">+ Dürrfutter: </t>
  </si>
  <si>
    <t xml:space="preserve">+ Mais (Silage oder Würfel): </t>
  </si>
  <si>
    <t>S nur Gras</t>
  </si>
  <si>
    <t>W nurDF</t>
  </si>
  <si>
    <t>KF so</t>
  </si>
  <si>
    <t>ML</t>
  </si>
  <si>
    <t>KF Wi</t>
  </si>
  <si>
    <t>Resultate ohne KF</t>
  </si>
  <si>
    <t>Resultate mit KF</t>
  </si>
  <si>
    <t>Resultate 5.0 hr-part</t>
  </si>
  <si>
    <t>Ntot</t>
  </si>
  <si>
    <t>Resultate 4.1</t>
  </si>
  <si>
    <t>TAN</t>
  </si>
  <si>
    <t>Sz</t>
  </si>
  <si>
    <t>Resultate 4.1/Resultate mit KF</t>
  </si>
  <si>
    <t>Resultate 5.0 hr-part/Resultate mit KF</t>
  </si>
  <si>
    <t>K2S (Maiswürfel)</t>
  </si>
  <si>
    <t>K2W (Maiswürfel)</t>
  </si>
  <si>
    <t>Test 2 5.0 5.0 20170906</t>
  </si>
  <si>
    <t>Test 2 5.0 4.1 20170906</t>
  </si>
  <si>
    <t>Resultate nach Korr</t>
  </si>
  <si>
    <t>Differenz</t>
  </si>
  <si>
    <t>Resultate Agrammon GRUD17</t>
  </si>
  <si>
    <t>TAN kontr 1</t>
  </si>
  <si>
    <t>Szenario 10: durchschnittliche Werte Kraft/Grundfutter 2015 und Modelloutput 5.0 und 4.1</t>
  </si>
  <si>
    <t>MW 2015</t>
  </si>
  <si>
    <t>MW 2010</t>
  </si>
  <si>
    <t>Anteil TAN</t>
  </si>
  <si>
    <t>Szenario 11: durchschnittliche Werte Kraft/Grundfutter 2010 und Modelloutput 5.0</t>
  </si>
  <si>
    <t>Resultate AGRAMMON Single Farm Model (with Nox, model version 2549)</t>
  </si>
  <si>
    <t>K2W (Grassilage)</t>
  </si>
  <si>
    <t>Wahl Default Ausscheidung</t>
  </si>
  <si>
    <t>Umsetung Zelle O4</t>
  </si>
  <si>
    <t>Origninal Formels H. Menzi</t>
  </si>
  <si>
    <t>Test Regression Korr Kraftfutter</t>
  </si>
  <si>
    <t>Wi</t>
  </si>
  <si>
    <t>So</t>
  </si>
  <si>
    <t>Berechnung, die in Agrammon zur N-Ausscheidung 112 kg N führt</t>
  </si>
  <si>
    <t xml:space="preserve">in C:\local_data\Daten F\Agrammon\Revision Modellparameter\2016\N-Ausscheidung_Korrektur Fütterung Milchkühe DC Tests Fütterungskorrekturen Milchkühe 20170920 test’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</si>
</sst>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%"/>
    <numFmt numFmtId="166" formatCode="_ * #,##0.0000_ ;_ * \-#,##0.0000_ ;_ * &quot;-&quot;??_ ;_ @_ "/>
    <numFmt numFmtId="167" formatCode="_ * #,##0.000000_ ;_ * \-#,##0.000000_ ;_ * &quot;-&quot;??_ ;_ @_ "/>
  </numFmts>
  <fonts count="9" x14ac:knownFonts="1">
    <font>
      <sz val="9.5"/>
      <color theme="1"/>
      <name val="Lucida Sans"/>
      <family val="2"/>
    </font>
    <font>
      <sz val="9.5"/>
      <color theme="1"/>
      <name val="Lucida Sans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2" applyFill="1"/>
    <xf numFmtId="9" fontId="2" fillId="2" borderId="0" xfId="2" applyNumberFormat="1" applyFill="1"/>
    <xf numFmtId="0" fontId="2" fillId="2" borderId="0" xfId="2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2" applyFill="1"/>
    <xf numFmtId="0" fontId="2" fillId="0" borderId="0" xfId="2" applyFill="1" applyAlignment="1">
      <alignment horizontal="center"/>
    </xf>
    <xf numFmtId="0" fontId="2" fillId="0" borderId="0" xfId="2" applyFill="1" applyAlignment="1">
      <alignment vertical="top" wrapText="1"/>
    </xf>
    <xf numFmtId="0" fontId="2" fillId="0" borderId="0" xfId="2" applyFont="1" applyFill="1" applyAlignment="1">
      <alignment vertical="top" wrapText="1"/>
    </xf>
    <xf numFmtId="0" fontId="2" fillId="0" borderId="0" xfId="2" applyFill="1" applyAlignment="1">
      <alignment horizontal="center" vertical="top" wrapText="1"/>
    </xf>
    <xf numFmtId="9" fontId="2" fillId="0" borderId="0" xfId="2" applyNumberFormat="1" applyFill="1"/>
    <xf numFmtId="43" fontId="2" fillId="0" borderId="0" xfId="1" applyFont="1" applyFill="1"/>
    <xf numFmtId="43" fontId="2" fillId="0" borderId="0" xfId="2" applyNumberFormat="1" applyFill="1"/>
    <xf numFmtId="43" fontId="0" fillId="0" borderId="0" xfId="0" applyNumberFormat="1" applyFill="1"/>
    <xf numFmtId="0" fontId="2" fillId="0" borderId="0" xfId="2" applyFill="1" applyAlignment="1">
      <alignment vertical="top"/>
    </xf>
    <xf numFmtId="0" fontId="3" fillId="0" borderId="0" xfId="2" applyFont="1" applyFill="1" applyAlignment="1">
      <alignment vertical="top" wrapText="1"/>
    </xf>
    <xf numFmtId="164" fontId="2" fillId="0" borderId="0" xfId="2" applyNumberFormat="1" applyFill="1"/>
    <xf numFmtId="165" fontId="2" fillId="0" borderId="0" xfId="2" applyNumberFormat="1" applyFill="1"/>
    <xf numFmtId="166" fontId="2" fillId="0" borderId="0" xfId="1" applyNumberFormat="1" applyFont="1" applyFill="1"/>
    <xf numFmtId="165" fontId="2" fillId="2" borderId="0" xfId="2" applyNumberFormat="1" applyFill="1"/>
    <xf numFmtId="9" fontId="2" fillId="3" borderId="0" xfId="2" applyNumberFormat="1" applyFill="1"/>
    <xf numFmtId="167" fontId="4" fillId="0" borderId="0" xfId="1" applyNumberFormat="1" applyFont="1" applyFill="1"/>
    <xf numFmtId="0" fontId="5" fillId="0" borderId="0" xfId="0" applyFont="1" applyFill="1" applyAlignment="1">
      <alignment vertical="center"/>
    </xf>
    <xf numFmtId="9" fontId="5" fillId="0" borderId="0" xfId="0" applyNumberFormat="1" applyFont="1" applyFill="1" applyAlignment="1">
      <alignment horizontal="right" vertical="center"/>
    </xf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0" xfId="2" applyFont="1" applyFill="1" applyAlignment="1">
      <alignment vertical="top" wrapText="1"/>
    </xf>
    <xf numFmtId="0" fontId="5" fillId="0" borderId="0" xfId="2" applyFont="1" applyFill="1" applyAlignment="1">
      <alignment horizontal="center" vertical="top" wrapText="1"/>
    </xf>
    <xf numFmtId="0" fontId="5" fillId="0" borderId="0" xfId="2" applyFont="1" applyFill="1" applyAlignment="1">
      <alignment vertical="top"/>
    </xf>
    <xf numFmtId="9" fontId="5" fillId="0" borderId="0" xfId="2" applyNumberFormat="1" applyFont="1" applyFill="1"/>
    <xf numFmtId="43" fontId="5" fillId="0" borderId="0" xfId="1" applyFont="1" applyFill="1"/>
    <xf numFmtId="0" fontId="5" fillId="2" borderId="0" xfId="2" applyFont="1" applyFill="1"/>
    <xf numFmtId="0" fontId="5" fillId="2" borderId="0" xfId="2" applyFont="1" applyFill="1" applyAlignment="1">
      <alignment horizontal="center"/>
    </xf>
    <xf numFmtId="9" fontId="5" fillId="2" borderId="0" xfId="2" applyNumberFormat="1" applyFont="1" applyFill="1"/>
    <xf numFmtId="43" fontId="5" fillId="0" borderId="0" xfId="1" applyNumberFormat="1" applyFont="1" applyFill="1"/>
    <xf numFmtId="2" fontId="5" fillId="0" borderId="0" xfId="2" applyNumberFormat="1" applyFont="1" applyFill="1"/>
    <xf numFmtId="43" fontId="5" fillId="0" borderId="0" xfId="2" applyNumberFormat="1" applyFont="1" applyFill="1"/>
    <xf numFmtId="43" fontId="5" fillId="0" borderId="0" xfId="0" applyNumberFormat="1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4" borderId="0" xfId="2" applyNumberFormat="1" applyFont="1" applyFill="1"/>
    <xf numFmtId="2" fontId="5" fillId="4" borderId="0" xfId="0" applyNumberFormat="1" applyFont="1" applyFill="1"/>
    <xf numFmtId="165" fontId="5" fillId="0" borderId="0" xfId="4" applyNumberFormat="1" applyFont="1" applyFill="1"/>
    <xf numFmtId="165" fontId="5" fillId="0" borderId="0" xfId="2" applyNumberFormat="1" applyFont="1" applyFill="1"/>
    <xf numFmtId="165" fontId="5" fillId="2" borderId="0" xfId="2" applyNumberFormat="1" applyFont="1" applyFill="1"/>
    <xf numFmtId="165" fontId="5" fillId="0" borderId="0" xfId="0" applyNumberFormat="1" applyFont="1" applyFill="1" applyAlignment="1">
      <alignment horizontal="right" vertical="center"/>
    </xf>
    <xf numFmtId="2" fontId="5" fillId="0" borderId="0" xfId="0" applyNumberFormat="1" applyFont="1" applyFill="1"/>
    <xf numFmtId="0" fontId="5" fillId="4" borderId="0" xfId="2" applyFont="1" applyFill="1"/>
    <xf numFmtId="0" fontId="5" fillId="4" borderId="0" xfId="0" applyFont="1" applyFill="1"/>
    <xf numFmtId="0" fontId="8" fillId="0" borderId="0" xfId="0" applyFont="1"/>
  </cellXfs>
  <cellStyles count="5">
    <cellStyle name="Comma" xfId="1" builtinId="3"/>
    <cellStyle name="Normal" xfId="0" builtinId="0"/>
    <cellStyle name="Percent" xfId="4" builtinId="5"/>
    <cellStyle name="Prozent 2" xfId="3" xr:uid="{00000000-0005-0000-0000-000003000000}"/>
    <cellStyle name="Standard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A10" sqref="AA10"/>
    </sheetView>
  </sheetViews>
  <sheetFormatPr defaultColWidth="8.75" defaultRowHeight="15" x14ac:dyDescent="0.25"/>
  <cols>
    <col min="1" max="1" width="3.25" style="40" customWidth="1"/>
    <col min="2" max="2" width="6.25" style="40" customWidth="1"/>
    <col min="3" max="3" width="3.75" style="41" customWidth="1"/>
    <col min="4" max="4" width="4.5" style="41" customWidth="1"/>
    <col min="5" max="5" width="5.125" style="40" customWidth="1"/>
    <col min="6" max="6" width="5.75" style="40" customWidth="1"/>
    <col min="7" max="9" width="7" style="40" customWidth="1"/>
    <col min="10" max="10" width="5.25" style="40" customWidth="1"/>
    <col min="11" max="13" width="7" style="40" customWidth="1"/>
    <col min="14" max="14" width="8.5" style="40" hidden="1" customWidth="1"/>
    <col min="15" max="15" width="8.75" style="40" customWidth="1"/>
    <col min="16" max="16" width="7.375" style="40" customWidth="1"/>
    <col min="17" max="18" width="6.75" style="40" customWidth="1"/>
    <col min="19" max="20" width="6.25" style="40" customWidth="1"/>
    <col min="21" max="21" width="6.75" style="40" customWidth="1"/>
    <col min="22" max="22" width="7.75" style="40" customWidth="1"/>
    <col min="23" max="16384" width="8.75" style="40"/>
  </cols>
  <sheetData>
    <row r="1" spans="1:27" s="25" customFormat="1" x14ac:dyDescent="0.25">
      <c r="C1" s="26"/>
      <c r="D1" s="26"/>
      <c r="P1" s="25" t="s">
        <v>20</v>
      </c>
      <c r="U1" s="25" t="s">
        <v>22</v>
      </c>
      <c r="W1" s="25" t="s">
        <v>20</v>
      </c>
      <c r="Y1" s="25" t="s">
        <v>22</v>
      </c>
    </row>
    <row r="2" spans="1:27" s="29" customFormat="1" ht="42" customHeight="1" x14ac:dyDescent="0.2">
      <c r="A2" s="27" t="s">
        <v>23</v>
      </c>
      <c r="B2" s="27" t="s">
        <v>15</v>
      </c>
      <c r="C2" s="28" t="s">
        <v>14</v>
      </c>
      <c r="D2" s="28" t="s">
        <v>16</v>
      </c>
      <c r="E2" s="27"/>
      <c r="F2" s="27" t="s">
        <v>12</v>
      </c>
      <c r="G2" s="27" t="s">
        <v>0</v>
      </c>
      <c r="H2" s="27" t="s">
        <v>1</v>
      </c>
      <c r="I2" s="27" t="s">
        <v>26</v>
      </c>
      <c r="J2" s="27" t="s">
        <v>13</v>
      </c>
      <c r="K2" s="27" t="s">
        <v>2</v>
      </c>
      <c r="L2" s="27" t="s">
        <v>40</v>
      </c>
      <c r="M2" s="27" t="s">
        <v>27</v>
      </c>
      <c r="N2" s="27" t="s">
        <v>17</v>
      </c>
      <c r="O2" s="27" t="s">
        <v>32</v>
      </c>
      <c r="P2" s="27" t="s">
        <v>39</v>
      </c>
      <c r="Q2" s="27" t="s">
        <v>21</v>
      </c>
      <c r="R2" s="27" t="s">
        <v>31</v>
      </c>
      <c r="S2" s="27" t="s">
        <v>33</v>
      </c>
      <c r="T2" s="27"/>
      <c r="U2" s="27" t="s">
        <v>39</v>
      </c>
      <c r="V2" s="27" t="s">
        <v>21</v>
      </c>
      <c r="W2" s="27" t="s">
        <v>25</v>
      </c>
      <c r="X2" s="27" t="s">
        <v>24</v>
      </c>
      <c r="Y2" s="27" t="s">
        <v>25</v>
      </c>
      <c r="Z2" s="27" t="s">
        <v>24</v>
      </c>
    </row>
    <row r="3" spans="1:27" s="25" customFormat="1" x14ac:dyDescent="0.25">
      <c r="C3" s="26"/>
      <c r="D3" s="26"/>
      <c r="E3" s="25">
        <v>112</v>
      </c>
      <c r="F3" s="30">
        <v>0.05</v>
      </c>
      <c r="G3" s="30">
        <v>0.01</v>
      </c>
      <c r="H3" s="45">
        <v>-2.5000000000000001E-2</v>
      </c>
      <c r="I3" s="45">
        <v>-2.5000000000000001E-2</v>
      </c>
      <c r="J3" s="30">
        <v>-0.01</v>
      </c>
      <c r="K3" s="30">
        <v>-0.02</v>
      </c>
      <c r="L3" s="30">
        <v>0.03</v>
      </c>
      <c r="M3" s="30">
        <v>-0.02</v>
      </c>
      <c r="N3" s="31"/>
      <c r="O3" s="31"/>
      <c r="P3" s="31"/>
      <c r="U3" s="25" t="s">
        <v>28</v>
      </c>
      <c r="V3" s="25" t="s">
        <v>29</v>
      </c>
    </row>
    <row r="4" spans="1:27" s="25" customFormat="1" x14ac:dyDescent="0.25">
      <c r="A4" s="25">
        <v>0</v>
      </c>
      <c r="B4" s="32">
        <v>7500</v>
      </c>
      <c r="C4" s="33">
        <v>2</v>
      </c>
      <c r="D4" s="26">
        <v>2.8</v>
      </c>
      <c r="E4" s="25">
        <f>112+((B4-7500)*112*5%/1000)</f>
        <v>112</v>
      </c>
      <c r="F4" s="34">
        <v>0.05</v>
      </c>
      <c r="G4" s="34"/>
      <c r="H4" s="34"/>
      <c r="I4" s="34"/>
      <c r="J4" s="34">
        <v>-0.01</v>
      </c>
      <c r="K4" s="34"/>
      <c r="L4" s="34"/>
      <c r="M4" s="34"/>
      <c r="N4" s="31">
        <f>E4*(1+(F4+G4+H4+I4+J4+K4+L4+M4))</f>
        <v>116.48</v>
      </c>
      <c r="O4" s="35">
        <f>E4*(1+((-0.0197*C4+0.0393)+(0.0145*D4+(0.9594-1)))+(F4+G4+H4+I4+J4+K4+L4+M4))</f>
        <v>116.4688</v>
      </c>
      <c r="P4" s="49">
        <v>116.46899999999999</v>
      </c>
      <c r="Q4" s="36">
        <f>'Agrammon 4.1'!N4</f>
        <v>115</v>
      </c>
      <c r="R4" s="36">
        <f>O4/Q4</f>
        <v>1.0127721739130435</v>
      </c>
      <c r="S4" s="37">
        <f>E4*0.55+(O4-E4)</f>
        <v>66.06880000000001</v>
      </c>
      <c r="T4" s="37"/>
      <c r="U4" s="42">
        <v>66.069000000000003</v>
      </c>
      <c r="W4" s="38"/>
      <c r="X4" s="38" t="s">
        <v>47</v>
      </c>
      <c r="Y4" s="38"/>
      <c r="Z4" s="38"/>
    </row>
    <row r="5" spans="1:27" s="25" customFormat="1" x14ac:dyDescent="0.25">
      <c r="A5" s="25">
        <v>1</v>
      </c>
      <c r="B5" s="32">
        <v>7500</v>
      </c>
      <c r="C5" s="33">
        <v>2</v>
      </c>
      <c r="D5" s="33">
        <v>1</v>
      </c>
      <c r="E5" s="25">
        <f>112+((B5-7500)*112*5%/1000)</f>
        <v>112</v>
      </c>
      <c r="F5" s="34">
        <v>0.05</v>
      </c>
      <c r="G5" s="34"/>
      <c r="H5" s="34"/>
      <c r="I5" s="34"/>
      <c r="J5" s="34">
        <v>-0.01</v>
      </c>
      <c r="K5" s="34"/>
      <c r="L5" s="34"/>
      <c r="M5" s="34"/>
      <c r="N5" s="31">
        <f t="shared" ref="N5:N13" si="0">E5*(1+(F5+G5+H5+I5+J5+K5+L5+M5))</f>
        <v>116.48</v>
      </c>
      <c r="O5" s="35">
        <f>E5*(1+((-0.0197*C5+0.0393)+(0.0145*D5+(0.9594-1)))+(F5+G5+H5+I5+J5+K5+L5+M5))</f>
        <v>113.54560000000001</v>
      </c>
      <c r="P5" s="42">
        <v>113.54600000000001</v>
      </c>
      <c r="Q5" s="36">
        <f>'Agrammon 4.1'!N5</f>
        <v>116.1357975</v>
      </c>
      <c r="R5" s="36">
        <f t="shared" ref="R5:R13" si="1">O5/Q5</f>
        <v>0.97769682082735954</v>
      </c>
      <c r="S5" s="37">
        <f>E5*0.55+(O5-E5)</f>
        <v>63.145600000000016</v>
      </c>
      <c r="T5" s="37"/>
      <c r="U5" s="42">
        <v>63.146000000000001</v>
      </c>
      <c r="V5" s="36">
        <v>69.215999999999994</v>
      </c>
      <c r="W5" s="38"/>
      <c r="X5" s="38" t="s">
        <v>48</v>
      </c>
      <c r="Y5" s="38"/>
      <c r="Z5" s="38"/>
    </row>
    <row r="6" spans="1:27" s="25" customFormat="1" x14ac:dyDescent="0.25">
      <c r="A6" s="25">
        <v>2</v>
      </c>
      <c r="B6" s="32">
        <v>7500</v>
      </c>
      <c r="C6" s="33">
        <v>2</v>
      </c>
      <c r="D6" s="33">
        <v>1</v>
      </c>
      <c r="E6" s="25">
        <f>112+((B6-7500)*112*5%/1000)</f>
        <v>112</v>
      </c>
      <c r="F6" s="34"/>
      <c r="G6" s="34"/>
      <c r="H6" s="46">
        <v>-2.5000000000000001E-2</v>
      </c>
      <c r="I6" s="34"/>
      <c r="J6" s="34"/>
      <c r="K6" s="34">
        <v>-0.02</v>
      </c>
      <c r="L6" s="34"/>
      <c r="M6" s="34"/>
      <c r="N6" s="31">
        <f t="shared" si="0"/>
        <v>106.96</v>
      </c>
      <c r="O6" s="35">
        <f>E6*(1+((-0.0197*C6+0.0393)+(0.0145*D6+(0.9594-1)))+(F6+G6+H6+I6+J6+K6+L6+M6))</f>
        <v>104.0256</v>
      </c>
      <c r="P6" s="42">
        <v>104.026</v>
      </c>
      <c r="Q6" s="36">
        <v>110.13</v>
      </c>
      <c r="R6" s="36">
        <f t="shared" si="1"/>
        <v>0.94457096159084719</v>
      </c>
      <c r="S6" s="37">
        <f t="shared" ref="S6:S13" si="2">E6*0.55+(O6-E6)</f>
        <v>53.625600000000006</v>
      </c>
      <c r="T6" s="37"/>
      <c r="U6" s="42">
        <v>53.625999999999998</v>
      </c>
      <c r="V6" s="36">
        <v>63.21</v>
      </c>
      <c r="W6" s="38"/>
      <c r="X6" s="38"/>
      <c r="Y6" s="38"/>
      <c r="Z6" s="38"/>
    </row>
    <row r="7" spans="1:27" s="25" customFormat="1" x14ac:dyDescent="0.25">
      <c r="A7" s="25">
        <v>3</v>
      </c>
      <c r="B7" s="32">
        <v>7500</v>
      </c>
      <c r="C7" s="33">
        <v>2</v>
      </c>
      <c r="D7" s="33">
        <v>1</v>
      </c>
      <c r="E7" s="25">
        <f>112+((B7-7500)*112*5%/1000)</f>
        <v>112</v>
      </c>
      <c r="F7" s="34">
        <v>0.05</v>
      </c>
      <c r="G7" s="34"/>
      <c r="H7" s="34"/>
      <c r="I7" s="34"/>
      <c r="J7" s="34"/>
      <c r="K7" s="34">
        <v>-0.02</v>
      </c>
      <c r="L7" s="34"/>
      <c r="M7" s="34"/>
      <c r="N7" s="31">
        <f t="shared" si="0"/>
        <v>115.36</v>
      </c>
      <c r="O7" s="35">
        <f t="shared" ref="O7:O14" si="3">E7*(1+((-0.0197*C7+0.0393)+(0.0145*D7+(0.9594-1)))+(F7+G7+H7+I7+J7+K7+L7+M7))</f>
        <v>112.4256</v>
      </c>
      <c r="P7" s="42">
        <v>112.426</v>
      </c>
      <c r="Q7" s="36">
        <f>'Agrammon 4.1'!N7</f>
        <v>115.29123749999999</v>
      </c>
      <c r="R7" s="36">
        <f t="shared" si="1"/>
        <v>0.97514435995190019</v>
      </c>
      <c r="S7" s="37">
        <f t="shared" si="2"/>
        <v>62.025600000000011</v>
      </c>
      <c r="T7" s="37"/>
      <c r="U7" s="42">
        <v>62.26</v>
      </c>
      <c r="V7" s="36">
        <v>68.37</v>
      </c>
      <c r="W7" s="38"/>
      <c r="X7" s="38"/>
      <c r="Y7" s="38"/>
      <c r="Z7" s="38"/>
    </row>
    <row r="8" spans="1:27" s="25" customFormat="1" x14ac:dyDescent="0.25">
      <c r="A8" s="25">
        <v>4</v>
      </c>
      <c r="B8" s="32">
        <v>7500</v>
      </c>
      <c r="C8" s="33">
        <v>2</v>
      </c>
      <c r="D8" s="33">
        <v>1</v>
      </c>
      <c r="E8" s="25">
        <f>112+((B8-7500)*112*5%/1000)</f>
        <v>112</v>
      </c>
      <c r="F8" s="34">
        <v>0.05</v>
      </c>
      <c r="G8" s="34"/>
      <c r="H8" s="34"/>
      <c r="I8" s="34"/>
      <c r="J8" s="34"/>
      <c r="K8" s="34"/>
      <c r="L8" s="34">
        <v>0.03</v>
      </c>
      <c r="M8" s="34"/>
      <c r="N8" s="31">
        <f t="shared" si="0"/>
        <v>120.96000000000001</v>
      </c>
      <c r="O8" s="35">
        <f t="shared" si="3"/>
        <v>118.02560000000001</v>
      </c>
      <c r="P8" s="42">
        <v>118.026</v>
      </c>
      <c r="Q8" s="36">
        <v>117.56</v>
      </c>
      <c r="R8" s="36">
        <f t="shared" si="1"/>
        <v>1.0039605307927868</v>
      </c>
      <c r="S8" s="37">
        <f t="shared" si="2"/>
        <v>67.62560000000002</v>
      </c>
      <c r="T8" s="37"/>
      <c r="U8" s="42">
        <v>67.626000000000005</v>
      </c>
      <c r="V8" s="36">
        <v>70.64</v>
      </c>
      <c r="W8" s="38"/>
      <c r="X8" s="38"/>
      <c r="Y8" s="38"/>
      <c r="Z8" s="38"/>
    </row>
    <row r="9" spans="1:27" s="25" customFormat="1" x14ac:dyDescent="0.25">
      <c r="A9" s="25">
        <v>5</v>
      </c>
      <c r="B9" s="32">
        <v>8000</v>
      </c>
      <c r="C9" s="33">
        <v>3</v>
      </c>
      <c r="D9" s="33">
        <v>3</v>
      </c>
      <c r="E9" s="25">
        <f t="shared" ref="E9:E13" si="4">112+((B9-7500)*112*5%/1000)</f>
        <v>114.8</v>
      </c>
      <c r="F9" s="34">
        <v>0.05</v>
      </c>
      <c r="G9" s="34"/>
      <c r="H9" s="34"/>
      <c r="I9" s="34"/>
      <c r="J9" s="34">
        <v>-0.01</v>
      </c>
      <c r="K9" s="34"/>
      <c r="L9" s="34"/>
      <c r="M9" s="34"/>
      <c r="N9" s="31">
        <f t="shared" si="0"/>
        <v>119.392</v>
      </c>
      <c r="O9" s="35">
        <f>E9*(1+((-0.0197*C9+0.0393)+(0.0145*D9+(0.9594-1)))+(F9+G9+H9+I9+J9+K9+L9+M9))</f>
        <v>117.45188000000002</v>
      </c>
      <c r="P9" s="42">
        <v>117.452</v>
      </c>
      <c r="Q9" s="36">
        <f>'Agrammon 4.1'!N9</f>
        <v>113.1564695</v>
      </c>
      <c r="R9" s="36">
        <f t="shared" si="1"/>
        <v>1.0379599197375102</v>
      </c>
      <c r="S9" s="37">
        <f t="shared" si="2"/>
        <v>65.79188000000002</v>
      </c>
      <c r="T9" s="37"/>
      <c r="U9" s="42">
        <v>65.792000000000002</v>
      </c>
      <c r="V9" s="36">
        <v>65.775999999999996</v>
      </c>
      <c r="W9" s="38"/>
      <c r="X9" s="38"/>
      <c r="Y9" s="38"/>
      <c r="Z9" s="38"/>
    </row>
    <row r="10" spans="1:27" s="25" customFormat="1" x14ac:dyDescent="0.25">
      <c r="A10" s="25">
        <v>6</v>
      </c>
      <c r="B10" s="32">
        <v>7500</v>
      </c>
      <c r="C10" s="33">
        <v>1</v>
      </c>
      <c r="D10" s="33">
        <v>2</v>
      </c>
      <c r="E10" s="25">
        <f t="shared" si="4"/>
        <v>112</v>
      </c>
      <c r="F10" s="34"/>
      <c r="G10" s="34">
        <v>0.01</v>
      </c>
      <c r="H10" s="34"/>
      <c r="I10" s="34"/>
      <c r="J10" s="34"/>
      <c r="K10" s="34">
        <v>-0.02</v>
      </c>
      <c r="L10" s="34">
        <v>0.03</v>
      </c>
      <c r="M10" s="34"/>
      <c r="N10" s="31">
        <f t="shared" si="0"/>
        <v>114.24000000000001</v>
      </c>
      <c r="O10" s="35">
        <f t="shared" si="3"/>
        <v>115.136</v>
      </c>
      <c r="P10" s="42">
        <v>115.136</v>
      </c>
      <c r="Q10" s="36">
        <f>'Agrammon 4.1'!N10</f>
        <v>114.65488500000001</v>
      </c>
      <c r="R10" s="36">
        <f t="shared" si="1"/>
        <v>1.0041962014963426</v>
      </c>
      <c r="S10" s="37">
        <f t="shared" si="2"/>
        <v>64.736000000000004</v>
      </c>
      <c r="T10" s="37"/>
      <c r="U10" s="42">
        <v>64.736000000000004</v>
      </c>
      <c r="V10" s="36">
        <v>67.73</v>
      </c>
      <c r="W10" s="38"/>
      <c r="X10" s="38"/>
      <c r="Y10" s="38"/>
      <c r="Z10" s="38"/>
      <c r="AA10" s="37"/>
    </row>
    <row r="11" spans="1:27" x14ac:dyDescent="0.25">
      <c r="A11" s="25">
        <v>7</v>
      </c>
      <c r="B11" s="32">
        <v>8000</v>
      </c>
      <c r="C11" s="33">
        <v>3</v>
      </c>
      <c r="D11" s="33">
        <v>3</v>
      </c>
      <c r="E11" s="25">
        <f t="shared" si="4"/>
        <v>114.8</v>
      </c>
      <c r="F11" s="39"/>
      <c r="G11" s="34">
        <v>0.01</v>
      </c>
      <c r="H11" s="46">
        <v>-2.5000000000000001E-2</v>
      </c>
      <c r="I11" s="34"/>
      <c r="J11" s="34"/>
      <c r="K11" s="34">
        <v>-0.02</v>
      </c>
      <c r="L11" s="34">
        <v>0.03</v>
      </c>
      <c r="M11" s="39"/>
      <c r="N11" s="31">
        <f t="shared" si="0"/>
        <v>114.226</v>
      </c>
      <c r="O11" s="35">
        <f t="shared" si="3"/>
        <v>112.28588000000001</v>
      </c>
      <c r="P11" s="43">
        <v>112.286</v>
      </c>
      <c r="Q11" s="36">
        <f>'Agrammon 4.1'!N11</f>
        <v>105.273622</v>
      </c>
      <c r="R11" s="36">
        <f t="shared" si="1"/>
        <v>1.0666098293834709</v>
      </c>
      <c r="S11" s="37">
        <f>E11*0.55+(O11-E11)</f>
        <v>60.625880000000009</v>
      </c>
      <c r="T11" s="37"/>
      <c r="U11" s="43">
        <v>60.625999999999998</v>
      </c>
      <c r="V11" s="48">
        <v>57.893000000000001</v>
      </c>
    </row>
    <row r="12" spans="1:27" x14ac:dyDescent="0.25">
      <c r="A12" s="25">
        <v>8</v>
      </c>
      <c r="B12" s="32">
        <v>5000</v>
      </c>
      <c r="C12" s="33">
        <v>0</v>
      </c>
      <c r="D12" s="33">
        <v>0</v>
      </c>
      <c r="E12" s="25">
        <f t="shared" si="4"/>
        <v>98</v>
      </c>
      <c r="F12" s="34">
        <v>0.05</v>
      </c>
      <c r="G12" s="34"/>
      <c r="H12" s="34"/>
      <c r="I12" s="34"/>
      <c r="J12" s="34">
        <v>-0.01</v>
      </c>
      <c r="K12" s="39"/>
      <c r="L12" s="39"/>
      <c r="M12" s="39"/>
      <c r="N12" s="31">
        <f t="shared" si="0"/>
        <v>101.92</v>
      </c>
      <c r="O12" s="35">
        <f t="shared" si="3"/>
        <v>101.79259999999999</v>
      </c>
      <c r="P12" s="43"/>
      <c r="Q12" s="36">
        <f>'Agrammon 4.1'!N12</f>
        <v>101.14827874999999</v>
      </c>
      <c r="R12" s="36">
        <f t="shared" si="1"/>
        <v>1.0063700663813817</v>
      </c>
      <c r="S12" s="37">
        <f t="shared" si="2"/>
        <v>57.692599999999999</v>
      </c>
      <c r="T12" s="37"/>
      <c r="U12" s="43"/>
      <c r="V12" s="48">
        <v>62.048000000000002</v>
      </c>
    </row>
    <row r="13" spans="1:27" x14ac:dyDescent="0.25">
      <c r="A13" s="25">
        <v>9</v>
      </c>
      <c r="B13" s="32">
        <v>7500</v>
      </c>
      <c r="C13" s="33">
        <v>1.8</v>
      </c>
      <c r="D13" s="33">
        <v>2.4</v>
      </c>
      <c r="E13" s="25">
        <f t="shared" si="4"/>
        <v>112</v>
      </c>
      <c r="F13" s="39"/>
      <c r="G13" s="34">
        <v>0.01</v>
      </c>
      <c r="H13" s="46">
        <v>-2.5000000000000001E-2</v>
      </c>
      <c r="I13" s="34"/>
      <c r="J13" s="34"/>
      <c r="K13" s="34">
        <v>-0.02</v>
      </c>
      <c r="L13" s="34">
        <v>0.03</v>
      </c>
      <c r="M13" s="39"/>
      <c r="N13" s="31">
        <f t="shared" si="0"/>
        <v>111.44</v>
      </c>
      <c r="O13" s="35">
        <f t="shared" si="3"/>
        <v>111.22048000000001</v>
      </c>
      <c r="P13" s="50"/>
      <c r="Q13" s="36">
        <f>'Agrammon 4.1'!N13</f>
        <v>107.3968302</v>
      </c>
      <c r="R13" s="36">
        <f t="shared" si="1"/>
        <v>1.0356030042309388</v>
      </c>
      <c r="S13" s="37">
        <f t="shared" si="2"/>
        <v>60.820480000000018</v>
      </c>
      <c r="T13" s="37"/>
      <c r="U13" s="43"/>
      <c r="V13" s="48">
        <v>60.475999999999999</v>
      </c>
    </row>
    <row r="14" spans="1:27" x14ac:dyDescent="0.25">
      <c r="A14" s="25">
        <v>10</v>
      </c>
      <c r="B14" s="32">
        <v>7349</v>
      </c>
      <c r="C14" s="33">
        <v>1.8</v>
      </c>
      <c r="D14" s="33">
        <v>2.4</v>
      </c>
      <c r="E14" s="25">
        <f t="shared" ref="E14" si="5">112+((B14-7500)*112*5%/1000)</f>
        <v>111.1544</v>
      </c>
      <c r="F14" s="34">
        <f>31%*F3</f>
        <v>1.55E-2</v>
      </c>
      <c r="G14" s="34">
        <f>69%*G3</f>
        <v>6.8999999999999999E-3</v>
      </c>
      <c r="H14" s="34">
        <f>40%*H3</f>
        <v>-1.0000000000000002E-2</v>
      </c>
      <c r="I14" s="34">
        <f>16%*I3</f>
        <v>-4.0000000000000001E-3</v>
      </c>
      <c r="J14" s="34">
        <f>44%*J3</f>
        <v>-4.4000000000000003E-3</v>
      </c>
      <c r="K14" s="34">
        <f>56%*K3</f>
        <v>-1.1200000000000002E-2</v>
      </c>
      <c r="L14" s="34">
        <f>15%*L3</f>
        <v>4.4999999999999997E-3</v>
      </c>
      <c r="M14" s="39"/>
      <c r="N14" s="31"/>
      <c r="O14" s="35">
        <f t="shared" si="3"/>
        <v>110.636420496</v>
      </c>
      <c r="P14" s="50">
        <v>110.63</v>
      </c>
      <c r="Q14" s="36">
        <v>110.453</v>
      </c>
      <c r="R14" s="36">
        <f t="shared" ref="R14" si="6">O14/Q14</f>
        <v>1.0016606203181444</v>
      </c>
      <c r="S14" s="37">
        <f t="shared" ref="S14" si="7">E14*0.55+(O14-E14)</f>
        <v>60.616940496000005</v>
      </c>
      <c r="T14" s="37"/>
      <c r="U14" s="43">
        <v>60.616999999999997</v>
      </c>
      <c r="V14" s="48">
        <v>63.671999999999997</v>
      </c>
      <c r="W14" s="35" t="s">
        <v>35</v>
      </c>
    </row>
    <row r="15" spans="1:27" x14ac:dyDescent="0.25">
      <c r="A15" s="25">
        <v>11</v>
      </c>
      <c r="B15" s="32">
        <v>7156</v>
      </c>
      <c r="C15" s="33">
        <v>1.7</v>
      </c>
      <c r="D15" s="33">
        <v>2.4</v>
      </c>
      <c r="E15" s="25">
        <f t="shared" ref="E15" si="8">112+((B15-7500)*112*5%/1000)</f>
        <v>110.0736</v>
      </c>
      <c r="F15" s="39"/>
      <c r="G15" s="34">
        <v>0.66</v>
      </c>
      <c r="H15" s="34">
        <v>0.4</v>
      </c>
      <c r="I15" s="34">
        <v>0.18</v>
      </c>
      <c r="J15" s="34">
        <v>0.5</v>
      </c>
      <c r="K15" s="34">
        <v>0.57999999999999996</v>
      </c>
      <c r="L15" s="34">
        <v>0.15</v>
      </c>
      <c r="M15" s="39"/>
      <c r="N15" s="31"/>
      <c r="O15" s="35" t="s">
        <v>36</v>
      </c>
      <c r="P15" s="43"/>
      <c r="Q15" s="36"/>
      <c r="R15" s="36"/>
      <c r="S15" s="37"/>
      <c r="T15" s="37"/>
      <c r="U15" s="43"/>
      <c r="V15" s="48"/>
    </row>
    <row r="16" spans="1:27" x14ac:dyDescent="0.25">
      <c r="A16" s="25" t="s">
        <v>34</v>
      </c>
    </row>
    <row r="17" spans="1:21" x14ac:dyDescent="0.25">
      <c r="A17" s="25" t="s">
        <v>38</v>
      </c>
      <c r="U17" s="40" t="s">
        <v>37</v>
      </c>
    </row>
    <row r="18" spans="1:21" x14ac:dyDescent="0.25">
      <c r="J18" s="23" t="s">
        <v>4</v>
      </c>
      <c r="K18" s="23" t="s">
        <v>5</v>
      </c>
      <c r="L18" s="24">
        <f>J3</f>
        <v>-0.01</v>
      </c>
      <c r="M18" s="24"/>
      <c r="U18" s="44">
        <f>U4/P4</f>
        <v>0.56726682636581416</v>
      </c>
    </row>
    <row r="19" spans="1:21" x14ac:dyDescent="0.25">
      <c r="K19" s="23" t="s">
        <v>6</v>
      </c>
      <c r="L19" s="24">
        <v>-0.02</v>
      </c>
      <c r="M19" s="24"/>
      <c r="U19" s="44">
        <f>U5/P5</f>
        <v>0.55612703221601811</v>
      </c>
    </row>
    <row r="20" spans="1:21" x14ac:dyDescent="0.25">
      <c r="K20" s="23" t="s">
        <v>7</v>
      </c>
      <c r="L20" s="24">
        <v>0.03</v>
      </c>
      <c r="M20" s="24"/>
      <c r="U20" s="44">
        <f t="shared" ref="U19:U29" si="9">U6/P6</f>
        <v>0.51550573894987795</v>
      </c>
    </row>
    <row r="21" spans="1:21" x14ac:dyDescent="0.25">
      <c r="C21" s="40"/>
      <c r="D21" s="40"/>
      <c r="J21" s="23" t="s">
        <v>8</v>
      </c>
      <c r="K21" s="23" t="s">
        <v>9</v>
      </c>
      <c r="L21" s="24">
        <v>0.05</v>
      </c>
      <c r="M21" s="24"/>
      <c r="U21" s="44">
        <f t="shared" si="9"/>
        <v>0.5537864906694181</v>
      </c>
    </row>
    <row r="22" spans="1:21" x14ac:dyDescent="0.25">
      <c r="C22" s="40"/>
      <c r="D22" s="40"/>
      <c r="K22" s="23" t="s">
        <v>10</v>
      </c>
      <c r="L22" s="24">
        <v>0.01</v>
      </c>
      <c r="M22" s="24"/>
      <c r="U22" s="44">
        <f t="shared" si="9"/>
        <v>0.5729754460881501</v>
      </c>
    </row>
    <row r="23" spans="1:21" x14ac:dyDescent="0.25">
      <c r="C23" s="40"/>
      <c r="D23" s="40"/>
      <c r="K23" s="23" t="s">
        <v>11</v>
      </c>
      <c r="L23" s="47">
        <v>-2.5000000000000001E-2</v>
      </c>
      <c r="M23" s="24"/>
      <c r="U23" s="44">
        <f t="shared" si="9"/>
        <v>0.5601607465177264</v>
      </c>
    </row>
    <row r="24" spans="1:21" x14ac:dyDescent="0.25">
      <c r="K24" s="40" t="s">
        <v>45</v>
      </c>
      <c r="L24" s="40" t="s">
        <v>46</v>
      </c>
      <c r="U24" s="44">
        <f t="shared" si="9"/>
        <v>0.56225680933852151</v>
      </c>
    </row>
    <row r="25" spans="1:21" x14ac:dyDescent="0.25">
      <c r="G25" s="40" t="s">
        <v>44</v>
      </c>
      <c r="M25" s="40">
        <f>E4*(1+((-0.0197*C4+0.0393)+(0.0145*D4+(0.9594-1))))</f>
        <v>111.9888</v>
      </c>
      <c r="O25" s="40" t="s">
        <v>42</v>
      </c>
      <c r="U25" s="44">
        <f t="shared" si="9"/>
        <v>0.53992483479685804</v>
      </c>
    </row>
    <row r="26" spans="1:21" x14ac:dyDescent="0.25">
      <c r="J26" s="40">
        <f>E4</f>
        <v>112</v>
      </c>
      <c r="K26" s="51">
        <f>+(0.0145*D4+0.9594)</f>
        <v>1</v>
      </c>
      <c r="L26" s="51">
        <f>(-0.0197*C4+1.0393)</f>
        <v>0.9998999999999999</v>
      </c>
      <c r="M26" s="40">
        <f>J26*K26*L26</f>
        <v>111.98879999999998</v>
      </c>
      <c r="O26" s="40" t="s">
        <v>43</v>
      </c>
      <c r="U26" s="44"/>
    </row>
    <row r="27" spans="1:21" x14ac:dyDescent="0.25">
      <c r="M27" s="40">
        <f>M25*4%</f>
        <v>4.479552</v>
      </c>
      <c r="U27" s="44"/>
    </row>
    <row r="28" spans="1:21" x14ac:dyDescent="0.25">
      <c r="M28" s="40">
        <f>M25+M27</f>
        <v>116.468352</v>
      </c>
      <c r="U28" s="44">
        <f t="shared" si="9"/>
        <v>0.54792551749073493</v>
      </c>
    </row>
    <row r="29" spans="1:21" x14ac:dyDescent="0.25">
      <c r="U29" s="44"/>
    </row>
    <row r="31" spans="1:21" x14ac:dyDescent="0.25">
      <c r="O31" s="23"/>
    </row>
    <row r="33" spans="1:26" x14ac:dyDescent="0.25">
      <c r="A33" s="40" t="s">
        <v>41</v>
      </c>
      <c r="E33" s="40">
        <v>120</v>
      </c>
    </row>
    <row r="36" spans="1:26" s="25" customFormat="1" x14ac:dyDescent="0.25">
      <c r="A36" s="25">
        <v>0</v>
      </c>
      <c r="B36" s="32">
        <v>8500</v>
      </c>
      <c r="C36" s="33">
        <v>2</v>
      </c>
      <c r="D36" s="26">
        <v>2.8</v>
      </c>
      <c r="E36" s="25">
        <f>E33+((B36-7500)*E33*5%/1000)</f>
        <v>126</v>
      </c>
      <c r="F36" s="34">
        <v>0.05</v>
      </c>
      <c r="G36" s="34"/>
      <c r="H36" s="34"/>
      <c r="I36" s="34"/>
      <c r="J36" s="34">
        <v>-0.01</v>
      </c>
      <c r="K36" s="34"/>
      <c r="L36" s="34"/>
      <c r="M36" s="34"/>
      <c r="N36" s="31">
        <f>E36*(1+(F36+G36+H36+I36+J36+K36+L36+M36))</f>
        <v>131.04</v>
      </c>
      <c r="O36" s="35">
        <f>E36*(1+((-0.0197*C36+0.0393)+(0.0145*D36+(0.9594-1)))+(F36+G36+H36+I36+J36+K36+L36+M36))</f>
        <v>131.0274</v>
      </c>
      <c r="P36" s="49"/>
      <c r="Q36" s="36">
        <f>'Agrammon 4.1'!N36</f>
        <v>0</v>
      </c>
      <c r="R36" s="36" t="e">
        <f>O36/Q36</f>
        <v>#DIV/0!</v>
      </c>
      <c r="S36" s="37">
        <f>E36*0.55+(O36-E36)</f>
        <v>74.327400000000011</v>
      </c>
      <c r="T36" s="37"/>
      <c r="U36" s="42"/>
      <c r="W36" s="38"/>
      <c r="X36" s="38"/>
      <c r="Y36" s="38"/>
      <c r="Z36" s="38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selection activeCell="E14" sqref="E14"/>
    </sheetView>
  </sheetViews>
  <sheetFormatPr defaultColWidth="8.75" defaultRowHeight="12.75" x14ac:dyDescent="0.2"/>
  <cols>
    <col min="1" max="1" width="3.25" style="4" customWidth="1"/>
    <col min="2" max="2" width="4.75" style="4" customWidth="1"/>
    <col min="3" max="3" width="3.75" style="5" customWidth="1"/>
    <col min="4" max="4" width="3.625" style="5" customWidth="1"/>
    <col min="5" max="5" width="6.75" style="4" customWidth="1"/>
    <col min="6" max="6" width="5.75" style="4" customWidth="1"/>
    <col min="7" max="9" width="7" style="4" customWidth="1"/>
    <col min="10" max="10" width="5.25" style="4" customWidth="1"/>
    <col min="11" max="13" width="7" style="4" customWidth="1"/>
    <col min="14" max="14" width="10.25" style="4" customWidth="1"/>
    <col min="15" max="16" width="9.25" style="4" customWidth="1"/>
    <col min="17" max="17" width="12.75" style="4" customWidth="1"/>
    <col min="18" max="18" width="6.75" style="4" customWidth="1"/>
    <col min="19" max="21" width="7.75" style="4" customWidth="1"/>
    <col min="22" max="16384" width="8.75" style="4"/>
  </cols>
  <sheetData>
    <row r="1" spans="1:25" s="6" customFormat="1" x14ac:dyDescent="0.2">
      <c r="C1" s="7"/>
      <c r="D1" s="7"/>
      <c r="Q1" s="6" t="s">
        <v>20</v>
      </c>
      <c r="S1" s="6" t="s">
        <v>22</v>
      </c>
      <c r="V1" s="6" t="s">
        <v>20</v>
      </c>
      <c r="X1" s="6" t="s">
        <v>22</v>
      </c>
    </row>
    <row r="2" spans="1:25" s="15" customFormat="1" ht="42" customHeight="1" x14ac:dyDescent="0.2">
      <c r="A2" s="8" t="s">
        <v>23</v>
      </c>
      <c r="B2" s="9" t="s">
        <v>15</v>
      </c>
      <c r="C2" s="10" t="s">
        <v>14</v>
      </c>
      <c r="D2" s="10" t="s">
        <v>16</v>
      </c>
      <c r="E2" s="8"/>
      <c r="F2" s="8" t="s">
        <v>12</v>
      </c>
      <c r="G2" s="9" t="s">
        <v>0</v>
      </c>
      <c r="H2" s="9" t="s">
        <v>1</v>
      </c>
      <c r="I2" s="9" t="s">
        <v>26</v>
      </c>
      <c r="J2" s="9" t="s">
        <v>13</v>
      </c>
      <c r="K2" s="9" t="s">
        <v>2</v>
      </c>
      <c r="L2" s="9" t="s">
        <v>3</v>
      </c>
      <c r="M2" s="9" t="s">
        <v>27</v>
      </c>
      <c r="N2" s="8" t="s">
        <v>30</v>
      </c>
      <c r="O2" s="8"/>
      <c r="P2" s="8"/>
      <c r="Q2" s="8" t="s">
        <v>19</v>
      </c>
      <c r="R2" s="8" t="s">
        <v>21</v>
      </c>
      <c r="S2" s="8" t="s">
        <v>18</v>
      </c>
      <c r="T2" s="8" t="s">
        <v>19</v>
      </c>
      <c r="U2" s="8" t="s">
        <v>21</v>
      </c>
      <c r="V2" s="16" t="s">
        <v>25</v>
      </c>
      <c r="W2" s="8" t="s">
        <v>24</v>
      </c>
      <c r="X2" s="16" t="s">
        <v>25</v>
      </c>
      <c r="Y2" s="8" t="s">
        <v>24</v>
      </c>
    </row>
    <row r="3" spans="1:25" s="6" customFormat="1" x14ac:dyDescent="0.2">
      <c r="C3" s="7"/>
      <c r="D3" s="7"/>
      <c r="E3" s="6">
        <v>112</v>
      </c>
      <c r="F3" s="11"/>
      <c r="G3" s="18">
        <v>-0.05</v>
      </c>
      <c r="H3" s="18">
        <v>-0.08</v>
      </c>
      <c r="I3" s="18">
        <v>-0.04</v>
      </c>
      <c r="J3" s="18"/>
      <c r="K3" s="18">
        <v>-1.6E-2</v>
      </c>
      <c r="L3" s="18">
        <v>2.7E-2</v>
      </c>
      <c r="M3" s="18">
        <v>-1.4E-2</v>
      </c>
      <c r="N3" s="12"/>
      <c r="O3" s="12"/>
      <c r="P3" s="12"/>
      <c r="Q3" s="12"/>
      <c r="T3" s="6" t="s">
        <v>28</v>
      </c>
      <c r="U3" s="6" t="s">
        <v>29</v>
      </c>
    </row>
    <row r="4" spans="1:25" s="6" customFormat="1" x14ac:dyDescent="0.2">
      <c r="A4" s="6">
        <v>0</v>
      </c>
      <c r="B4" s="1">
        <v>6500</v>
      </c>
      <c r="C4" s="3">
        <v>1</v>
      </c>
      <c r="D4" s="3">
        <v>2</v>
      </c>
      <c r="E4" s="17">
        <f>IF(B4&gt;6500,115+((B4-6500)*115*2%/1000),IF(B4&lt;6500,115-((6500-B4)*115*10%/1000),115))</f>
        <v>115</v>
      </c>
      <c r="F4" s="21"/>
      <c r="G4" s="20"/>
      <c r="H4" s="20"/>
      <c r="I4" s="2"/>
      <c r="J4" s="21"/>
      <c r="K4" s="20"/>
      <c r="L4" s="2"/>
      <c r="M4" s="2"/>
      <c r="N4" s="22">
        <f>E4*(1+((-0.0331*C4+0.0331)*0.55)+((-0.0184*D4+0.0368)*0.45)+(F4+G4+H4+I4)*0.55+(J4+K4+L4+M4)*0.45)</f>
        <v>115</v>
      </c>
      <c r="O4" s="19"/>
      <c r="P4" s="19"/>
      <c r="Q4" s="6">
        <v>115.27</v>
      </c>
      <c r="R4" s="6">
        <v>116.14</v>
      </c>
      <c r="S4" s="13">
        <f>O4*0.6</f>
        <v>0</v>
      </c>
      <c r="T4" s="6">
        <v>70.47</v>
      </c>
      <c r="U4" s="6">
        <v>69.22</v>
      </c>
      <c r="V4" s="14" t="e">
        <f>Q4/O4</f>
        <v>#DIV/0!</v>
      </c>
      <c r="W4" s="14" t="e">
        <f>R4/O4</f>
        <v>#DIV/0!</v>
      </c>
      <c r="X4" s="14" t="e">
        <f>T4/S4</f>
        <v>#DIV/0!</v>
      </c>
      <c r="Y4" s="14" t="e">
        <f>U4/S4</f>
        <v>#DIV/0!</v>
      </c>
    </row>
    <row r="5" spans="1:25" s="6" customFormat="1" x14ac:dyDescent="0.2">
      <c r="A5" s="6">
        <v>1</v>
      </c>
      <c r="B5" s="1">
        <f>'Agrammon GRUD17'!B5</f>
        <v>7500</v>
      </c>
      <c r="C5" s="1">
        <f>'Agrammon GRUD17'!C5</f>
        <v>2</v>
      </c>
      <c r="D5" s="1">
        <f>'Agrammon GRUD17'!D5</f>
        <v>1</v>
      </c>
      <c r="E5" s="17">
        <f t="shared" ref="E5:E13" si="0">IF(B5&gt;6500,115+((B5-6500)*115*2%/1000),IF(B5&lt;6500,115-((6500-B5)*115*10%/1000),115))</f>
        <v>117.3</v>
      </c>
      <c r="F5" s="21"/>
      <c r="G5" s="20"/>
      <c r="H5" s="20"/>
      <c r="I5" s="2"/>
      <c r="J5" s="21"/>
      <c r="K5" s="20"/>
      <c r="L5" s="2"/>
      <c r="M5" s="2"/>
      <c r="N5" s="22">
        <f t="shared" ref="N5:N13" si="1">E5*(1+((-0.0331*C5+0.0331)*0.55)+((-0.0184*D5+0.0368)*0.45)+(F5+G5+H5+I5)*0.55+(J5+K5+L5+M5)*0.45)</f>
        <v>116.1357975</v>
      </c>
      <c r="O5" s="19"/>
      <c r="P5" s="19"/>
      <c r="Q5" s="6">
        <v>115.27</v>
      </c>
      <c r="R5" s="6">
        <v>116.14</v>
      </c>
      <c r="S5" s="13">
        <f t="shared" ref="S5:S13" si="2">O5*0.6</f>
        <v>0</v>
      </c>
      <c r="T5" s="6">
        <v>70.47</v>
      </c>
      <c r="U5" s="6">
        <v>69.22</v>
      </c>
      <c r="V5" s="14" t="e">
        <f t="shared" ref="V5:V13" si="3">Q5/O5</f>
        <v>#DIV/0!</v>
      </c>
      <c r="W5" s="14" t="e">
        <f t="shared" ref="W5:W13" si="4">R5/O5</f>
        <v>#DIV/0!</v>
      </c>
      <c r="X5" s="14" t="e">
        <f t="shared" ref="X5:X13" si="5">T5/S5</f>
        <v>#DIV/0!</v>
      </c>
      <c r="Y5" s="14" t="e">
        <f t="shared" ref="Y5:Y13" si="6">U5/S5</f>
        <v>#DIV/0!</v>
      </c>
    </row>
    <row r="6" spans="1:25" s="6" customFormat="1" x14ac:dyDescent="0.2">
      <c r="A6" s="6">
        <v>2</v>
      </c>
      <c r="B6" s="1">
        <f>'Agrammon GRUD17'!B6</f>
        <v>7500</v>
      </c>
      <c r="C6" s="1">
        <f>'Agrammon GRUD17'!C6</f>
        <v>2</v>
      </c>
      <c r="D6" s="1">
        <f>'Agrammon GRUD17'!D6</f>
        <v>1</v>
      </c>
      <c r="E6" s="17">
        <f t="shared" si="0"/>
        <v>117.3</v>
      </c>
      <c r="F6" s="21"/>
      <c r="G6" s="20">
        <v>-0.05</v>
      </c>
      <c r="H6" s="20"/>
      <c r="I6" s="2"/>
      <c r="J6" s="21"/>
      <c r="K6" s="20">
        <v>-1.6E-2</v>
      </c>
      <c r="L6" s="2"/>
      <c r="M6" s="2"/>
      <c r="N6" s="22">
        <f t="shared" si="1"/>
        <v>112.06548749999999</v>
      </c>
      <c r="O6" s="19"/>
      <c r="P6" s="19"/>
      <c r="Q6" s="6">
        <v>115.27</v>
      </c>
      <c r="R6" s="6">
        <v>116.14</v>
      </c>
      <c r="S6" s="13">
        <f t="shared" si="2"/>
        <v>0</v>
      </c>
      <c r="T6" s="6">
        <v>70.47</v>
      </c>
      <c r="U6" s="6">
        <v>69.22</v>
      </c>
      <c r="V6" s="14" t="e">
        <f t="shared" si="3"/>
        <v>#DIV/0!</v>
      </c>
      <c r="W6" s="14" t="e">
        <f t="shared" si="4"/>
        <v>#DIV/0!</v>
      </c>
      <c r="X6" s="14" t="e">
        <f t="shared" si="5"/>
        <v>#DIV/0!</v>
      </c>
      <c r="Y6" s="14" t="e">
        <f t="shared" si="6"/>
        <v>#DIV/0!</v>
      </c>
    </row>
    <row r="7" spans="1:25" s="6" customFormat="1" x14ac:dyDescent="0.2">
      <c r="A7" s="6">
        <v>3</v>
      </c>
      <c r="B7" s="1">
        <f>'Agrammon GRUD17'!B7</f>
        <v>7500</v>
      </c>
      <c r="C7" s="1">
        <f>'Agrammon GRUD17'!C7</f>
        <v>2</v>
      </c>
      <c r="D7" s="1">
        <f>'Agrammon GRUD17'!D7</f>
        <v>1</v>
      </c>
      <c r="E7" s="17">
        <f t="shared" si="0"/>
        <v>117.3</v>
      </c>
      <c r="F7" s="21"/>
      <c r="G7" s="20"/>
      <c r="H7" s="20"/>
      <c r="I7" s="2"/>
      <c r="J7" s="21"/>
      <c r="K7" s="20">
        <v>-1.6E-2</v>
      </c>
      <c r="L7" s="2"/>
      <c r="M7" s="2"/>
      <c r="N7" s="22">
        <f t="shared" si="1"/>
        <v>115.29123749999999</v>
      </c>
      <c r="O7" s="19"/>
      <c r="P7" s="19"/>
      <c r="Q7" s="6">
        <v>115.27</v>
      </c>
      <c r="R7" s="6">
        <v>116.14</v>
      </c>
      <c r="S7" s="13">
        <f t="shared" si="2"/>
        <v>0</v>
      </c>
      <c r="T7" s="6">
        <v>70.47</v>
      </c>
      <c r="U7" s="6">
        <v>69.22</v>
      </c>
      <c r="V7" s="14" t="e">
        <f t="shared" si="3"/>
        <v>#DIV/0!</v>
      </c>
      <c r="W7" s="14" t="e">
        <f t="shared" si="4"/>
        <v>#DIV/0!</v>
      </c>
      <c r="X7" s="14" t="e">
        <f t="shared" si="5"/>
        <v>#DIV/0!</v>
      </c>
      <c r="Y7" s="14" t="e">
        <f t="shared" si="6"/>
        <v>#DIV/0!</v>
      </c>
    </row>
    <row r="8" spans="1:25" s="6" customFormat="1" x14ac:dyDescent="0.2">
      <c r="A8" s="6">
        <v>4</v>
      </c>
      <c r="B8" s="1">
        <f>'Agrammon GRUD17'!B8</f>
        <v>7500</v>
      </c>
      <c r="C8" s="1">
        <f>'Agrammon GRUD17'!C8</f>
        <v>2</v>
      </c>
      <c r="D8" s="1">
        <f>'Agrammon GRUD17'!D8</f>
        <v>1</v>
      </c>
      <c r="E8" s="17">
        <f t="shared" si="0"/>
        <v>117.3</v>
      </c>
      <c r="F8" s="21"/>
      <c r="G8" s="20"/>
      <c r="H8" s="20"/>
      <c r="I8" s="2"/>
      <c r="J8" s="21"/>
      <c r="K8" s="20"/>
      <c r="L8" s="20">
        <v>2.7E-2</v>
      </c>
      <c r="M8" s="2"/>
      <c r="N8" s="22">
        <f t="shared" si="1"/>
        <v>117.56099249999998</v>
      </c>
      <c r="O8" s="19"/>
      <c r="P8" s="19"/>
      <c r="Q8" s="6">
        <v>115.27</v>
      </c>
      <c r="R8" s="6">
        <v>116.14</v>
      </c>
      <c r="S8" s="13">
        <f t="shared" si="2"/>
        <v>0</v>
      </c>
      <c r="T8" s="6">
        <v>70.47</v>
      </c>
      <c r="U8" s="6">
        <v>69.22</v>
      </c>
      <c r="V8" s="14" t="e">
        <f t="shared" si="3"/>
        <v>#DIV/0!</v>
      </c>
      <c r="W8" s="14" t="e">
        <f t="shared" si="4"/>
        <v>#DIV/0!</v>
      </c>
      <c r="X8" s="14" t="e">
        <f t="shared" si="5"/>
        <v>#DIV/0!</v>
      </c>
      <c r="Y8" s="14" t="e">
        <f t="shared" si="6"/>
        <v>#DIV/0!</v>
      </c>
    </row>
    <row r="9" spans="1:25" s="6" customFormat="1" x14ac:dyDescent="0.2">
      <c r="A9" s="6">
        <v>5</v>
      </c>
      <c r="B9" s="1">
        <f>'Agrammon GRUD17'!B9</f>
        <v>8000</v>
      </c>
      <c r="C9" s="1">
        <f>'Agrammon GRUD17'!C9</f>
        <v>3</v>
      </c>
      <c r="D9" s="1">
        <f>'Agrammon GRUD17'!D9</f>
        <v>3</v>
      </c>
      <c r="E9" s="17">
        <f t="shared" si="0"/>
        <v>118.45</v>
      </c>
      <c r="F9" s="21"/>
      <c r="G9" s="20"/>
      <c r="H9" s="20"/>
      <c r="I9" s="2"/>
      <c r="J9" s="21"/>
      <c r="K9" s="20"/>
      <c r="L9" s="2"/>
      <c r="M9" s="2"/>
      <c r="N9" s="22">
        <f t="shared" si="1"/>
        <v>113.1564695</v>
      </c>
      <c r="O9" s="19"/>
      <c r="P9" s="19"/>
      <c r="Q9" s="6">
        <v>115.27</v>
      </c>
      <c r="R9" s="6">
        <v>116.14</v>
      </c>
      <c r="S9" s="13">
        <f t="shared" si="2"/>
        <v>0</v>
      </c>
      <c r="T9" s="6">
        <v>70.47</v>
      </c>
      <c r="U9" s="6">
        <v>69.22</v>
      </c>
      <c r="V9" s="14" t="e">
        <f t="shared" si="3"/>
        <v>#DIV/0!</v>
      </c>
      <c r="W9" s="14" t="e">
        <f t="shared" si="4"/>
        <v>#DIV/0!</v>
      </c>
      <c r="X9" s="14" t="e">
        <f t="shared" si="5"/>
        <v>#DIV/0!</v>
      </c>
      <c r="Y9" s="14" t="e">
        <f t="shared" si="6"/>
        <v>#DIV/0!</v>
      </c>
    </row>
    <row r="10" spans="1:25" s="6" customFormat="1" x14ac:dyDescent="0.2">
      <c r="A10" s="6">
        <v>6</v>
      </c>
      <c r="B10" s="1">
        <f>'Agrammon GRUD17'!B10</f>
        <v>7500</v>
      </c>
      <c r="C10" s="1">
        <f>'Agrammon GRUD17'!C10</f>
        <v>1</v>
      </c>
      <c r="D10" s="1">
        <f>'Agrammon GRUD17'!D10</f>
        <v>2</v>
      </c>
      <c r="E10" s="17">
        <f t="shared" si="0"/>
        <v>117.3</v>
      </c>
      <c r="F10" s="21"/>
      <c r="G10" s="20">
        <v>-0.05</v>
      </c>
      <c r="H10" s="20"/>
      <c r="I10" s="2"/>
      <c r="J10" s="21"/>
      <c r="K10" s="20">
        <v>-1.6E-2</v>
      </c>
      <c r="L10" s="20">
        <v>2.7E-2</v>
      </c>
      <c r="M10" s="2"/>
      <c r="N10" s="22">
        <f t="shared" si="1"/>
        <v>114.65488500000001</v>
      </c>
      <c r="O10" s="19"/>
      <c r="P10" s="19"/>
      <c r="Q10" s="6">
        <v>115.27</v>
      </c>
      <c r="R10" s="6">
        <v>116.14</v>
      </c>
      <c r="S10" s="13">
        <f t="shared" si="2"/>
        <v>0</v>
      </c>
      <c r="T10" s="6">
        <v>70.47</v>
      </c>
      <c r="U10" s="6">
        <v>69.22</v>
      </c>
      <c r="V10" s="14" t="e">
        <f t="shared" si="3"/>
        <v>#DIV/0!</v>
      </c>
      <c r="W10" s="14" t="e">
        <f t="shared" si="4"/>
        <v>#DIV/0!</v>
      </c>
      <c r="X10" s="14" t="e">
        <f t="shared" si="5"/>
        <v>#DIV/0!</v>
      </c>
      <c r="Y10" s="14" t="e">
        <f t="shared" si="6"/>
        <v>#DIV/0!</v>
      </c>
    </row>
    <row r="11" spans="1:25" s="6" customFormat="1" x14ac:dyDescent="0.2">
      <c r="A11" s="6">
        <v>7</v>
      </c>
      <c r="B11" s="1">
        <f>'Agrammon GRUD17'!B11</f>
        <v>8000</v>
      </c>
      <c r="C11" s="1">
        <f>'Agrammon GRUD17'!C11</f>
        <v>3</v>
      </c>
      <c r="D11" s="1">
        <f>'Agrammon GRUD17'!D11</f>
        <v>3</v>
      </c>
      <c r="E11" s="17">
        <f t="shared" si="0"/>
        <v>118.45</v>
      </c>
      <c r="F11" s="21"/>
      <c r="G11" s="20">
        <v>-0.05</v>
      </c>
      <c r="H11" s="20">
        <v>-0.08</v>
      </c>
      <c r="I11" s="2"/>
      <c r="J11" s="21"/>
      <c r="K11" s="20">
        <v>-1.6E-2</v>
      </c>
      <c r="L11" s="20">
        <v>2.7E-2</v>
      </c>
      <c r="M11" s="2"/>
      <c r="N11" s="22">
        <f t="shared" si="1"/>
        <v>105.273622</v>
      </c>
      <c r="O11" s="19"/>
      <c r="P11" s="19"/>
      <c r="Q11" s="6">
        <v>115.27</v>
      </c>
      <c r="R11" s="6">
        <v>116.14</v>
      </c>
      <c r="S11" s="13">
        <f t="shared" si="2"/>
        <v>0</v>
      </c>
      <c r="T11" s="6">
        <v>70.47</v>
      </c>
      <c r="U11" s="6">
        <v>69.22</v>
      </c>
      <c r="V11" s="14" t="e">
        <f t="shared" si="3"/>
        <v>#DIV/0!</v>
      </c>
      <c r="W11" s="14" t="e">
        <f t="shared" si="4"/>
        <v>#DIV/0!</v>
      </c>
      <c r="X11" s="14" t="e">
        <f t="shared" si="5"/>
        <v>#DIV/0!</v>
      </c>
      <c r="Y11" s="14" t="e">
        <f t="shared" si="6"/>
        <v>#DIV/0!</v>
      </c>
    </row>
    <row r="12" spans="1:25" s="6" customFormat="1" x14ac:dyDescent="0.2">
      <c r="A12" s="6">
        <v>8</v>
      </c>
      <c r="B12" s="1">
        <f>'Agrammon GRUD17'!B12</f>
        <v>5000</v>
      </c>
      <c r="C12" s="1">
        <f>'Agrammon GRUD17'!C12</f>
        <v>0</v>
      </c>
      <c r="D12" s="1">
        <f>'Agrammon GRUD17'!D12</f>
        <v>0</v>
      </c>
      <c r="E12" s="17">
        <f t="shared" si="0"/>
        <v>97.75</v>
      </c>
      <c r="F12" s="21"/>
      <c r="G12" s="20"/>
      <c r="H12" s="20"/>
      <c r="I12" s="2"/>
      <c r="J12" s="21"/>
      <c r="K12" s="20"/>
      <c r="L12" s="2"/>
      <c r="M12" s="2"/>
      <c r="N12" s="22">
        <f t="shared" si="1"/>
        <v>101.14827874999999</v>
      </c>
      <c r="O12" s="19"/>
      <c r="P12" s="19"/>
      <c r="Q12" s="6">
        <v>115.27</v>
      </c>
      <c r="R12" s="6">
        <v>116.14</v>
      </c>
      <c r="S12" s="13">
        <f t="shared" si="2"/>
        <v>0</v>
      </c>
      <c r="T12" s="6">
        <v>70.47</v>
      </c>
      <c r="U12" s="6">
        <v>69.22</v>
      </c>
      <c r="V12" s="14" t="e">
        <f t="shared" si="3"/>
        <v>#DIV/0!</v>
      </c>
      <c r="W12" s="14" t="e">
        <f t="shared" si="4"/>
        <v>#DIV/0!</v>
      </c>
      <c r="X12" s="14" t="e">
        <f t="shared" si="5"/>
        <v>#DIV/0!</v>
      </c>
      <c r="Y12" s="14" t="e">
        <f t="shared" si="6"/>
        <v>#DIV/0!</v>
      </c>
    </row>
    <row r="13" spans="1:25" s="6" customFormat="1" x14ac:dyDescent="0.2">
      <c r="A13" s="6">
        <v>9</v>
      </c>
      <c r="B13" s="1">
        <f>'Agrammon GRUD17'!B13</f>
        <v>7500</v>
      </c>
      <c r="C13" s="1">
        <f>'Agrammon GRUD17'!C13</f>
        <v>1.8</v>
      </c>
      <c r="D13" s="1">
        <f>'Agrammon GRUD17'!D13</f>
        <v>2.4</v>
      </c>
      <c r="E13" s="17">
        <f t="shared" si="0"/>
        <v>117.3</v>
      </c>
      <c r="F13" s="21"/>
      <c r="G13" s="20">
        <v>-0.05</v>
      </c>
      <c r="H13" s="20">
        <v>-0.08</v>
      </c>
      <c r="I13" s="2"/>
      <c r="J13" s="21"/>
      <c r="K13" s="20">
        <v>-1.6E-2</v>
      </c>
      <c r="L13" s="20">
        <v>2.7E-2</v>
      </c>
      <c r="M13" s="2"/>
      <c r="N13" s="22">
        <f t="shared" si="1"/>
        <v>107.3968302</v>
      </c>
      <c r="O13" s="19"/>
      <c r="P13" s="19"/>
      <c r="Q13" s="6">
        <v>115.27</v>
      </c>
      <c r="R13" s="6">
        <v>116.14</v>
      </c>
      <c r="S13" s="13">
        <f t="shared" si="2"/>
        <v>0</v>
      </c>
      <c r="T13" s="6">
        <v>70.47</v>
      </c>
      <c r="U13" s="6">
        <v>69.22</v>
      </c>
      <c r="V13" s="14" t="e">
        <f t="shared" si="3"/>
        <v>#DIV/0!</v>
      </c>
      <c r="W13" s="14" t="e">
        <f t="shared" si="4"/>
        <v>#DIV/0!</v>
      </c>
      <c r="X13" s="14" t="e">
        <f t="shared" si="5"/>
        <v>#DIV/0!</v>
      </c>
      <c r="Y13" s="14" t="e">
        <f t="shared" si="6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"/>
  <sheetViews>
    <sheetView workbookViewId="0">
      <selection activeCell="D1" sqref="D1"/>
    </sheetView>
  </sheetViews>
  <sheetFormatPr defaultRowHeight="12.75" x14ac:dyDescent="0.2"/>
  <sheetData>
    <row r="1" spans="4:4" x14ac:dyDescent="0.2">
      <c r="D1">
        <v>112.00011200000002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Agrammon GRUD17</vt:lpstr>
      <vt:lpstr>Agrammon 4.1</vt:lpstr>
      <vt:lpstr>Sheet3</vt:lpstr>
    </vt:vector>
  </TitlesOfParts>
  <Company>Berner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T.Kupper</dc:creator>
  <cp:lastModifiedBy>a</cp:lastModifiedBy>
  <dcterms:created xsi:type="dcterms:W3CDTF">2017-09-06T09:52:45Z</dcterms:created>
  <dcterms:modified xsi:type="dcterms:W3CDTF">2020-10-12T10:19:37Z</dcterms:modified>
</cp:coreProperties>
</file>