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d0-my.sharepoint.com/personal/zhe25_umd_edu/Documents/Course Documents/Spring 2023/Datathon/"/>
    </mc:Choice>
  </mc:AlternateContent>
  <xr:revisionPtr revIDLastSave="0" documentId="8_{1CAF3BC3-6C69-524A-974A-9A229D8D57C8}" xr6:coauthVersionLast="47" xr6:coauthVersionMax="47" xr10:uidLastSave="{00000000-0000-0000-0000-000000000000}"/>
  <bookViews>
    <workbookView xWindow="1100" yWindow="820" windowWidth="28040" windowHeight="17380" xr2:uid="{AC10186E-C39F-DF44-8DC1-1823EF1920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1" l="1"/>
  <c r="AN28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G13" i="1"/>
  <c r="AG15" i="1"/>
  <c r="AG16" i="1"/>
  <c r="AG17" i="1"/>
  <c r="AG19" i="1"/>
  <c r="AG20" i="1"/>
  <c r="C13" i="1"/>
  <c r="C15" i="1"/>
  <c r="C16" i="1"/>
  <c r="C17" i="1"/>
  <c r="C19" i="1"/>
  <c r="D13" i="1"/>
  <c r="D15" i="1"/>
  <c r="D16" i="1"/>
  <c r="D17" i="1"/>
  <c r="D19" i="1"/>
  <c r="E13" i="1"/>
  <c r="E15" i="1"/>
  <c r="E16" i="1"/>
  <c r="E17" i="1"/>
  <c r="E19" i="1"/>
  <c r="F13" i="1"/>
  <c r="F15" i="1"/>
  <c r="F16" i="1"/>
  <c r="F17" i="1"/>
  <c r="F19" i="1"/>
  <c r="G13" i="1"/>
  <c r="G15" i="1"/>
  <c r="G16" i="1"/>
  <c r="G17" i="1"/>
  <c r="G19" i="1"/>
  <c r="H13" i="1"/>
  <c r="H15" i="1"/>
  <c r="H16" i="1"/>
  <c r="H17" i="1"/>
  <c r="H19" i="1"/>
  <c r="I13" i="1"/>
  <c r="I15" i="1"/>
  <c r="I16" i="1"/>
  <c r="I17" i="1"/>
  <c r="I19" i="1"/>
  <c r="J13" i="1"/>
  <c r="J15" i="1"/>
  <c r="J16" i="1"/>
  <c r="J17" i="1"/>
  <c r="J19" i="1"/>
  <c r="K13" i="1"/>
  <c r="K15" i="1"/>
  <c r="K16" i="1"/>
  <c r="K17" i="1"/>
  <c r="K19" i="1"/>
  <c r="L13" i="1"/>
  <c r="L15" i="1"/>
  <c r="L16" i="1"/>
  <c r="L17" i="1"/>
  <c r="L19" i="1"/>
  <c r="M13" i="1"/>
  <c r="M15" i="1"/>
  <c r="M16" i="1"/>
  <c r="M17" i="1"/>
  <c r="M19" i="1"/>
  <c r="N13" i="1"/>
  <c r="N15" i="1"/>
  <c r="N16" i="1"/>
  <c r="N17" i="1"/>
  <c r="N19" i="1"/>
  <c r="O13" i="1"/>
  <c r="O15" i="1"/>
  <c r="O16" i="1"/>
  <c r="O17" i="1"/>
  <c r="O19" i="1"/>
  <c r="P13" i="1"/>
  <c r="P15" i="1"/>
  <c r="P16" i="1"/>
  <c r="P17" i="1"/>
  <c r="P19" i="1"/>
  <c r="Q13" i="1"/>
  <c r="Q15" i="1"/>
  <c r="Q16" i="1"/>
  <c r="Q17" i="1"/>
  <c r="Q19" i="1"/>
  <c r="R13" i="1"/>
  <c r="R15" i="1"/>
  <c r="R16" i="1"/>
  <c r="R17" i="1"/>
  <c r="R19" i="1"/>
  <c r="S13" i="1"/>
  <c r="S15" i="1"/>
  <c r="S16" i="1"/>
  <c r="S17" i="1"/>
  <c r="S19" i="1"/>
  <c r="T13" i="1"/>
  <c r="T15" i="1"/>
  <c r="T16" i="1"/>
  <c r="T17" i="1"/>
  <c r="T19" i="1"/>
  <c r="U13" i="1"/>
  <c r="U15" i="1"/>
  <c r="U16" i="1"/>
  <c r="U17" i="1"/>
  <c r="U19" i="1"/>
  <c r="V13" i="1"/>
  <c r="V15" i="1"/>
  <c r="V16" i="1"/>
  <c r="V17" i="1"/>
  <c r="V19" i="1"/>
  <c r="W13" i="1"/>
  <c r="W15" i="1"/>
  <c r="W16" i="1"/>
  <c r="W17" i="1"/>
  <c r="W19" i="1"/>
  <c r="X13" i="1"/>
  <c r="X15" i="1"/>
  <c r="X16" i="1"/>
  <c r="X17" i="1"/>
  <c r="X19" i="1"/>
  <c r="Y13" i="1"/>
  <c r="Y15" i="1"/>
  <c r="Y16" i="1"/>
  <c r="Y17" i="1"/>
  <c r="Y19" i="1"/>
  <c r="Z13" i="1"/>
  <c r="Z15" i="1"/>
  <c r="Z16" i="1"/>
  <c r="Z17" i="1"/>
  <c r="Z19" i="1"/>
  <c r="AA13" i="1"/>
  <c r="AA15" i="1"/>
  <c r="AA16" i="1"/>
  <c r="AA17" i="1"/>
  <c r="AA19" i="1"/>
  <c r="AB13" i="1"/>
  <c r="AB15" i="1"/>
  <c r="AB16" i="1"/>
  <c r="AB17" i="1"/>
  <c r="AB19" i="1"/>
  <c r="AC13" i="1"/>
  <c r="AC15" i="1"/>
  <c r="AC16" i="1"/>
  <c r="AC17" i="1"/>
  <c r="AC19" i="1"/>
  <c r="AD13" i="1"/>
  <c r="AD15" i="1"/>
  <c r="AD16" i="1"/>
  <c r="AD17" i="1"/>
  <c r="AD19" i="1"/>
  <c r="AE13" i="1"/>
  <c r="AE15" i="1"/>
  <c r="AE16" i="1"/>
  <c r="AE17" i="1"/>
  <c r="AE19" i="1"/>
  <c r="AF13" i="1"/>
  <c r="AF15" i="1"/>
  <c r="AF16" i="1"/>
  <c r="AF17" i="1"/>
  <c r="AF19" i="1"/>
  <c r="B20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H18" i="1"/>
  <c r="I18" i="1"/>
  <c r="J18" i="1"/>
  <c r="D8" i="1"/>
  <c r="D18" i="1"/>
  <c r="E8" i="1"/>
  <c r="E18" i="1"/>
  <c r="C8" i="1"/>
  <c r="C1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J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J16" i="1"/>
  <c r="AK7" i="1"/>
  <c r="AN26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N2" i="1"/>
  <c r="B7" i="1"/>
  <c r="F8" i="1"/>
  <c r="F1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K5" i="1"/>
  <c r="AN2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N6" i="1"/>
  <c r="AN19" i="1"/>
  <c r="AO21" i="1"/>
  <c r="AN2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AQ2" i="1"/>
  <c r="AQ3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AN7" i="1"/>
  <c r="AN20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G8" i="1"/>
  <c r="G18" i="1"/>
  <c r="C2" i="1"/>
  <c r="B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U3" i="1"/>
  <c r="BJ3" i="1"/>
  <c r="AY3" i="1"/>
  <c r="BP3" i="1"/>
  <c r="BE3" i="1"/>
  <c r="BD3" i="1"/>
  <c r="AN12" i="1"/>
  <c r="AQ5" i="1"/>
  <c r="BC3" i="1"/>
  <c r="BL3" i="1"/>
  <c r="AR3" i="1"/>
  <c r="BK3" i="1"/>
  <c r="BS3" i="1"/>
  <c r="BR3" i="1"/>
  <c r="AX3" i="1"/>
  <c r="BF3" i="1"/>
  <c r="AV3" i="1"/>
  <c r="BO3" i="1"/>
  <c r="BN3" i="1"/>
  <c r="AT3" i="1"/>
  <c r="BM3" i="1"/>
  <c r="AS3" i="1"/>
  <c r="BB3" i="1"/>
  <c r="BA3" i="1"/>
  <c r="BT3" i="1"/>
  <c r="AZ3" i="1"/>
  <c r="BI3" i="1"/>
  <c r="BH3" i="1"/>
  <c r="BQ3" i="1"/>
  <c r="BG3" i="1"/>
  <c r="AW3" i="1"/>
  <c r="B13" i="1"/>
  <c r="B15" i="1"/>
  <c r="B17" i="1"/>
  <c r="B19" i="1"/>
  <c r="D2" i="1"/>
  <c r="AQ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</calcChain>
</file>

<file path=xl/sharedStrings.xml><?xml version="1.0" encoding="utf-8"?>
<sst xmlns="http://schemas.openxmlformats.org/spreadsheetml/2006/main" count="58" uniqueCount="47">
  <si>
    <t>Terms</t>
  </si>
  <si>
    <t>Rent</t>
  </si>
  <si>
    <t>Unit</t>
  </si>
  <si>
    <t>Rent Annual Growth</t>
  </si>
  <si>
    <t>Rental Revenue</t>
  </si>
  <si>
    <t>Down Payment</t>
  </si>
  <si>
    <t>Property Value</t>
  </si>
  <si>
    <t>Down Payment Rate</t>
  </si>
  <si>
    <t>Loan Payment (EMI)</t>
  </si>
  <si>
    <t>Loan Payment (EMI)*12</t>
  </si>
  <si>
    <t>Monthly Loan Pay</t>
  </si>
  <si>
    <t>Mortgage Interest rate (APY)</t>
  </si>
  <si>
    <t>Balance</t>
  </si>
  <si>
    <t>PV(Loan Pay)</t>
  </si>
  <si>
    <t>SUM(PV(Loan Pay))</t>
  </si>
  <si>
    <t>Monthly Loan Pay*12</t>
  </si>
  <si>
    <t>Target Sum PV</t>
  </si>
  <si>
    <t>Insurance Premium</t>
  </si>
  <si>
    <t>Premium for each unit per year</t>
  </si>
  <si>
    <t>Premium Annual Growth</t>
  </si>
  <si>
    <t>HOA Fee</t>
  </si>
  <si>
    <t>Property Assessment Value</t>
  </si>
  <si>
    <t>Property Tax Ratio</t>
  </si>
  <si>
    <t>HOA Fee Ratio</t>
  </si>
  <si>
    <t>Property Value Growth</t>
  </si>
  <si>
    <t>Renovation Expenditure</t>
  </si>
  <si>
    <t>Maintenence Expenditure</t>
  </si>
  <si>
    <t>Renovation Expense Rate</t>
  </si>
  <si>
    <t>Maintenence Expenditure Rate</t>
  </si>
  <si>
    <t>Vacancy Rate in NYC</t>
  </si>
  <si>
    <t>Vacancy Rate weighted by popularity of review</t>
  </si>
  <si>
    <t>Vacancy Rate of Property</t>
  </si>
  <si>
    <t>Popularity Index ((popularity - median popularity )/ median popularity)</t>
  </si>
  <si>
    <t>Management Expenditure</t>
  </si>
  <si>
    <t>Management Expenditure Rate</t>
  </si>
  <si>
    <t>Income Tax Rate (Federal + NY)</t>
  </si>
  <si>
    <t>Utility Expense</t>
  </si>
  <si>
    <t>Net Income</t>
  </si>
  <si>
    <t>Property Tax</t>
  </si>
  <si>
    <t>EBIT</t>
  </si>
  <si>
    <t>Income Tax</t>
  </si>
  <si>
    <t xml:space="preserve">Mortgage Interest </t>
  </si>
  <si>
    <t>EBT</t>
  </si>
  <si>
    <t>Depreciation of Renovation</t>
  </si>
  <si>
    <t>Cash Flow</t>
  </si>
  <si>
    <t>NPV</t>
  </si>
  <si>
    <t>TV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</si>
</sst>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5EA2-9524-6F4B-B293-ED62F1410E15}">
  <dimension ref="A1:BT28"/>
  <sheetViews>
    <sheetView tabSelected="1" topLeftCell="A2" workbookViewId="0">
      <selection activeCell="AJ17" sqref="AJ17"/>
    </sheetView>
  </sheetViews>
  <sheetFormatPr defaultColWidth="10.8515625" defaultRowHeight="15" x14ac:dyDescent="0.2"/>
  <cols>
    <col min="1" max="1" width="23.1796875" customWidth="1"/>
    <col min="2" max="2" width="20.34375" bestFit="1" customWidth="1"/>
    <col min="34" max="34" width="19.60546875" customWidth="1"/>
    <col min="35" max="35" width="40.4453125" customWidth="1"/>
    <col min="36" max="36" width="23.67578125" customWidth="1"/>
    <col min="37" max="38" width="22.8125" customWidth="1"/>
    <col min="39" max="39" width="29.46875" customWidth="1"/>
    <col min="40" max="40" width="11.7109375" bestFit="1" customWidth="1"/>
    <col min="42" max="42" width="17.38671875" customWidth="1"/>
  </cols>
  <sheetData>
    <row r="1" spans="1:72" ht="15.75" thickBot="1" x14ac:dyDescent="0.25">
      <c r="A1" s="7" t="s">
        <v>0</v>
      </c>
      <c r="B1" s="8">
        <v>0</v>
      </c>
      <c r="C1" s="8">
        <f>B1+1</f>
        <v>1</v>
      </c>
      <c r="D1" s="8">
        <f t="shared" ref="D1:K1" si="0">C1+1</f>
        <v>2</v>
      </c>
      <c r="E1" s="8">
        <f t="shared" si="0"/>
        <v>3</v>
      </c>
      <c r="F1" s="8">
        <f t="shared" si="0"/>
        <v>4</v>
      </c>
      <c r="G1" s="8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>K1+1</f>
        <v>10</v>
      </c>
      <c r="M1" s="7">
        <f t="shared" ref="M1:AG1" si="1">L1+1</f>
        <v>11</v>
      </c>
      <c r="N1" s="7">
        <f t="shared" si="1"/>
        <v>12</v>
      </c>
      <c r="O1" s="7">
        <f t="shared" si="1"/>
        <v>13</v>
      </c>
      <c r="P1" s="7">
        <f t="shared" si="1"/>
        <v>14</v>
      </c>
      <c r="Q1" s="7">
        <f t="shared" si="1"/>
        <v>15</v>
      </c>
      <c r="R1" s="7">
        <f t="shared" si="1"/>
        <v>16</v>
      </c>
      <c r="S1" s="7">
        <f t="shared" si="1"/>
        <v>17</v>
      </c>
      <c r="T1" s="7">
        <f t="shared" si="1"/>
        <v>18</v>
      </c>
      <c r="U1" s="7">
        <f t="shared" si="1"/>
        <v>19</v>
      </c>
      <c r="V1" s="7">
        <f t="shared" si="1"/>
        <v>20</v>
      </c>
      <c r="W1" s="7">
        <f t="shared" si="1"/>
        <v>21</v>
      </c>
      <c r="X1" s="7">
        <f t="shared" si="1"/>
        <v>22</v>
      </c>
      <c r="Y1" s="7">
        <f t="shared" si="1"/>
        <v>23</v>
      </c>
      <c r="Z1" s="7">
        <f t="shared" si="1"/>
        <v>24</v>
      </c>
      <c r="AA1" s="7">
        <f t="shared" si="1"/>
        <v>25</v>
      </c>
      <c r="AB1" s="7">
        <f t="shared" si="1"/>
        <v>26</v>
      </c>
      <c r="AC1" s="7">
        <f t="shared" si="1"/>
        <v>27</v>
      </c>
      <c r="AD1" s="7">
        <f t="shared" si="1"/>
        <v>28</v>
      </c>
      <c r="AE1" s="7">
        <f t="shared" si="1"/>
        <v>29</v>
      </c>
      <c r="AF1" s="7">
        <f t="shared" si="1"/>
        <v>30</v>
      </c>
      <c r="AG1" s="7">
        <f t="shared" si="1"/>
        <v>31</v>
      </c>
      <c r="AI1" t="s">
        <v>35</v>
      </c>
      <c r="AJ1" s="2">
        <v>0.3</v>
      </c>
      <c r="AQ1">
        <v>1</v>
      </c>
      <c r="AR1">
        <f>AQ1+1</f>
        <v>2</v>
      </c>
      <c r="AS1">
        <f t="shared" ref="AS1:BS1" si="2">AR1+1</f>
        <v>3</v>
      </c>
      <c r="AT1">
        <f t="shared" si="2"/>
        <v>4</v>
      </c>
      <c r="AU1">
        <f t="shared" si="2"/>
        <v>5</v>
      </c>
      <c r="AV1">
        <f t="shared" si="2"/>
        <v>6</v>
      </c>
      <c r="AW1">
        <f t="shared" si="2"/>
        <v>7</v>
      </c>
      <c r="AX1">
        <f t="shared" si="2"/>
        <v>8</v>
      </c>
      <c r="AY1">
        <f t="shared" si="2"/>
        <v>9</v>
      </c>
      <c r="AZ1">
        <f t="shared" si="2"/>
        <v>10</v>
      </c>
      <c r="BA1">
        <f t="shared" si="2"/>
        <v>11</v>
      </c>
      <c r="BB1">
        <f t="shared" si="2"/>
        <v>12</v>
      </c>
      <c r="BC1">
        <f t="shared" si="2"/>
        <v>13</v>
      </c>
      <c r="BD1">
        <f t="shared" si="2"/>
        <v>14</v>
      </c>
      <c r="BE1">
        <f t="shared" si="2"/>
        <v>15</v>
      </c>
      <c r="BF1">
        <f t="shared" si="2"/>
        <v>16</v>
      </c>
      <c r="BG1">
        <f>BF1+1</f>
        <v>17</v>
      </c>
      <c r="BH1">
        <f t="shared" si="2"/>
        <v>18</v>
      </c>
      <c r="BI1">
        <f t="shared" si="2"/>
        <v>19</v>
      </c>
      <c r="BJ1">
        <f t="shared" si="2"/>
        <v>20</v>
      </c>
      <c r="BK1">
        <f t="shared" si="2"/>
        <v>21</v>
      </c>
      <c r="BL1">
        <f t="shared" si="2"/>
        <v>22</v>
      </c>
      <c r="BM1">
        <f t="shared" si="2"/>
        <v>23</v>
      </c>
      <c r="BN1">
        <f>BM1+1</f>
        <v>24</v>
      </c>
      <c r="BO1">
        <f t="shared" si="2"/>
        <v>25</v>
      </c>
      <c r="BP1">
        <f t="shared" si="2"/>
        <v>26</v>
      </c>
      <c r="BQ1">
        <f t="shared" si="2"/>
        <v>27</v>
      </c>
      <c r="BR1">
        <f t="shared" si="2"/>
        <v>28</v>
      </c>
      <c r="BS1">
        <f t="shared" si="2"/>
        <v>29</v>
      </c>
      <c r="BT1">
        <f>BS1+1</f>
        <v>30</v>
      </c>
    </row>
    <row r="2" spans="1:72" x14ac:dyDescent="0.2">
      <c r="A2" t="s">
        <v>4</v>
      </c>
      <c r="B2">
        <f>0</f>
        <v>0</v>
      </c>
      <c r="C2">
        <f>AN2*AN3*(1-AJ16)*12</f>
        <v>45068.633380415587</v>
      </c>
      <c r="D2">
        <f t="shared" ref="D2:AG2" si="3">C2*(1+$AN$4)</f>
        <v>46195.349214925976</v>
      </c>
      <c r="E2">
        <f t="shared" si="3"/>
        <v>47350.232945299125</v>
      </c>
      <c r="F2">
        <f t="shared" si="3"/>
        <v>48533.988768931602</v>
      </c>
      <c r="G2">
        <f t="shared" si="3"/>
        <v>49747.338488154885</v>
      </c>
      <c r="H2">
        <f t="shared" si="3"/>
        <v>50991.02195035875</v>
      </c>
      <c r="I2">
        <f t="shared" si="3"/>
        <v>52265.797499117718</v>
      </c>
      <c r="J2">
        <f t="shared" si="3"/>
        <v>53572.442436595658</v>
      </c>
      <c r="K2">
        <f t="shared" si="3"/>
        <v>54911.753497510545</v>
      </c>
      <c r="L2">
        <f t="shared" si="3"/>
        <v>56284.5473349483</v>
      </c>
      <c r="M2">
        <f t="shared" si="3"/>
        <v>57691.661018322004</v>
      </c>
      <c r="N2">
        <f t="shared" si="3"/>
        <v>59133.952543780048</v>
      </c>
      <c r="O2">
        <f t="shared" si="3"/>
        <v>60612.301357374541</v>
      </c>
      <c r="P2">
        <f t="shared" si="3"/>
        <v>62127.608891308897</v>
      </c>
      <c r="Q2">
        <f t="shared" si="3"/>
        <v>63680.799113591616</v>
      </c>
      <c r="R2">
        <f t="shared" si="3"/>
        <v>65272.819091431404</v>
      </c>
      <c r="S2">
        <f t="shared" si="3"/>
        <v>66904.63956871719</v>
      </c>
      <c r="T2">
        <f t="shared" si="3"/>
        <v>68577.255557935117</v>
      </c>
      <c r="U2">
        <f t="shared" si="3"/>
        <v>70291.686946883492</v>
      </c>
      <c r="V2">
        <f t="shared" si="3"/>
        <v>72048.979120555567</v>
      </c>
      <c r="W2">
        <f t="shared" si="3"/>
        <v>73850.203598569453</v>
      </c>
      <c r="X2">
        <f t="shared" si="3"/>
        <v>75696.458688533676</v>
      </c>
      <c r="Y2">
        <f t="shared" si="3"/>
        <v>77588.870155747005</v>
      </c>
      <c r="Z2">
        <f t="shared" si="3"/>
        <v>79528.591909640672</v>
      </c>
      <c r="AA2">
        <f t="shared" si="3"/>
        <v>81516.806707381678</v>
      </c>
      <c r="AB2">
        <f t="shared" si="3"/>
        <v>83554.726875066219</v>
      </c>
      <c r="AC2">
        <f t="shared" si="3"/>
        <v>85643.595046942864</v>
      </c>
      <c r="AD2">
        <f t="shared" si="3"/>
        <v>87784.684923116423</v>
      </c>
      <c r="AE2">
        <f t="shared" si="3"/>
        <v>89979.302046194323</v>
      </c>
      <c r="AF2">
        <f t="shared" si="3"/>
        <v>92228.784597349179</v>
      </c>
      <c r="AG2">
        <f t="shared" si="3"/>
        <v>94534.504212282904</v>
      </c>
      <c r="AI2" t="s">
        <v>21</v>
      </c>
      <c r="AJ2">
        <v>400000</v>
      </c>
      <c r="AL2" s="1" t="s">
        <v>4</v>
      </c>
      <c r="AM2" t="s">
        <v>1</v>
      </c>
      <c r="AN2">
        <f>AJ2*0.01</f>
        <v>4000</v>
      </c>
      <c r="AP2" t="s">
        <v>15</v>
      </c>
      <c r="AQ2">
        <f t="shared" ref="AQ2:BT2" si="4">$AN$16*12</f>
        <v>20816.45922568853</v>
      </c>
      <c r="AR2">
        <f t="shared" si="4"/>
        <v>20816.45922568853</v>
      </c>
      <c r="AS2">
        <f t="shared" si="4"/>
        <v>20816.45922568853</v>
      </c>
      <c r="AT2">
        <f t="shared" si="4"/>
        <v>20816.45922568853</v>
      </c>
      <c r="AU2">
        <f t="shared" si="4"/>
        <v>20816.45922568853</v>
      </c>
      <c r="AV2">
        <f t="shared" si="4"/>
        <v>20816.45922568853</v>
      </c>
      <c r="AW2">
        <f t="shared" si="4"/>
        <v>20816.45922568853</v>
      </c>
      <c r="AX2">
        <f t="shared" si="4"/>
        <v>20816.45922568853</v>
      </c>
      <c r="AY2">
        <f t="shared" si="4"/>
        <v>20816.45922568853</v>
      </c>
      <c r="AZ2">
        <f t="shared" si="4"/>
        <v>20816.45922568853</v>
      </c>
      <c r="BA2">
        <f t="shared" si="4"/>
        <v>20816.45922568853</v>
      </c>
      <c r="BB2">
        <f t="shared" si="4"/>
        <v>20816.45922568853</v>
      </c>
      <c r="BC2">
        <f t="shared" si="4"/>
        <v>20816.45922568853</v>
      </c>
      <c r="BD2">
        <f t="shared" si="4"/>
        <v>20816.45922568853</v>
      </c>
      <c r="BE2">
        <f t="shared" si="4"/>
        <v>20816.45922568853</v>
      </c>
      <c r="BF2">
        <f t="shared" si="4"/>
        <v>20816.45922568853</v>
      </c>
      <c r="BG2">
        <f t="shared" si="4"/>
        <v>20816.45922568853</v>
      </c>
      <c r="BH2">
        <f t="shared" si="4"/>
        <v>20816.45922568853</v>
      </c>
      <c r="BI2">
        <f t="shared" si="4"/>
        <v>20816.45922568853</v>
      </c>
      <c r="BJ2">
        <f t="shared" si="4"/>
        <v>20816.45922568853</v>
      </c>
      <c r="BK2">
        <f t="shared" si="4"/>
        <v>20816.45922568853</v>
      </c>
      <c r="BL2">
        <f t="shared" si="4"/>
        <v>20816.45922568853</v>
      </c>
      <c r="BM2">
        <f t="shared" si="4"/>
        <v>20816.45922568853</v>
      </c>
      <c r="BN2">
        <f t="shared" si="4"/>
        <v>20816.45922568853</v>
      </c>
      <c r="BO2">
        <f t="shared" si="4"/>
        <v>20816.45922568853</v>
      </c>
      <c r="BP2">
        <f t="shared" si="4"/>
        <v>20816.45922568853</v>
      </c>
      <c r="BQ2">
        <f t="shared" si="4"/>
        <v>20816.45922568853</v>
      </c>
      <c r="BR2">
        <f t="shared" si="4"/>
        <v>20816.45922568853</v>
      </c>
      <c r="BS2">
        <f t="shared" si="4"/>
        <v>20816.45922568853</v>
      </c>
      <c r="BT2">
        <f t="shared" si="4"/>
        <v>20816.45922568853</v>
      </c>
    </row>
    <row r="3" spans="1:72" x14ac:dyDescent="0.2">
      <c r="A3" t="s">
        <v>5</v>
      </c>
      <c r="B3">
        <f>-AN6*AN7*AN11</f>
        <v>-80000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 t="s">
        <v>22</v>
      </c>
      <c r="AJ3" s="2">
        <v>0.01</v>
      </c>
      <c r="AM3" t="s">
        <v>2</v>
      </c>
      <c r="AN3">
        <v>1</v>
      </c>
      <c r="AP3" t="s">
        <v>13</v>
      </c>
      <c r="AQ3">
        <f t="shared" ref="AQ3:BT3" si="5">AQ2/(1+$AN$17)^AQ1</f>
        <v>19825.199262560505</v>
      </c>
      <c r="AR3">
        <f t="shared" si="5"/>
        <v>18881.142154819529</v>
      </c>
      <c r="AS3">
        <f t="shared" si="5"/>
        <v>17982.040147447169</v>
      </c>
      <c r="AT3">
        <f t="shared" si="5"/>
        <v>17125.752521378257</v>
      </c>
      <c r="AU3">
        <f t="shared" si="5"/>
        <v>16310.240496550719</v>
      </c>
      <c r="AV3">
        <f t="shared" si="5"/>
        <v>15533.562377667353</v>
      </c>
      <c r="AW3">
        <f t="shared" si="5"/>
        <v>14793.868931111763</v>
      </c>
      <c r="AX3">
        <f t="shared" si="5"/>
        <v>14089.398982011204</v>
      </c>
      <c r="AY3">
        <f t="shared" si="5"/>
        <v>13418.475220963051</v>
      </c>
      <c r="AZ3">
        <f t="shared" si="5"/>
        <v>12779.500210441001</v>
      </c>
      <c r="BA3">
        <f t="shared" si="5"/>
        <v>12170.952581372381</v>
      </c>
      <c r="BB3">
        <f t="shared" si="5"/>
        <v>11591.38341083084</v>
      </c>
      <c r="BC3">
        <f t="shared" si="5"/>
        <v>11039.412772219846</v>
      </c>
      <c r="BD3">
        <f t="shared" si="5"/>
        <v>10513.726449733189</v>
      </c>
      <c r="BE3">
        <f t="shared" si="5"/>
        <v>10013.072809269701</v>
      </c>
      <c r="BF3">
        <f t="shared" si="5"/>
        <v>9536.2598183520968</v>
      </c>
      <c r="BG3">
        <f t="shared" si="5"/>
        <v>9082.1522079543774</v>
      </c>
      <c r="BH3">
        <f t="shared" si="5"/>
        <v>8649.6687694803586</v>
      </c>
      <c r="BI3">
        <f t="shared" si="5"/>
        <v>8237.7797804574839</v>
      </c>
      <c r="BJ3">
        <f t="shared" si="5"/>
        <v>7845.5045528166529</v>
      </c>
      <c r="BK3">
        <f t="shared" si="5"/>
        <v>7471.9090979206212</v>
      </c>
      <c r="BL3">
        <f t="shared" si="5"/>
        <v>7116.103902781545</v>
      </c>
      <c r="BM3">
        <f t="shared" si="5"/>
        <v>6777.2418121728988</v>
      </c>
      <c r="BN3">
        <f t="shared" si="5"/>
        <v>6454.5160115932376</v>
      </c>
      <c r="BO3">
        <f t="shared" si="5"/>
        <v>6147.1581062792739</v>
      </c>
      <c r="BP3">
        <f t="shared" si="5"/>
        <v>5854.4362916945465</v>
      </c>
      <c r="BQ3">
        <f t="shared" si="5"/>
        <v>5575.6536111376627</v>
      </c>
      <c r="BR3">
        <f t="shared" si="5"/>
        <v>5310.1462963215836</v>
      </c>
      <c r="BS3">
        <f t="shared" si="5"/>
        <v>5057.282186972936</v>
      </c>
      <c r="BT3">
        <f t="shared" si="5"/>
        <v>4816.4592256885126</v>
      </c>
    </row>
    <row r="4" spans="1:72" x14ac:dyDescent="0.2">
      <c r="A4" t="s">
        <v>9</v>
      </c>
      <c r="B4">
        <v>0</v>
      </c>
      <c r="C4">
        <f>-AN16*12</f>
        <v>-20816.45922568853</v>
      </c>
      <c r="D4">
        <f>C4</f>
        <v>-20816.45922568853</v>
      </c>
      <c r="E4">
        <f t="shared" ref="E4:K4" si="6">D4</f>
        <v>-20816.45922568853</v>
      </c>
      <c r="F4">
        <f t="shared" si="6"/>
        <v>-20816.45922568853</v>
      </c>
      <c r="G4">
        <f t="shared" si="6"/>
        <v>-20816.45922568853</v>
      </c>
      <c r="H4">
        <f t="shared" si="6"/>
        <v>-20816.45922568853</v>
      </c>
      <c r="I4">
        <f t="shared" si="6"/>
        <v>-20816.45922568853</v>
      </c>
      <c r="J4">
        <f t="shared" si="6"/>
        <v>-20816.45922568853</v>
      </c>
      <c r="K4">
        <f t="shared" si="6"/>
        <v>-20816.45922568853</v>
      </c>
      <c r="L4">
        <f>K4</f>
        <v>-20816.45922568853</v>
      </c>
      <c r="M4">
        <f t="shared" ref="M4:AF4" si="7">L4</f>
        <v>-20816.45922568853</v>
      </c>
      <c r="N4">
        <f t="shared" si="7"/>
        <v>-20816.45922568853</v>
      </c>
      <c r="O4">
        <f t="shared" si="7"/>
        <v>-20816.45922568853</v>
      </c>
      <c r="P4">
        <f t="shared" si="7"/>
        <v>-20816.45922568853</v>
      </c>
      <c r="Q4">
        <f t="shared" si="7"/>
        <v>-20816.45922568853</v>
      </c>
      <c r="R4">
        <f t="shared" si="7"/>
        <v>-20816.45922568853</v>
      </c>
      <c r="S4">
        <f t="shared" si="7"/>
        <v>-20816.45922568853</v>
      </c>
      <c r="T4">
        <f t="shared" si="7"/>
        <v>-20816.45922568853</v>
      </c>
      <c r="U4">
        <f t="shared" si="7"/>
        <v>-20816.45922568853</v>
      </c>
      <c r="V4">
        <f t="shared" si="7"/>
        <v>-20816.45922568853</v>
      </c>
      <c r="W4">
        <f t="shared" si="7"/>
        <v>-20816.45922568853</v>
      </c>
      <c r="X4">
        <f t="shared" si="7"/>
        <v>-20816.45922568853</v>
      </c>
      <c r="Y4">
        <f t="shared" si="7"/>
        <v>-20816.45922568853</v>
      </c>
      <c r="Z4">
        <f t="shared" si="7"/>
        <v>-20816.45922568853</v>
      </c>
      <c r="AA4">
        <f t="shared" si="7"/>
        <v>-20816.45922568853</v>
      </c>
      <c r="AB4">
        <f t="shared" si="7"/>
        <v>-20816.45922568853</v>
      </c>
      <c r="AC4">
        <f t="shared" si="7"/>
        <v>-20816.45922568853</v>
      </c>
      <c r="AD4">
        <f t="shared" si="7"/>
        <v>-20816.45922568853</v>
      </c>
      <c r="AE4">
        <f t="shared" si="7"/>
        <v>-20816.45922568853</v>
      </c>
      <c r="AF4">
        <f t="shared" si="7"/>
        <v>-20816.45922568853</v>
      </c>
      <c r="AG4">
        <v>0</v>
      </c>
      <c r="AI4" t="s">
        <v>24</v>
      </c>
      <c r="AJ4" s="2">
        <v>0.01</v>
      </c>
      <c r="AM4" t="s">
        <v>3</v>
      </c>
      <c r="AN4" s="2">
        <v>2.5000000000000001E-2</v>
      </c>
      <c r="AP4" t="s">
        <v>14</v>
      </c>
      <c r="AQ4">
        <f>SUM(AQ3:BT3)</f>
        <v>320000.00000000023</v>
      </c>
    </row>
    <row r="5" spans="1:72" x14ac:dyDescent="0.2">
      <c r="A5" t="s">
        <v>17</v>
      </c>
      <c r="B5">
        <f>-AO21*AN20</f>
        <v>-1200</v>
      </c>
      <c r="C5">
        <f t="shared" ref="C5:AG5" si="8">B5*(1+$AN$22)</f>
        <v>-1236</v>
      </c>
      <c r="D5">
        <f t="shared" si="8"/>
        <v>-1273.08</v>
      </c>
      <c r="E5">
        <f t="shared" si="8"/>
        <v>-1311.2724000000001</v>
      </c>
      <c r="F5">
        <f t="shared" si="8"/>
        <v>-1350.610572</v>
      </c>
      <c r="G5">
        <f t="shared" si="8"/>
        <v>-1391.12888916</v>
      </c>
      <c r="H5">
        <f t="shared" si="8"/>
        <v>-1432.8627558348001</v>
      </c>
      <c r="I5">
        <f t="shared" si="8"/>
        <v>-1475.848638509844</v>
      </c>
      <c r="J5">
        <f t="shared" si="8"/>
        <v>-1520.1240976651393</v>
      </c>
      <c r="K5">
        <f t="shared" si="8"/>
        <v>-1565.7278205950936</v>
      </c>
      <c r="L5">
        <f t="shared" si="8"/>
        <v>-1612.6996552129465</v>
      </c>
      <c r="M5">
        <f t="shared" si="8"/>
        <v>-1661.0806448693349</v>
      </c>
      <c r="N5">
        <f t="shared" si="8"/>
        <v>-1710.913064215415</v>
      </c>
      <c r="O5">
        <f t="shared" si="8"/>
        <v>-1762.2404561418775</v>
      </c>
      <c r="P5">
        <f t="shared" si="8"/>
        <v>-1815.1076698261338</v>
      </c>
      <c r="Q5">
        <f t="shared" si="8"/>
        <v>-1869.5608999209178</v>
      </c>
      <c r="R5">
        <f t="shared" si="8"/>
        <v>-1925.6477269185455</v>
      </c>
      <c r="S5">
        <f t="shared" si="8"/>
        <v>-1983.4171587261019</v>
      </c>
      <c r="T5">
        <f t="shared" si="8"/>
        <v>-2042.9196734878849</v>
      </c>
      <c r="U5">
        <f t="shared" si="8"/>
        <v>-2104.2072636925213</v>
      </c>
      <c r="V5">
        <f t="shared" si="8"/>
        <v>-2167.3334816032971</v>
      </c>
      <c r="W5">
        <f t="shared" si="8"/>
        <v>-2232.353486051396</v>
      </c>
      <c r="X5">
        <f t="shared" si="8"/>
        <v>-2299.3240906329379</v>
      </c>
      <c r="Y5">
        <f t="shared" si="8"/>
        <v>-2368.3038133519262</v>
      </c>
      <c r="Z5">
        <f t="shared" si="8"/>
        <v>-2439.352927752484</v>
      </c>
      <c r="AA5">
        <f t="shared" si="8"/>
        <v>-2512.5335155850585</v>
      </c>
      <c r="AB5">
        <f t="shared" si="8"/>
        <v>-2587.9095210526102</v>
      </c>
      <c r="AC5">
        <f t="shared" si="8"/>
        <v>-2665.5468066841886</v>
      </c>
      <c r="AD5">
        <f t="shared" si="8"/>
        <v>-2745.5132108847142</v>
      </c>
      <c r="AE5">
        <f t="shared" si="8"/>
        <v>-2827.8786072112557</v>
      </c>
      <c r="AF5">
        <f t="shared" si="8"/>
        <v>-2912.7149654275936</v>
      </c>
      <c r="AG5">
        <f t="shared" si="8"/>
        <v>-3000.0964143904216</v>
      </c>
      <c r="AI5" t="s">
        <v>23</v>
      </c>
      <c r="AJ5" s="3">
        <v>2E-3</v>
      </c>
      <c r="AK5">
        <f>AJ2*AJ5</f>
        <v>800</v>
      </c>
      <c r="AP5" t="s">
        <v>16</v>
      </c>
      <c r="AQ5">
        <f>AN12</f>
        <v>320000</v>
      </c>
    </row>
    <row r="6" spans="1:72" x14ac:dyDescent="0.2">
      <c r="A6" t="s">
        <v>20</v>
      </c>
      <c r="B6">
        <f>-AN24*AN3</f>
        <v>-800</v>
      </c>
      <c r="C6">
        <f>B6*(1+$AJ$4)</f>
        <v>-808</v>
      </c>
      <c r="D6">
        <f t="shared" ref="D6:AG6" si="9">C6*(1+$AJ$4)</f>
        <v>-816.08</v>
      </c>
      <c r="E6">
        <f t="shared" si="9"/>
        <v>-824.24080000000004</v>
      </c>
      <c r="F6">
        <f t="shared" si="9"/>
        <v>-832.48320799999999</v>
      </c>
      <c r="G6">
        <f t="shared" si="9"/>
        <v>-840.80804007999996</v>
      </c>
      <c r="H6">
        <f t="shared" si="9"/>
        <v>-849.21612048079999</v>
      </c>
      <c r="I6">
        <f t="shared" si="9"/>
        <v>-857.70828168560797</v>
      </c>
      <c r="J6">
        <f t="shared" si="9"/>
        <v>-866.28536450246406</v>
      </c>
      <c r="K6">
        <f t="shared" si="9"/>
        <v>-874.94821814748866</v>
      </c>
      <c r="L6">
        <f t="shared" si="9"/>
        <v>-883.69770032896361</v>
      </c>
      <c r="M6">
        <f t="shared" si="9"/>
        <v>-892.5346773322533</v>
      </c>
      <c r="N6">
        <f t="shared" si="9"/>
        <v>-901.46002410557583</v>
      </c>
      <c r="O6">
        <f t="shared" si="9"/>
        <v>-910.47462434663157</v>
      </c>
      <c r="P6">
        <f t="shared" si="9"/>
        <v>-919.57937059009794</v>
      </c>
      <c r="Q6">
        <f t="shared" si="9"/>
        <v>-928.77516429599893</v>
      </c>
      <c r="R6">
        <f t="shared" si="9"/>
        <v>-938.06291593895889</v>
      </c>
      <c r="S6">
        <f t="shared" si="9"/>
        <v>-947.44354509834852</v>
      </c>
      <c r="T6">
        <f t="shared" si="9"/>
        <v>-956.91798054933201</v>
      </c>
      <c r="U6">
        <f t="shared" si="9"/>
        <v>-966.48716035482539</v>
      </c>
      <c r="V6">
        <f t="shared" si="9"/>
        <v>-976.15203195837364</v>
      </c>
      <c r="W6">
        <f t="shared" si="9"/>
        <v>-985.91355227795736</v>
      </c>
      <c r="X6">
        <f t="shared" si="9"/>
        <v>-995.772687800737</v>
      </c>
      <c r="Y6">
        <f t="shared" si="9"/>
        <v>-1005.7304146787444</v>
      </c>
      <c r="Z6">
        <f t="shared" si="9"/>
        <v>-1015.7877188255319</v>
      </c>
      <c r="AA6">
        <f t="shared" si="9"/>
        <v>-1025.9455960137873</v>
      </c>
      <c r="AB6">
        <f t="shared" si="9"/>
        <v>-1036.2050519739253</v>
      </c>
      <c r="AC6">
        <f t="shared" si="9"/>
        <v>-1046.5671024936646</v>
      </c>
      <c r="AD6">
        <f t="shared" si="9"/>
        <v>-1057.0327735186013</v>
      </c>
      <c r="AE6">
        <f t="shared" si="9"/>
        <v>-1067.6031012537874</v>
      </c>
      <c r="AF6">
        <f t="shared" si="9"/>
        <v>-1078.2791322663252</v>
      </c>
      <c r="AG6">
        <f t="shared" si="9"/>
        <v>-1089.0619235889885</v>
      </c>
      <c r="AI6" t="s">
        <v>27</v>
      </c>
      <c r="AJ6" s="2">
        <v>0.05</v>
      </c>
      <c r="AL6" s="1" t="s">
        <v>5</v>
      </c>
      <c r="AM6" t="s">
        <v>6</v>
      </c>
      <c r="AN6">
        <f>AJ2</f>
        <v>400000</v>
      </c>
    </row>
    <row r="7" spans="1:72" x14ac:dyDescent="0.2">
      <c r="A7" t="s">
        <v>25</v>
      </c>
      <c r="B7">
        <f>-AJ2*AJ6*AN3</f>
        <v>-20000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 t="s">
        <v>28</v>
      </c>
      <c r="AJ7" s="4">
        <v>0.01</v>
      </c>
      <c r="AK7">
        <f>AJ2*AJ7</f>
        <v>4000</v>
      </c>
      <c r="AM7" t="s">
        <v>2</v>
      </c>
      <c r="AN7">
        <f>AN3</f>
        <v>1</v>
      </c>
    </row>
    <row r="8" spans="1:72" x14ac:dyDescent="0.2">
      <c r="A8" t="s">
        <v>43</v>
      </c>
      <c r="B8">
        <v>0</v>
      </c>
      <c r="C8">
        <f>$B$7/5</f>
        <v>-4000</v>
      </c>
      <c r="D8">
        <f t="shared" ref="D8:G8" si="10">$B$7/5</f>
        <v>-4000</v>
      </c>
      <c r="E8">
        <f t="shared" si="10"/>
        <v>-4000</v>
      </c>
      <c r="F8">
        <f t="shared" si="10"/>
        <v>-4000</v>
      </c>
      <c r="G8">
        <f t="shared" si="10"/>
        <v>-4000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J8" s="4"/>
    </row>
    <row r="9" spans="1:72" x14ac:dyDescent="0.2">
      <c r="A9" t="s">
        <v>38</v>
      </c>
      <c r="B9">
        <f>-AJ2*AJ3</f>
        <v>-4000</v>
      </c>
      <c r="C9">
        <f>B9*(1+$AJ$4)</f>
        <v>-4040</v>
      </c>
      <c r="D9">
        <f t="shared" ref="D9:AG9" si="11">C9*(1+$AJ$4)</f>
        <v>-4080.4</v>
      </c>
      <c r="E9">
        <f t="shared" si="11"/>
        <v>-4121.2039999999997</v>
      </c>
      <c r="F9">
        <f t="shared" si="11"/>
        <v>-4162.4160400000001</v>
      </c>
      <c r="G9">
        <f t="shared" si="11"/>
        <v>-4204.0402003999998</v>
      </c>
      <c r="H9">
        <f t="shared" si="11"/>
        <v>-4246.0806024039994</v>
      </c>
      <c r="I9">
        <f t="shared" si="11"/>
        <v>-4288.5414084280392</v>
      </c>
      <c r="J9">
        <f t="shared" si="11"/>
        <v>-4331.4268225123196</v>
      </c>
      <c r="K9">
        <f t="shared" si="11"/>
        <v>-4374.7410907374433</v>
      </c>
      <c r="L9">
        <f t="shared" si="11"/>
        <v>-4418.4885016448179</v>
      </c>
      <c r="M9">
        <f t="shared" si="11"/>
        <v>-4462.6733866612658</v>
      </c>
      <c r="N9">
        <f t="shared" si="11"/>
        <v>-4507.3001205278788</v>
      </c>
      <c r="O9">
        <f t="shared" si="11"/>
        <v>-4552.3731217331579</v>
      </c>
      <c r="P9">
        <f t="shared" si="11"/>
        <v>-4597.8968529504891</v>
      </c>
      <c r="Q9">
        <f t="shared" si="11"/>
        <v>-4643.8758214799936</v>
      </c>
      <c r="R9">
        <f t="shared" si="11"/>
        <v>-4690.3145796947938</v>
      </c>
      <c r="S9">
        <f t="shared" si="11"/>
        <v>-4737.2177254917415</v>
      </c>
      <c r="T9">
        <f t="shared" si="11"/>
        <v>-4784.5899027466585</v>
      </c>
      <c r="U9">
        <f t="shared" si="11"/>
        <v>-4832.4358017741251</v>
      </c>
      <c r="V9">
        <f t="shared" si="11"/>
        <v>-4880.7601597918665</v>
      </c>
      <c r="W9">
        <f t="shared" si="11"/>
        <v>-4929.5677613897851</v>
      </c>
      <c r="X9">
        <f t="shared" si="11"/>
        <v>-4978.8634390036832</v>
      </c>
      <c r="Y9">
        <f t="shared" si="11"/>
        <v>-5028.6520733937205</v>
      </c>
      <c r="Z9">
        <f t="shared" si="11"/>
        <v>-5078.9385941276578</v>
      </c>
      <c r="AA9">
        <f t="shared" si="11"/>
        <v>-5129.7279800689348</v>
      </c>
      <c r="AB9">
        <f t="shared" si="11"/>
        <v>-5181.0252598696243</v>
      </c>
      <c r="AC9">
        <f t="shared" si="11"/>
        <v>-5232.8355124683203</v>
      </c>
      <c r="AD9">
        <f t="shared" si="11"/>
        <v>-5285.1638675930035</v>
      </c>
      <c r="AE9">
        <f t="shared" si="11"/>
        <v>-5338.0155062689337</v>
      </c>
      <c r="AF9">
        <f t="shared" si="11"/>
        <v>-5391.3956613316232</v>
      </c>
      <c r="AG9">
        <f t="shared" si="11"/>
        <v>-5445.3096179449394</v>
      </c>
      <c r="AJ9" s="4"/>
    </row>
    <row r="10" spans="1:72" x14ac:dyDescent="0.2">
      <c r="A10" t="s">
        <v>36</v>
      </c>
      <c r="B10">
        <f>-$AJ$10</f>
        <v>-200</v>
      </c>
      <c r="C10">
        <f>B10*(1+$AN$4)</f>
        <v>-204.99999999999997</v>
      </c>
      <c r="D10">
        <f t="shared" ref="D10:AG10" si="12">C10*(1+$AN$4)</f>
        <v>-210.12499999999994</v>
      </c>
      <c r="E10">
        <f t="shared" si="12"/>
        <v>-215.37812499999993</v>
      </c>
      <c r="F10">
        <f t="shared" si="12"/>
        <v>-220.76257812499992</v>
      </c>
      <c r="G10">
        <f t="shared" si="12"/>
        <v>-226.28164257812489</v>
      </c>
      <c r="H10">
        <f t="shared" si="12"/>
        <v>-231.93868364257798</v>
      </c>
      <c r="I10">
        <f t="shared" si="12"/>
        <v>-237.73715073364241</v>
      </c>
      <c r="J10">
        <f t="shared" si="12"/>
        <v>-243.68057950198346</v>
      </c>
      <c r="K10">
        <f t="shared" si="12"/>
        <v>-249.77259398953302</v>
      </c>
      <c r="L10">
        <f t="shared" si="12"/>
        <v>-256.01690883927131</v>
      </c>
      <c r="M10">
        <f t="shared" si="12"/>
        <v>-262.41733156025305</v>
      </c>
      <c r="N10">
        <f t="shared" si="12"/>
        <v>-268.97776484925936</v>
      </c>
      <c r="O10">
        <f t="shared" si="12"/>
        <v>-275.7022089704908</v>
      </c>
      <c r="P10">
        <f t="shared" si="12"/>
        <v>-282.59476419475305</v>
      </c>
      <c r="Q10">
        <f t="shared" si="12"/>
        <v>-289.65963329962187</v>
      </c>
      <c r="R10">
        <f t="shared" si="12"/>
        <v>-296.90112413211239</v>
      </c>
      <c r="S10">
        <f t="shared" si="12"/>
        <v>-304.32365223541518</v>
      </c>
      <c r="T10">
        <f t="shared" si="12"/>
        <v>-311.93174354130053</v>
      </c>
      <c r="U10">
        <f t="shared" si="12"/>
        <v>-319.73003712983302</v>
      </c>
      <c r="V10">
        <f t="shared" si="12"/>
        <v>-327.72328805807882</v>
      </c>
      <c r="W10">
        <f t="shared" si="12"/>
        <v>-335.91637025953077</v>
      </c>
      <c r="X10">
        <f t="shared" si="12"/>
        <v>-344.31427951601898</v>
      </c>
      <c r="Y10">
        <f t="shared" si="12"/>
        <v>-352.92213650391943</v>
      </c>
      <c r="Z10">
        <f t="shared" si="12"/>
        <v>-361.7451899165174</v>
      </c>
      <c r="AA10">
        <f t="shared" si="12"/>
        <v>-370.78881966443032</v>
      </c>
      <c r="AB10">
        <f t="shared" si="12"/>
        <v>-380.05854015604103</v>
      </c>
      <c r="AC10">
        <f t="shared" si="12"/>
        <v>-389.56000365994203</v>
      </c>
      <c r="AD10">
        <f t="shared" si="12"/>
        <v>-399.29900375144052</v>
      </c>
      <c r="AE10">
        <f t="shared" si="12"/>
        <v>-409.2814788452265</v>
      </c>
      <c r="AF10">
        <f t="shared" si="12"/>
        <v>-419.51351581635714</v>
      </c>
      <c r="AG10">
        <f t="shared" si="12"/>
        <v>-430.00135371176606</v>
      </c>
      <c r="AI10" t="s">
        <v>36</v>
      </c>
      <c r="AJ10">
        <f>200</f>
        <v>200</v>
      </c>
    </row>
    <row r="11" spans="1:72" x14ac:dyDescent="0.2">
      <c r="A11" t="s">
        <v>26</v>
      </c>
      <c r="B11">
        <v>0</v>
      </c>
      <c r="C11">
        <v>0</v>
      </c>
      <c r="D11">
        <f>-AN26</f>
        <v>-4000</v>
      </c>
      <c r="E11">
        <f>D11*(1+$AN$4)</f>
        <v>-4100</v>
      </c>
      <c r="F11">
        <f t="shared" ref="F11:AG11" si="13">E11*(1+$AN$4)</f>
        <v>-4202.5</v>
      </c>
      <c r="G11">
        <f t="shared" si="13"/>
        <v>-4307.5625</v>
      </c>
      <c r="H11">
        <f t="shared" si="13"/>
        <v>-4415.2515624999996</v>
      </c>
      <c r="I11">
        <f t="shared" si="13"/>
        <v>-4525.6328515624991</v>
      </c>
      <c r="J11">
        <f t="shared" si="13"/>
        <v>-4638.7736728515611</v>
      </c>
      <c r="K11">
        <f t="shared" si="13"/>
        <v>-4754.7430146728493</v>
      </c>
      <c r="L11">
        <f t="shared" si="13"/>
        <v>-4873.6115900396699</v>
      </c>
      <c r="M11">
        <f t="shared" si="13"/>
        <v>-4995.4518797906612</v>
      </c>
      <c r="N11">
        <f t="shared" si="13"/>
        <v>-5120.3381767854271</v>
      </c>
      <c r="O11">
        <f t="shared" si="13"/>
        <v>-5248.3466312050623</v>
      </c>
      <c r="P11">
        <f t="shared" si="13"/>
        <v>-5379.5552969851888</v>
      </c>
      <c r="Q11">
        <f t="shared" si="13"/>
        <v>-5514.0441794098178</v>
      </c>
      <c r="R11">
        <f t="shared" si="13"/>
        <v>-5651.8952838950627</v>
      </c>
      <c r="S11">
        <f t="shared" si="13"/>
        <v>-5793.1926659924384</v>
      </c>
      <c r="T11">
        <f t="shared" si="13"/>
        <v>-5938.0224826422491</v>
      </c>
      <c r="U11">
        <f t="shared" si="13"/>
        <v>-6086.4730447083048</v>
      </c>
      <c r="V11">
        <f t="shared" si="13"/>
        <v>-6238.634870826012</v>
      </c>
      <c r="W11">
        <f t="shared" si="13"/>
        <v>-6394.6007425966618</v>
      </c>
      <c r="X11">
        <f t="shared" si="13"/>
        <v>-6554.4657611615776</v>
      </c>
      <c r="Y11">
        <f t="shared" si="13"/>
        <v>-6718.3274051906164</v>
      </c>
      <c r="Z11">
        <f t="shared" si="13"/>
        <v>-6886.2855903203808</v>
      </c>
      <c r="AA11">
        <f t="shared" si="13"/>
        <v>-7058.44273007839</v>
      </c>
      <c r="AB11">
        <f t="shared" si="13"/>
        <v>-7234.9037983303488</v>
      </c>
      <c r="AC11">
        <f t="shared" si="13"/>
        <v>-7415.7763932886064</v>
      </c>
      <c r="AD11">
        <f t="shared" si="13"/>
        <v>-7601.1708031208209</v>
      </c>
      <c r="AE11">
        <f t="shared" si="13"/>
        <v>-7791.200073198841</v>
      </c>
      <c r="AF11">
        <f t="shared" si="13"/>
        <v>-7985.9800750288114</v>
      </c>
      <c r="AG11">
        <f t="shared" si="13"/>
        <v>-8185.6295769045309</v>
      </c>
      <c r="AI11" t="s">
        <v>29</v>
      </c>
      <c r="AJ11" s="2">
        <v>0.05</v>
      </c>
      <c r="AM11" t="s">
        <v>7</v>
      </c>
      <c r="AN11" s="2">
        <v>0.2</v>
      </c>
    </row>
    <row r="12" spans="1:72" ht="15.75" thickBot="1" x14ac:dyDescent="0.25">
      <c r="A12" s="7" t="s">
        <v>33</v>
      </c>
      <c r="B12" s="7">
        <v>0</v>
      </c>
      <c r="C12" s="7">
        <f>-AN28*12</f>
        <v>-4800</v>
      </c>
      <c r="D12" s="7">
        <f>C12*(1+$AN$4)</f>
        <v>-4920</v>
      </c>
      <c r="E12" s="7">
        <f t="shared" ref="E12:AG12" si="14">D12*(1+$AN$4)</f>
        <v>-5043</v>
      </c>
      <c r="F12" s="7">
        <f t="shared" si="14"/>
        <v>-5169.0749999999998</v>
      </c>
      <c r="G12" s="7">
        <f t="shared" si="14"/>
        <v>-5298.3018749999992</v>
      </c>
      <c r="H12" s="7">
        <f t="shared" si="14"/>
        <v>-5430.7594218749991</v>
      </c>
      <c r="I12" s="7">
        <f t="shared" si="14"/>
        <v>-5566.5284074218735</v>
      </c>
      <c r="J12" s="7">
        <f t="shared" si="14"/>
        <v>-5705.6916176074201</v>
      </c>
      <c r="K12" s="7">
        <f t="shared" si="14"/>
        <v>-5848.3339080476053</v>
      </c>
      <c r="L12" s="7">
        <f t="shared" si="14"/>
        <v>-5994.5422557487946</v>
      </c>
      <c r="M12" s="7">
        <f t="shared" si="14"/>
        <v>-6144.4058121425142</v>
      </c>
      <c r="N12" s="7">
        <f t="shared" si="14"/>
        <v>-6298.0159574460768</v>
      </c>
      <c r="O12" s="7">
        <f t="shared" si="14"/>
        <v>-6455.4663563822278</v>
      </c>
      <c r="P12" s="7">
        <f t="shared" si="14"/>
        <v>-6616.8530152917829</v>
      </c>
      <c r="Q12" s="7">
        <f t="shared" si="14"/>
        <v>-6782.2743406740765</v>
      </c>
      <c r="R12" s="7">
        <f t="shared" si="14"/>
        <v>-6951.8311991909277</v>
      </c>
      <c r="S12" s="7">
        <f t="shared" si="14"/>
        <v>-7125.6269791707</v>
      </c>
      <c r="T12" s="7">
        <f t="shared" si="14"/>
        <v>-7303.7676536499666</v>
      </c>
      <c r="U12" s="7">
        <f t="shared" si="14"/>
        <v>-7486.3618449912155</v>
      </c>
      <c r="V12" s="7">
        <f t="shared" si="14"/>
        <v>-7673.5208911159953</v>
      </c>
      <c r="W12" s="7">
        <f t="shared" si="14"/>
        <v>-7865.3589133938949</v>
      </c>
      <c r="X12" s="7">
        <f t="shared" si="14"/>
        <v>-8061.9928862287416</v>
      </c>
      <c r="Y12" s="7">
        <f t="shared" si="14"/>
        <v>-8263.5427083844588</v>
      </c>
      <c r="Z12" s="7">
        <f t="shared" si="14"/>
        <v>-8470.1312760940691</v>
      </c>
      <c r="AA12" s="7">
        <f t="shared" si="14"/>
        <v>-8681.88455799642</v>
      </c>
      <c r="AB12" s="7">
        <f t="shared" si="14"/>
        <v>-8898.9316719463295</v>
      </c>
      <c r="AC12" s="7">
        <f t="shared" si="14"/>
        <v>-9121.4049637449862</v>
      </c>
      <c r="AD12" s="7">
        <f t="shared" si="14"/>
        <v>-9349.4400878386095</v>
      </c>
      <c r="AE12" s="7">
        <f t="shared" si="14"/>
        <v>-9583.1760900345744</v>
      </c>
      <c r="AF12" s="7">
        <f t="shared" si="14"/>
        <v>-9822.7554922854379</v>
      </c>
      <c r="AG12" s="7">
        <f t="shared" si="14"/>
        <v>-10068.324379592574</v>
      </c>
      <c r="AI12" t="s">
        <v>30</v>
      </c>
      <c r="AM12" t="s">
        <v>12</v>
      </c>
      <c r="AN12">
        <f>AN6*AN7*(1-AN11)</f>
        <v>320000</v>
      </c>
    </row>
    <row r="13" spans="1:72" x14ac:dyDescent="0.2">
      <c r="A13" s="9" t="s">
        <v>39</v>
      </c>
      <c r="B13" s="9">
        <f t="shared" ref="B13:AG13" si="15">SUM(B2:B12)</f>
        <v>-106200</v>
      </c>
      <c r="C13" s="9">
        <f t="shared" si="15"/>
        <v>9163.1741547270576</v>
      </c>
      <c r="D13" s="9">
        <f t="shared" si="15"/>
        <v>6079.2049892374434</v>
      </c>
      <c r="E13" s="9">
        <f t="shared" si="15"/>
        <v>6918.6783946105952</v>
      </c>
      <c r="F13" s="9">
        <f t="shared" si="15"/>
        <v>7779.6821451180704</v>
      </c>
      <c r="G13" s="9">
        <f t="shared" si="15"/>
        <v>8662.7561152482322</v>
      </c>
      <c r="H13" s="9">
        <f t="shared" si="15"/>
        <v>13568.453577933044</v>
      </c>
      <c r="I13" s="9">
        <f t="shared" si="15"/>
        <v>14497.341535087682</v>
      </c>
      <c r="J13" s="9">
        <f t="shared" si="15"/>
        <v>15450.001056266246</v>
      </c>
      <c r="K13" s="9">
        <f t="shared" si="15"/>
        <v>16427.027625631999</v>
      </c>
      <c r="L13" s="9">
        <f t="shared" si="15"/>
        <v>17429.031497445303</v>
      </c>
      <c r="M13" s="9">
        <f t="shared" si="15"/>
        <v>18456.638060277193</v>
      </c>
      <c r="N13" s="9">
        <f t="shared" si="15"/>
        <v>19510.48821016189</v>
      </c>
      <c r="O13" s="9">
        <f t="shared" si="15"/>
        <v>20591.23873290656</v>
      </c>
      <c r="P13" s="9">
        <f t="shared" si="15"/>
        <v>21699.562695781919</v>
      </c>
      <c r="Q13" s="9">
        <f t="shared" si="15"/>
        <v>22836.149848822661</v>
      </c>
      <c r="R13" s="9">
        <f t="shared" si="15"/>
        <v>24001.707035972468</v>
      </c>
      <c r="S13" s="9">
        <f t="shared" si="15"/>
        <v>25196.958616313917</v>
      </c>
      <c r="T13" s="9">
        <f t="shared" si="15"/>
        <v>26422.64689562919</v>
      </c>
      <c r="U13" s="9">
        <f t="shared" si="15"/>
        <v>27679.532568544135</v>
      </c>
      <c r="V13" s="9">
        <f t="shared" si="15"/>
        <v>28968.395171513417</v>
      </c>
      <c r="W13" s="9">
        <f t="shared" si="15"/>
        <v>30290.033546911698</v>
      </c>
      <c r="X13" s="9">
        <f t="shared" si="15"/>
        <v>31645.266318501453</v>
      </c>
      <c r="Y13" s="9">
        <f t="shared" si="15"/>
        <v>33034.932378555081</v>
      </c>
      <c r="Z13" s="9">
        <f t="shared" si="15"/>
        <v>34459.8913869155</v>
      </c>
      <c r="AA13" s="9">
        <f t="shared" si="15"/>
        <v>35921.02428228614</v>
      </c>
      <c r="AB13" s="9">
        <f t="shared" si="15"/>
        <v>37419.233806048811</v>
      </c>
      <c r="AC13" s="9">
        <f t="shared" si="15"/>
        <v>38955.445038914622</v>
      </c>
      <c r="AD13" s="9">
        <f t="shared" si="15"/>
        <v>40530.605950720717</v>
      </c>
      <c r="AE13" s="9">
        <f t="shared" si="15"/>
        <v>42145.687963693177</v>
      </c>
      <c r="AF13" s="9">
        <f t="shared" si="15"/>
        <v>43801.686529504484</v>
      </c>
      <c r="AG13" s="9">
        <f t="shared" si="15"/>
        <v>66316.080946149683</v>
      </c>
      <c r="AI13" t="s">
        <v>32</v>
      </c>
      <c r="AJ13">
        <v>-0.2</v>
      </c>
    </row>
    <row r="14" spans="1:72" x14ac:dyDescent="0.2">
      <c r="A14" t="s">
        <v>41</v>
      </c>
      <c r="B14">
        <v>0</v>
      </c>
      <c r="AG14">
        <v>0</v>
      </c>
    </row>
    <row r="15" spans="1:72" x14ac:dyDescent="0.2">
      <c r="A15" t="s">
        <v>42</v>
      </c>
      <c r="B15">
        <f>B13-B14</f>
        <v>-106200</v>
      </c>
      <c r="C15">
        <f>C13-C14</f>
        <v>9163.1741547270576</v>
      </c>
      <c r="D15">
        <f t="shared" ref="D15:AG15" si="16">D13-D14</f>
        <v>6079.2049892374434</v>
      </c>
      <c r="E15">
        <f t="shared" si="16"/>
        <v>6918.6783946105952</v>
      </c>
      <c r="F15">
        <f t="shared" si="16"/>
        <v>7779.6821451180704</v>
      </c>
      <c r="G15">
        <f t="shared" si="16"/>
        <v>8662.7561152482322</v>
      </c>
      <c r="H15">
        <f t="shared" si="16"/>
        <v>13568.453577933044</v>
      </c>
      <c r="I15">
        <f t="shared" si="16"/>
        <v>14497.341535087682</v>
      </c>
      <c r="J15">
        <f t="shared" si="16"/>
        <v>15450.001056266246</v>
      </c>
      <c r="K15">
        <f t="shared" si="16"/>
        <v>16427.027625631999</v>
      </c>
      <c r="L15">
        <f t="shared" si="16"/>
        <v>17429.031497445303</v>
      </c>
      <c r="M15">
        <f t="shared" si="16"/>
        <v>18456.638060277193</v>
      </c>
      <c r="N15">
        <f t="shared" si="16"/>
        <v>19510.48821016189</v>
      </c>
      <c r="O15">
        <f t="shared" si="16"/>
        <v>20591.23873290656</v>
      </c>
      <c r="P15">
        <f t="shared" si="16"/>
        <v>21699.562695781919</v>
      </c>
      <c r="Q15">
        <f t="shared" si="16"/>
        <v>22836.149848822661</v>
      </c>
      <c r="R15">
        <f t="shared" si="16"/>
        <v>24001.707035972468</v>
      </c>
      <c r="S15">
        <f t="shared" si="16"/>
        <v>25196.958616313917</v>
      </c>
      <c r="T15">
        <f t="shared" si="16"/>
        <v>26422.64689562919</v>
      </c>
      <c r="U15">
        <f t="shared" si="16"/>
        <v>27679.532568544135</v>
      </c>
      <c r="V15">
        <f t="shared" si="16"/>
        <v>28968.395171513417</v>
      </c>
      <c r="W15">
        <f t="shared" si="16"/>
        <v>30290.033546911698</v>
      </c>
      <c r="X15">
        <f t="shared" si="16"/>
        <v>31645.266318501453</v>
      </c>
      <c r="Y15">
        <f t="shared" si="16"/>
        <v>33034.932378555081</v>
      </c>
      <c r="Z15">
        <f t="shared" si="16"/>
        <v>34459.8913869155</v>
      </c>
      <c r="AA15">
        <f t="shared" si="16"/>
        <v>35921.02428228614</v>
      </c>
      <c r="AB15">
        <f t="shared" si="16"/>
        <v>37419.233806048811</v>
      </c>
      <c r="AC15">
        <f t="shared" si="16"/>
        <v>38955.445038914622</v>
      </c>
      <c r="AD15">
        <f t="shared" si="16"/>
        <v>40530.605950720717</v>
      </c>
      <c r="AE15">
        <f t="shared" si="16"/>
        <v>42145.687963693177</v>
      </c>
      <c r="AF15">
        <f t="shared" si="16"/>
        <v>43801.686529504484</v>
      </c>
      <c r="AG15">
        <f t="shared" si="16"/>
        <v>66316.080946149683</v>
      </c>
    </row>
    <row r="16" spans="1:72" ht="15.75" thickBot="1" x14ac:dyDescent="0.25">
      <c r="A16" s="7" t="s">
        <v>40</v>
      </c>
      <c r="B16" s="7"/>
      <c r="C16" s="7">
        <f>C15*$AJ$1</f>
        <v>2748.9522464181173</v>
      </c>
      <c r="D16" s="7">
        <f t="shared" ref="D16:AG16" si="17">D15*$AJ$1</f>
        <v>1823.7614967712329</v>
      </c>
      <c r="E16" s="7">
        <f t="shared" si="17"/>
        <v>2075.6035183831787</v>
      </c>
      <c r="F16" s="7">
        <f t="shared" si="17"/>
        <v>2333.9046435354212</v>
      </c>
      <c r="G16" s="7">
        <f t="shared" si="17"/>
        <v>2598.8268345744696</v>
      </c>
      <c r="H16" s="7">
        <f t="shared" si="17"/>
        <v>4070.536073379913</v>
      </c>
      <c r="I16" s="7">
        <f t="shared" si="17"/>
        <v>4349.2024605263041</v>
      </c>
      <c r="J16" s="7">
        <f t="shared" si="17"/>
        <v>4635.0003168798739</v>
      </c>
      <c r="K16" s="7">
        <f t="shared" si="17"/>
        <v>4928.1082876895998</v>
      </c>
      <c r="L16" s="7">
        <f t="shared" si="17"/>
        <v>5228.7094492335909</v>
      </c>
      <c r="M16" s="7">
        <f t="shared" si="17"/>
        <v>5536.9914180831574</v>
      </c>
      <c r="N16" s="7">
        <f t="shared" si="17"/>
        <v>5853.1464630485671</v>
      </c>
      <c r="O16" s="7">
        <f t="shared" si="17"/>
        <v>6177.3716198719676</v>
      </c>
      <c r="P16" s="7">
        <f t="shared" si="17"/>
        <v>6509.8688087345754</v>
      </c>
      <c r="Q16" s="7">
        <f t="shared" si="17"/>
        <v>6850.8449546467982</v>
      </c>
      <c r="R16" s="7">
        <f t="shared" si="17"/>
        <v>7200.5121107917403</v>
      </c>
      <c r="S16" s="7">
        <f t="shared" si="17"/>
        <v>7559.0875848941751</v>
      </c>
      <c r="T16" s="7">
        <f t="shared" si="17"/>
        <v>7926.7940686887569</v>
      </c>
      <c r="U16" s="7">
        <f t="shared" si="17"/>
        <v>8303.8597705632401</v>
      </c>
      <c r="V16" s="7">
        <f t="shared" si="17"/>
        <v>8690.5185514540244</v>
      </c>
      <c r="W16" s="7">
        <f t="shared" si="17"/>
        <v>9087.0100640735091</v>
      </c>
      <c r="X16" s="7">
        <f t="shared" si="17"/>
        <v>9493.579895550436</v>
      </c>
      <c r="Y16" s="7">
        <f t="shared" si="17"/>
        <v>9910.4797135665231</v>
      </c>
      <c r="Z16" s="7">
        <f t="shared" si="17"/>
        <v>10337.967416074649</v>
      </c>
      <c r="AA16" s="7">
        <f t="shared" si="17"/>
        <v>10776.307284685841</v>
      </c>
      <c r="AB16" s="7">
        <f t="shared" si="17"/>
        <v>11225.770141814643</v>
      </c>
      <c r="AC16" s="7">
        <f t="shared" si="17"/>
        <v>11686.633511674387</v>
      </c>
      <c r="AD16" s="7">
        <f t="shared" si="17"/>
        <v>12159.181785216215</v>
      </c>
      <c r="AE16" s="7">
        <f t="shared" si="17"/>
        <v>12643.706389107952</v>
      </c>
      <c r="AF16" s="7">
        <f t="shared" si="17"/>
        <v>13140.505958851345</v>
      </c>
      <c r="AG16" s="7">
        <f t="shared" si="17"/>
        <v>19894.824283844904</v>
      </c>
      <c r="AI16" t="s">
        <v>31</v>
      </c>
      <c r="AJ16" s="6">
        <f>AJ11*EXP(-AJ13)</f>
        <v>6.1070137908008498E-2</v>
      </c>
      <c r="AL16" s="1" t="s">
        <v>8</v>
      </c>
      <c r="AM16" t="s">
        <v>10</v>
      </c>
      <c r="AN16">
        <v>1734.7049354740443</v>
      </c>
    </row>
    <row r="17" spans="1:41" x14ac:dyDescent="0.2">
      <c r="A17" t="s">
        <v>37</v>
      </c>
      <c r="B17">
        <f>B15-B16</f>
        <v>-106200</v>
      </c>
      <c r="C17">
        <f t="shared" ref="C17:E17" si="18">C15-C16</f>
        <v>6414.2219083089403</v>
      </c>
      <c r="D17">
        <f t="shared" si="18"/>
        <v>4255.443492466211</v>
      </c>
      <c r="E17">
        <f t="shared" si="18"/>
        <v>4843.0748762274161</v>
      </c>
      <c r="F17">
        <f t="shared" ref="F17" si="19">F15-F16</f>
        <v>5445.7775015826492</v>
      </c>
      <c r="G17">
        <f t="shared" ref="G17" si="20">G15-G16</f>
        <v>6063.9292806737631</v>
      </c>
      <c r="H17">
        <f t="shared" ref="H17" si="21">H15-H16</f>
        <v>9497.9175045531301</v>
      </c>
      <c r="I17">
        <f t="shared" ref="I17" si="22">I15-I16</f>
        <v>10148.139074561379</v>
      </c>
      <c r="J17">
        <f t="shared" ref="J17" si="23">J15-J16</f>
        <v>10815.000739386373</v>
      </c>
      <c r="K17">
        <f t="shared" ref="K17" si="24">K15-K16</f>
        <v>11498.9193379424</v>
      </c>
      <c r="L17">
        <f t="shared" ref="L17" si="25">L15-L16</f>
        <v>12200.322048211712</v>
      </c>
      <c r="M17">
        <f t="shared" ref="M17" si="26">M15-M16</f>
        <v>12919.646642194035</v>
      </c>
      <c r="N17">
        <f t="shared" ref="N17" si="27">N15-N16</f>
        <v>13657.341747113322</v>
      </c>
      <c r="O17">
        <f t="shared" ref="O17" si="28">O15-O16</f>
        <v>14413.867113034594</v>
      </c>
      <c r="P17">
        <f t="shared" ref="P17" si="29">P15-P16</f>
        <v>15189.693887047342</v>
      </c>
      <c r="Q17">
        <f t="shared" ref="Q17" si="30">Q15-Q16</f>
        <v>15985.304894175863</v>
      </c>
      <c r="R17">
        <f t="shared" ref="R17" si="31">R15-R16</f>
        <v>16801.194925180727</v>
      </c>
      <c r="S17">
        <f t="shared" ref="S17" si="32">S15-S16</f>
        <v>17637.871031419741</v>
      </c>
      <c r="T17">
        <f t="shared" ref="T17" si="33">T15-T16</f>
        <v>18495.852826940434</v>
      </c>
      <c r="U17">
        <f t="shared" ref="U17" si="34">U15-U16</f>
        <v>19375.672797980893</v>
      </c>
      <c r="V17">
        <f t="shared" ref="V17" si="35">V15-V16</f>
        <v>20277.876620059393</v>
      </c>
      <c r="W17">
        <f t="shared" ref="W17" si="36">W15-W16</f>
        <v>21203.023482838187</v>
      </c>
      <c r="X17">
        <f t="shared" ref="X17" si="37">X15-X16</f>
        <v>22151.686422951017</v>
      </c>
      <c r="Y17">
        <f t="shared" ref="Y17" si="38">Y15-Y16</f>
        <v>23124.452664988559</v>
      </c>
      <c r="Z17">
        <f t="shared" ref="Z17" si="39">Z15-Z16</f>
        <v>24121.92397084085</v>
      </c>
      <c r="AA17">
        <f t="shared" ref="AA17" si="40">AA15-AA16</f>
        <v>25144.716997600299</v>
      </c>
      <c r="AB17">
        <f t="shared" ref="AB17" si="41">AB15-AB16</f>
        <v>26193.463664234168</v>
      </c>
      <c r="AC17">
        <f t="shared" ref="AC17" si="42">AC15-AC16</f>
        <v>27268.811527240236</v>
      </c>
      <c r="AD17">
        <f t="shared" ref="AD17" si="43">AD15-AD16</f>
        <v>28371.424165504504</v>
      </c>
      <c r="AE17">
        <f t="shared" ref="AE17" si="44">AE15-AE16</f>
        <v>29501.981574585225</v>
      </c>
      <c r="AF17">
        <f t="shared" ref="AF17" si="45">AF15-AF16</f>
        <v>30661.180570653138</v>
      </c>
      <c r="AG17">
        <f t="shared" ref="AG17" si="46">AG15-AG16</f>
        <v>46421.256662304775</v>
      </c>
      <c r="AI17" t="s">
        <v>34</v>
      </c>
      <c r="AJ17" s="2">
        <v>0.1</v>
      </c>
      <c r="AK17">
        <f>AN2*AJ17</f>
        <v>400</v>
      </c>
      <c r="AM17" t="s">
        <v>11</v>
      </c>
      <c r="AN17" s="2">
        <v>0.05</v>
      </c>
    </row>
    <row r="18" spans="1:41" ht="15.75" thickBot="1" x14ac:dyDescent="0.25">
      <c r="A18" s="7" t="s">
        <v>43</v>
      </c>
      <c r="B18" s="7">
        <v>0</v>
      </c>
      <c r="C18" s="7">
        <f>-C8</f>
        <v>4000</v>
      </c>
      <c r="D18" s="7">
        <f t="shared" ref="D18:AG18" si="47">-D8</f>
        <v>4000</v>
      </c>
      <c r="E18" s="7">
        <f t="shared" si="47"/>
        <v>4000</v>
      </c>
      <c r="F18" s="7">
        <f t="shared" si="47"/>
        <v>4000</v>
      </c>
      <c r="G18" s="7">
        <f t="shared" si="47"/>
        <v>4000</v>
      </c>
      <c r="H18" s="7">
        <f t="shared" si="47"/>
        <v>0</v>
      </c>
      <c r="I18" s="7">
        <f t="shared" si="47"/>
        <v>0</v>
      </c>
      <c r="J18" s="7">
        <f t="shared" si="47"/>
        <v>0</v>
      </c>
      <c r="K18" s="7">
        <f t="shared" si="47"/>
        <v>0</v>
      </c>
      <c r="L18" s="7">
        <f t="shared" si="47"/>
        <v>0</v>
      </c>
      <c r="M18" s="7">
        <f t="shared" si="47"/>
        <v>0</v>
      </c>
      <c r="N18" s="7">
        <f t="shared" si="47"/>
        <v>0</v>
      </c>
      <c r="O18" s="7">
        <f t="shared" si="47"/>
        <v>0</v>
      </c>
      <c r="P18" s="7">
        <f t="shared" si="47"/>
        <v>0</v>
      </c>
      <c r="Q18" s="7">
        <f t="shared" si="47"/>
        <v>0</v>
      </c>
      <c r="R18" s="7">
        <f t="shared" si="47"/>
        <v>0</v>
      </c>
      <c r="S18" s="7">
        <f t="shared" si="47"/>
        <v>0</v>
      </c>
      <c r="T18" s="7">
        <f t="shared" si="47"/>
        <v>0</v>
      </c>
      <c r="U18" s="7">
        <f t="shared" si="47"/>
        <v>0</v>
      </c>
      <c r="V18" s="7">
        <f t="shared" si="47"/>
        <v>0</v>
      </c>
      <c r="W18" s="7">
        <f t="shared" si="47"/>
        <v>0</v>
      </c>
      <c r="X18" s="7">
        <f t="shared" si="47"/>
        <v>0</v>
      </c>
      <c r="Y18" s="7">
        <f t="shared" si="47"/>
        <v>0</v>
      </c>
      <c r="Z18" s="7">
        <f t="shared" si="47"/>
        <v>0</v>
      </c>
      <c r="AA18" s="7">
        <f t="shared" si="47"/>
        <v>0</v>
      </c>
      <c r="AB18" s="7">
        <f t="shared" si="47"/>
        <v>0</v>
      </c>
      <c r="AC18" s="7">
        <f t="shared" si="47"/>
        <v>0</v>
      </c>
      <c r="AD18" s="7">
        <f t="shared" si="47"/>
        <v>0</v>
      </c>
      <c r="AE18" s="7">
        <f t="shared" si="47"/>
        <v>0</v>
      </c>
      <c r="AF18" s="7">
        <f t="shared" si="47"/>
        <v>0</v>
      </c>
      <c r="AG18" s="7">
        <f t="shared" si="47"/>
        <v>0</v>
      </c>
    </row>
    <row r="19" spans="1:41" x14ac:dyDescent="0.2">
      <c r="A19" t="s">
        <v>44</v>
      </c>
      <c r="B19">
        <f>B17+B18</f>
        <v>-106200</v>
      </c>
      <c r="C19">
        <f t="shared" ref="C19:AG19" si="48">C17+C18</f>
        <v>10414.22190830894</v>
      </c>
      <c r="D19">
        <f t="shared" si="48"/>
        <v>8255.443492466211</v>
      </c>
      <c r="E19">
        <f t="shared" si="48"/>
        <v>8843.0748762274161</v>
      </c>
      <c r="F19">
        <f t="shared" si="48"/>
        <v>9445.7775015826483</v>
      </c>
      <c r="G19">
        <f t="shared" si="48"/>
        <v>10063.929280673763</v>
      </c>
      <c r="H19">
        <f t="shared" si="48"/>
        <v>9497.9175045531301</v>
      </c>
      <c r="I19">
        <f t="shared" si="48"/>
        <v>10148.139074561379</v>
      </c>
      <c r="J19">
        <f t="shared" si="48"/>
        <v>10815.000739386373</v>
      </c>
      <c r="K19">
        <f t="shared" si="48"/>
        <v>11498.9193379424</v>
      </c>
      <c r="L19">
        <f t="shared" si="48"/>
        <v>12200.322048211712</v>
      </c>
      <c r="M19">
        <f t="shared" si="48"/>
        <v>12919.646642194035</v>
      </c>
      <c r="N19">
        <f t="shared" si="48"/>
        <v>13657.341747113322</v>
      </c>
      <c r="O19">
        <f t="shared" si="48"/>
        <v>14413.867113034594</v>
      </c>
      <c r="P19">
        <f t="shared" si="48"/>
        <v>15189.693887047342</v>
      </c>
      <c r="Q19">
        <f t="shared" si="48"/>
        <v>15985.304894175863</v>
      </c>
      <c r="R19">
        <f t="shared" si="48"/>
        <v>16801.194925180727</v>
      </c>
      <c r="S19">
        <f t="shared" si="48"/>
        <v>17637.871031419741</v>
      </c>
      <c r="T19">
        <f t="shared" si="48"/>
        <v>18495.852826940434</v>
      </c>
      <c r="U19">
        <f t="shared" si="48"/>
        <v>19375.672797980893</v>
      </c>
      <c r="V19">
        <f t="shared" si="48"/>
        <v>20277.876620059393</v>
      </c>
      <c r="W19">
        <f t="shared" si="48"/>
        <v>21203.023482838187</v>
      </c>
      <c r="X19">
        <f t="shared" si="48"/>
        <v>22151.686422951017</v>
      </c>
      <c r="Y19">
        <f t="shared" si="48"/>
        <v>23124.452664988559</v>
      </c>
      <c r="Z19">
        <f t="shared" si="48"/>
        <v>24121.92397084085</v>
      </c>
      <c r="AA19">
        <f t="shared" si="48"/>
        <v>25144.716997600299</v>
      </c>
      <c r="AB19">
        <f t="shared" si="48"/>
        <v>26193.463664234168</v>
      </c>
      <c r="AC19">
        <f t="shared" si="48"/>
        <v>27268.811527240236</v>
      </c>
      <c r="AD19">
        <f t="shared" si="48"/>
        <v>28371.424165504504</v>
      </c>
      <c r="AE19">
        <f t="shared" si="48"/>
        <v>29501.981574585225</v>
      </c>
      <c r="AF19">
        <f t="shared" si="48"/>
        <v>30661.180570653138</v>
      </c>
      <c r="AG19">
        <f t="shared" si="48"/>
        <v>46421.256662304775</v>
      </c>
      <c r="AI19" t="s">
        <v>46</v>
      </c>
      <c r="AJ19" s="2">
        <v>0.03</v>
      </c>
      <c r="AL19" s="1" t="s">
        <v>17</v>
      </c>
      <c r="AM19" t="s">
        <v>6</v>
      </c>
      <c r="AN19">
        <f>AN6</f>
        <v>400000</v>
      </c>
    </row>
    <row r="20" spans="1:41" x14ac:dyDescent="0.2">
      <c r="A20" t="s">
        <v>45</v>
      </c>
      <c r="B20" s="10">
        <f>NPV(AN17,C19:AF19,AG19+AG20)+B19</f>
        <v>658402.82660111436</v>
      </c>
      <c r="AG20">
        <f>AG19*(1+AJ19)/(AN17-AJ19)</f>
        <v>2390694.7181086955</v>
      </c>
      <c r="AM20" t="s">
        <v>2</v>
      </c>
      <c r="AN20">
        <f>AN7</f>
        <v>1</v>
      </c>
    </row>
    <row r="21" spans="1:41" x14ac:dyDescent="0.2">
      <c r="AM21" t="s">
        <v>18</v>
      </c>
      <c r="AN21" s="3">
        <v>3.0000000000000001E-3</v>
      </c>
      <c r="AO21">
        <f>AN19*AN21</f>
        <v>1200</v>
      </c>
    </row>
    <row r="22" spans="1:41" x14ac:dyDescent="0.2">
      <c r="AM22" t="s">
        <v>19</v>
      </c>
      <c r="AN22" s="5">
        <f>3%</f>
        <v>0.03</v>
      </c>
    </row>
    <row r="24" spans="1:41" x14ac:dyDescent="0.2">
      <c r="AL24" s="1" t="s">
        <v>20</v>
      </c>
      <c r="AN24">
        <f>AK5</f>
        <v>800</v>
      </c>
    </row>
    <row r="26" spans="1:41" x14ac:dyDescent="0.2">
      <c r="AL26" s="1" t="s">
        <v>26</v>
      </c>
      <c r="AN26">
        <f>AK7</f>
        <v>4000</v>
      </c>
    </row>
    <row r="28" spans="1:41" x14ac:dyDescent="0.2">
      <c r="AL28" s="1" t="s">
        <v>33</v>
      </c>
      <c r="AN28">
        <f>AK17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Zian He</dc:creator>
  <cp:lastModifiedBy>Zian He</cp:lastModifiedBy>
  <dcterms:created xsi:type="dcterms:W3CDTF">2023-04-19T18:05:53Z</dcterms:created>
  <dcterms:modified xsi:type="dcterms:W3CDTF">2023-04-20T01:29:11Z</dcterms:modified>
</cp:coreProperties>
</file>