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umd0-my.sharepoint.com/personal/zhe25_umd_edu/Documents/Course Documents/Spring 2023/Datathon/"/>
    </mc:Choice>
  </mc:AlternateContent>
  <xr:revisionPtr revIDLastSave="613" documentId="8_{87D12D7A-1C15-0E41-B030-B50595D4F104}" xr6:coauthVersionLast="47" xr6:coauthVersionMax="47" xr10:uidLastSave="{FC6970A5-EFC0-704A-B70F-00E8ED53BD45}"/>
  <bookViews>
    <workbookView xWindow="0" yWindow="760" windowWidth="30240" windowHeight="17440" xr2:uid="{AC10186E-C39F-DF44-8DC1-1823EF19206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5" i="1" l="1"/>
  <c r="G85" i="1"/>
  <c r="E85" i="1"/>
  <c r="D85" i="1"/>
  <c r="B87" i="1"/>
  <c r="B88" i="1" s="1"/>
  <c r="B89" i="1" s="1"/>
  <c r="B90" i="1" s="1"/>
  <c r="B91" i="1" s="1"/>
  <c r="B92" i="1" s="1"/>
  <c r="B93" i="1" s="1"/>
  <c r="B94" i="1" s="1"/>
  <c r="B95" i="1" s="1"/>
  <c r="B37" i="1"/>
  <c r="E26" i="1"/>
  <c r="C41" i="1" s="1"/>
  <c r="D41" i="1" s="1"/>
  <c r="E41" i="1" s="1"/>
  <c r="F41" i="1" s="1"/>
  <c r="G41" i="1" s="1"/>
  <c r="C54" i="1"/>
  <c r="D54" i="1" s="1"/>
  <c r="E54" i="1" s="1"/>
  <c r="F54" i="1" s="1"/>
  <c r="G54" i="1" s="1"/>
  <c r="H54" i="1" s="1"/>
  <c r="I54" i="1" s="1"/>
  <c r="J54" i="1" s="1"/>
  <c r="K54" i="1" s="1"/>
  <c r="L54" i="1" s="1"/>
  <c r="M54" i="1" s="1"/>
  <c r="N54" i="1" s="1"/>
  <c r="O54" i="1" s="1"/>
  <c r="P54" i="1" s="1"/>
  <c r="Q54" i="1" s="1"/>
  <c r="R54" i="1" s="1"/>
  <c r="S54" i="1" s="1"/>
  <c r="T54" i="1" s="1"/>
  <c r="U54" i="1" s="1"/>
  <c r="V54" i="1" s="1"/>
  <c r="W54" i="1" s="1"/>
  <c r="X54" i="1" s="1"/>
  <c r="Y54" i="1" s="1"/>
  <c r="Z54" i="1" s="1"/>
  <c r="AA54" i="1" s="1"/>
  <c r="AB54" i="1" s="1"/>
  <c r="AC54" i="1" s="1"/>
  <c r="AD54" i="1" s="1"/>
  <c r="AE54" i="1" s="1"/>
  <c r="AF54" i="1" s="1"/>
  <c r="AG54" i="1" s="1"/>
  <c r="B38" i="1"/>
  <c r="B48" i="1" s="1"/>
  <c r="C48" i="1" s="1"/>
  <c r="D48" i="1" s="1"/>
  <c r="E48" i="1" s="1"/>
  <c r="F48" i="1" s="1"/>
  <c r="G48" i="1" s="1"/>
  <c r="H48" i="1" s="1"/>
  <c r="I48" i="1" s="1"/>
  <c r="J48" i="1" s="1"/>
  <c r="K48" i="1" s="1"/>
  <c r="L48" i="1" s="1"/>
  <c r="M48" i="1" s="1"/>
  <c r="N48" i="1" s="1"/>
  <c r="O48" i="1" s="1"/>
  <c r="P48" i="1" s="1"/>
  <c r="Q48" i="1" s="1"/>
  <c r="R48" i="1" s="1"/>
  <c r="S48" i="1" s="1"/>
  <c r="T48" i="1" s="1"/>
  <c r="U48" i="1" s="1"/>
  <c r="V48" i="1" s="1"/>
  <c r="W48" i="1" s="1"/>
  <c r="X48" i="1" s="1"/>
  <c r="Y48" i="1" s="1"/>
  <c r="Z48" i="1" s="1"/>
  <c r="AA48" i="1" s="1"/>
  <c r="AB48" i="1" s="1"/>
  <c r="AC48" i="1" s="1"/>
  <c r="AD48" i="1" s="1"/>
  <c r="AE48" i="1" s="1"/>
  <c r="AF48" i="1" s="1"/>
  <c r="AG48" i="1" s="1"/>
  <c r="B51" i="1"/>
  <c r="B55" i="1" s="1"/>
  <c r="H65" i="1"/>
  <c r="I65" i="1"/>
  <c r="J65" i="1"/>
  <c r="K65" i="1"/>
  <c r="L65" i="1"/>
  <c r="M65" i="1"/>
  <c r="N65" i="1"/>
  <c r="O65" i="1"/>
  <c r="P65" i="1"/>
  <c r="Q65" i="1"/>
  <c r="R65" i="1"/>
  <c r="S65" i="1"/>
  <c r="T65" i="1"/>
  <c r="U65" i="1"/>
  <c r="V65" i="1"/>
  <c r="W65" i="1"/>
  <c r="X65" i="1"/>
  <c r="Y65" i="1"/>
  <c r="Z65" i="1"/>
  <c r="AA65" i="1"/>
  <c r="AB65" i="1"/>
  <c r="AC65" i="1"/>
  <c r="AD65" i="1"/>
  <c r="AE65" i="1"/>
  <c r="AF65" i="1"/>
  <c r="AG65" i="1"/>
  <c r="AJ48" i="1"/>
  <c r="AN45" i="1"/>
  <c r="AK45" i="1"/>
  <c r="AN44" i="1"/>
  <c r="AK43" i="1"/>
  <c r="BT41" i="1"/>
  <c r="BS41" i="1"/>
  <c r="BR41" i="1"/>
  <c r="BQ41" i="1"/>
  <c r="BP41" i="1"/>
  <c r="BO41" i="1"/>
  <c r="BN41" i="1"/>
  <c r="BM41" i="1"/>
  <c r="BL41" i="1"/>
  <c r="BK41" i="1"/>
  <c r="BJ41" i="1"/>
  <c r="BI41" i="1"/>
  <c r="BH41" i="1"/>
  <c r="BG41" i="1"/>
  <c r="BF41" i="1"/>
  <c r="BE41" i="1"/>
  <c r="BD41" i="1"/>
  <c r="BC41" i="1"/>
  <c r="BB41" i="1"/>
  <c r="BA41" i="1"/>
  <c r="AZ41" i="1"/>
  <c r="AY41" i="1"/>
  <c r="AX41" i="1"/>
  <c r="AW41" i="1"/>
  <c r="AV41" i="1"/>
  <c r="AU41" i="1"/>
  <c r="AT41" i="1"/>
  <c r="AS41" i="1"/>
  <c r="AR41" i="1"/>
  <c r="AQ41" i="1"/>
  <c r="AN41" i="1"/>
  <c r="B41" i="1"/>
  <c r="B28" i="1"/>
  <c r="B24" i="1"/>
  <c r="B45" i="1" s="1"/>
  <c r="C40" i="1"/>
  <c r="D40" i="1" s="1"/>
  <c r="E40" i="1" s="1"/>
  <c r="B7" i="1"/>
  <c r="D8" i="1" s="1"/>
  <c r="D18" i="1" s="1"/>
  <c r="K18" i="1"/>
  <c r="L18" i="1"/>
  <c r="M18" i="1"/>
  <c r="N18" i="1"/>
  <c r="O18" i="1"/>
  <c r="P18" i="1"/>
  <c r="Q18" i="1"/>
  <c r="R18" i="1"/>
  <c r="S18" i="1"/>
  <c r="T18" i="1"/>
  <c r="U18" i="1"/>
  <c r="V18" i="1"/>
  <c r="W18" i="1"/>
  <c r="X18" i="1"/>
  <c r="Y18" i="1"/>
  <c r="Z18" i="1"/>
  <c r="AA18" i="1"/>
  <c r="AB18" i="1"/>
  <c r="AC18" i="1"/>
  <c r="AD18" i="1"/>
  <c r="AE18" i="1"/>
  <c r="AF18" i="1"/>
  <c r="AG18" i="1"/>
  <c r="H18" i="1"/>
  <c r="I18" i="1"/>
  <c r="J18" i="1"/>
  <c r="B9" i="1"/>
  <c r="C9" i="1" s="1"/>
  <c r="D9" i="1" s="1"/>
  <c r="E9" i="1" s="1"/>
  <c r="F9" i="1" s="1"/>
  <c r="G9" i="1" s="1"/>
  <c r="H9" i="1" s="1"/>
  <c r="I9" i="1" s="1"/>
  <c r="J9" i="1" s="1"/>
  <c r="K9" i="1" s="1"/>
  <c r="L9" i="1" s="1"/>
  <c r="M9" i="1" s="1"/>
  <c r="N9" i="1" s="1"/>
  <c r="O9" i="1" s="1"/>
  <c r="P9" i="1" s="1"/>
  <c r="Q9" i="1" s="1"/>
  <c r="R9" i="1" s="1"/>
  <c r="S9" i="1" s="1"/>
  <c r="T9" i="1" s="1"/>
  <c r="U9" i="1" s="1"/>
  <c r="V9" i="1" s="1"/>
  <c r="W9" i="1" s="1"/>
  <c r="X9" i="1" s="1"/>
  <c r="Y9" i="1" s="1"/>
  <c r="Z9" i="1" s="1"/>
  <c r="AA9" i="1" s="1"/>
  <c r="AB9" i="1" s="1"/>
  <c r="AC9" i="1" s="1"/>
  <c r="AD9" i="1" s="1"/>
  <c r="AE9" i="1" s="1"/>
  <c r="AF9" i="1" s="1"/>
  <c r="AG9" i="1" s="1"/>
  <c r="AJ10" i="1"/>
  <c r="B10" i="1" s="1"/>
  <c r="C10" i="1" s="1"/>
  <c r="D10" i="1" s="1"/>
  <c r="E10" i="1" s="1"/>
  <c r="F10" i="1" s="1"/>
  <c r="G10" i="1" s="1"/>
  <c r="H10" i="1" s="1"/>
  <c r="I10" i="1" s="1"/>
  <c r="J10" i="1" s="1"/>
  <c r="K10" i="1" s="1"/>
  <c r="L10" i="1" s="1"/>
  <c r="M10" i="1" s="1"/>
  <c r="N10" i="1" s="1"/>
  <c r="O10" i="1" s="1"/>
  <c r="P10" i="1" s="1"/>
  <c r="Q10" i="1" s="1"/>
  <c r="R10" i="1" s="1"/>
  <c r="S10" i="1" s="1"/>
  <c r="T10" i="1" s="1"/>
  <c r="U10" i="1" s="1"/>
  <c r="V10" i="1" s="1"/>
  <c r="W10" i="1" s="1"/>
  <c r="X10" i="1" s="1"/>
  <c r="Y10" i="1" s="1"/>
  <c r="Z10" i="1" s="1"/>
  <c r="AA10" i="1" s="1"/>
  <c r="AB10" i="1" s="1"/>
  <c r="AC10" i="1" s="1"/>
  <c r="AD10" i="1" s="1"/>
  <c r="AE10" i="1" s="1"/>
  <c r="AF10" i="1" s="1"/>
  <c r="AG10" i="1" s="1"/>
  <c r="AJ16" i="1"/>
  <c r="AK7" i="1"/>
  <c r="AN55" i="1" s="1"/>
  <c r="D11" i="1" s="1"/>
  <c r="E11" i="1" s="1"/>
  <c r="F11" i="1" s="1"/>
  <c r="G11" i="1" s="1"/>
  <c r="H11" i="1" s="1"/>
  <c r="I11" i="1" s="1"/>
  <c r="J11" i="1" s="1"/>
  <c r="K11" i="1" s="1"/>
  <c r="L11" i="1" s="1"/>
  <c r="M11" i="1" s="1"/>
  <c r="N11" i="1" s="1"/>
  <c r="O11" i="1" s="1"/>
  <c r="P11" i="1" s="1"/>
  <c r="Q11" i="1" s="1"/>
  <c r="R11" i="1" s="1"/>
  <c r="S11" i="1" s="1"/>
  <c r="T11" i="1" s="1"/>
  <c r="U11" i="1" s="1"/>
  <c r="V11" i="1" s="1"/>
  <c r="W11" i="1" s="1"/>
  <c r="X11" i="1" s="1"/>
  <c r="Y11" i="1" s="1"/>
  <c r="Z11" i="1" s="1"/>
  <c r="AA11" i="1" s="1"/>
  <c r="AB11" i="1" s="1"/>
  <c r="AC11" i="1" s="1"/>
  <c r="AD11" i="1" s="1"/>
  <c r="AE11" i="1" s="1"/>
  <c r="AF11" i="1" s="1"/>
  <c r="AG11" i="1" s="1"/>
  <c r="AN2" i="1"/>
  <c r="C4" i="1"/>
  <c r="D4" i="1" s="1"/>
  <c r="E4" i="1" s="1"/>
  <c r="F4" i="1" s="1"/>
  <c r="G4" i="1" s="1"/>
  <c r="H4" i="1" s="1"/>
  <c r="I4" i="1" s="1"/>
  <c r="J4" i="1" s="1"/>
  <c r="K4" i="1" s="1"/>
  <c r="L4" i="1" s="1"/>
  <c r="M4" i="1" s="1"/>
  <c r="N4" i="1" s="1"/>
  <c r="O4" i="1" s="1"/>
  <c r="P4" i="1" s="1"/>
  <c r="Q4" i="1" s="1"/>
  <c r="R4" i="1" s="1"/>
  <c r="S4" i="1" s="1"/>
  <c r="T4" i="1" s="1"/>
  <c r="U4" i="1" s="1"/>
  <c r="V4" i="1" s="1"/>
  <c r="W4" i="1" s="1"/>
  <c r="X4" i="1" s="1"/>
  <c r="Y4" i="1" s="1"/>
  <c r="Z4" i="1" s="1"/>
  <c r="AA4" i="1" s="1"/>
  <c r="AB4" i="1" s="1"/>
  <c r="AC4" i="1" s="1"/>
  <c r="AD4" i="1" s="1"/>
  <c r="AE4" i="1" s="1"/>
  <c r="AF4" i="1" s="1"/>
  <c r="AK5" i="1"/>
  <c r="AN51" i="1" s="1"/>
  <c r="AN6" i="1"/>
  <c r="AN19" i="1" s="1"/>
  <c r="AO21" i="1" s="1"/>
  <c r="AN2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AQ2" i="1"/>
  <c r="AQ3" i="1" s="1"/>
  <c r="AR1" i="1"/>
  <c r="AN7" i="1"/>
  <c r="AN20" i="1" s="1"/>
  <c r="B2" i="1"/>
  <c r="C1" i="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AD1" i="1" s="1"/>
  <c r="AE1" i="1" s="1"/>
  <c r="AF1" i="1" s="1"/>
  <c r="AG1" i="1" s="1"/>
  <c r="C42" i="1" l="1"/>
  <c r="H41" i="1"/>
  <c r="I41" i="1" s="1"/>
  <c r="J41" i="1" s="1"/>
  <c r="K41" i="1" s="1"/>
  <c r="L41" i="1" s="1"/>
  <c r="M41" i="1" s="1"/>
  <c r="N41" i="1" s="1"/>
  <c r="O41" i="1" s="1"/>
  <c r="P41" i="1" s="1"/>
  <c r="Q41" i="1" s="1"/>
  <c r="R41" i="1" s="1"/>
  <c r="S41" i="1" s="1"/>
  <c r="T41" i="1" s="1"/>
  <c r="U41" i="1" s="1"/>
  <c r="V41" i="1" s="1"/>
  <c r="W41" i="1" s="1"/>
  <c r="X41" i="1" s="1"/>
  <c r="Y41" i="1" s="1"/>
  <c r="Z41" i="1" s="1"/>
  <c r="AA41" i="1" s="1"/>
  <c r="AB41" i="1" s="1"/>
  <c r="AC41" i="1" s="1"/>
  <c r="AD41" i="1" s="1"/>
  <c r="AE41" i="1" s="1"/>
  <c r="AF41" i="1" s="1"/>
  <c r="AG41" i="1" s="1"/>
  <c r="B43" i="1"/>
  <c r="D49" i="1"/>
  <c r="E49" i="1" s="1"/>
  <c r="F49" i="1" s="1"/>
  <c r="G49" i="1" s="1"/>
  <c r="H49" i="1" s="1"/>
  <c r="I49" i="1" s="1"/>
  <c r="J49" i="1" s="1"/>
  <c r="K49" i="1" s="1"/>
  <c r="L49" i="1" s="1"/>
  <c r="M49" i="1" s="1"/>
  <c r="N49" i="1" s="1"/>
  <c r="O49" i="1" s="1"/>
  <c r="P49" i="1" s="1"/>
  <c r="Q49" i="1" s="1"/>
  <c r="R49" i="1" s="1"/>
  <c r="S49" i="1" s="1"/>
  <c r="T49" i="1" s="1"/>
  <c r="U49" i="1" s="1"/>
  <c r="V49" i="1" s="1"/>
  <c r="W49" i="1" s="1"/>
  <c r="X49" i="1" s="1"/>
  <c r="Y49" i="1" s="1"/>
  <c r="Z49" i="1" s="1"/>
  <c r="AA49" i="1" s="1"/>
  <c r="AB49" i="1" s="1"/>
  <c r="AC49" i="1" s="1"/>
  <c r="AD49" i="1" s="1"/>
  <c r="AE49" i="1" s="1"/>
  <c r="AF49" i="1" s="1"/>
  <c r="AG49" i="1" s="1"/>
  <c r="B47" i="1"/>
  <c r="C47" i="1" s="1"/>
  <c r="D47" i="1" s="1"/>
  <c r="E47" i="1" s="1"/>
  <c r="F47" i="1" s="1"/>
  <c r="G47" i="1" s="1"/>
  <c r="H47" i="1" s="1"/>
  <c r="I47" i="1" s="1"/>
  <c r="J47" i="1" s="1"/>
  <c r="K47" i="1" s="1"/>
  <c r="L47" i="1" s="1"/>
  <c r="M47" i="1" s="1"/>
  <c r="N47" i="1" s="1"/>
  <c r="O47" i="1" s="1"/>
  <c r="P47" i="1" s="1"/>
  <c r="Q47" i="1" s="1"/>
  <c r="R47" i="1" s="1"/>
  <c r="S47" i="1" s="1"/>
  <c r="T47" i="1" s="1"/>
  <c r="U47" i="1" s="1"/>
  <c r="V47" i="1" s="1"/>
  <c r="W47" i="1" s="1"/>
  <c r="X47" i="1" s="1"/>
  <c r="Y47" i="1" s="1"/>
  <c r="Z47" i="1" s="1"/>
  <c r="AA47" i="1" s="1"/>
  <c r="AB47" i="1" s="1"/>
  <c r="AC47" i="1" s="1"/>
  <c r="AD47" i="1" s="1"/>
  <c r="AE47" i="1" s="1"/>
  <c r="AF47" i="1" s="1"/>
  <c r="AG47" i="1" s="1"/>
  <c r="B44" i="1"/>
  <c r="C50" i="1"/>
  <c r="F40" i="1"/>
  <c r="G40" i="1" s="1"/>
  <c r="H40" i="1" s="1"/>
  <c r="I40" i="1" s="1"/>
  <c r="J40" i="1" s="1"/>
  <c r="K40" i="1" s="1"/>
  <c r="L40" i="1" s="1"/>
  <c r="M40" i="1" s="1"/>
  <c r="N40" i="1" s="1"/>
  <c r="O40" i="1" s="1"/>
  <c r="P40" i="1" s="1"/>
  <c r="Q40" i="1" s="1"/>
  <c r="R40" i="1" s="1"/>
  <c r="S40" i="1" s="1"/>
  <c r="T40" i="1" s="1"/>
  <c r="U40" i="1" s="1"/>
  <c r="V40" i="1" s="1"/>
  <c r="W40" i="1" s="1"/>
  <c r="X40" i="1" s="1"/>
  <c r="Y40" i="1" s="1"/>
  <c r="Z40" i="1" s="1"/>
  <c r="AA40" i="1" s="1"/>
  <c r="AB40" i="1" s="1"/>
  <c r="AC40" i="1" s="1"/>
  <c r="AD40" i="1" s="1"/>
  <c r="AE40" i="1" s="1"/>
  <c r="AF40" i="1" s="1"/>
  <c r="AG40" i="1" s="1"/>
  <c r="C44" i="1"/>
  <c r="D44" i="1" s="1"/>
  <c r="E44" i="1" s="1"/>
  <c r="F44" i="1" s="1"/>
  <c r="G44" i="1" s="1"/>
  <c r="H44" i="1" s="1"/>
  <c r="I44" i="1" s="1"/>
  <c r="J44" i="1" s="1"/>
  <c r="K44" i="1" s="1"/>
  <c r="L44" i="1" s="1"/>
  <c r="M44" i="1" s="1"/>
  <c r="N44" i="1" s="1"/>
  <c r="O44" i="1" s="1"/>
  <c r="P44" i="1" s="1"/>
  <c r="Q44" i="1" s="1"/>
  <c r="R44" i="1" s="1"/>
  <c r="S44" i="1" s="1"/>
  <c r="T44" i="1" s="1"/>
  <c r="U44" i="1" s="1"/>
  <c r="V44" i="1" s="1"/>
  <c r="W44" i="1" s="1"/>
  <c r="X44" i="1" s="1"/>
  <c r="Y44" i="1" s="1"/>
  <c r="Z44" i="1" s="1"/>
  <c r="AA44" i="1" s="1"/>
  <c r="AB44" i="1" s="1"/>
  <c r="AC44" i="1" s="1"/>
  <c r="AD44" i="1" s="1"/>
  <c r="AE44" i="1" s="1"/>
  <c r="AF44" i="1" s="1"/>
  <c r="AG44" i="1" s="1"/>
  <c r="D46" i="1"/>
  <c r="D65" i="1" s="1"/>
  <c r="G46" i="1"/>
  <c r="G65" i="1" s="1"/>
  <c r="E46" i="1"/>
  <c r="E65" i="1" s="1"/>
  <c r="C46" i="1"/>
  <c r="C65" i="1" s="1"/>
  <c r="F46" i="1"/>
  <c r="F65" i="1" s="1"/>
  <c r="D50" i="1"/>
  <c r="AN50" i="1"/>
  <c r="B25" i="1"/>
  <c r="B52" i="1" s="1"/>
  <c r="B57" i="1" s="1"/>
  <c r="AR3" i="1"/>
  <c r="G8" i="1"/>
  <c r="G18" i="1" s="1"/>
  <c r="AS1" i="1"/>
  <c r="AT1" i="1" s="1"/>
  <c r="AU1" i="1" s="1"/>
  <c r="AV1" i="1" s="1"/>
  <c r="AW1" i="1" s="1"/>
  <c r="AW3" i="1" s="1"/>
  <c r="C8" i="1"/>
  <c r="C18" i="1" s="1"/>
  <c r="AN12" i="1"/>
  <c r="F8" i="1"/>
  <c r="F18" i="1" s="1"/>
  <c r="B5" i="1"/>
  <c r="C5" i="1" s="1"/>
  <c r="D5" i="1" s="1"/>
  <c r="E5" i="1" s="1"/>
  <c r="F5" i="1" s="1"/>
  <c r="G5" i="1" s="1"/>
  <c r="H5" i="1" s="1"/>
  <c r="I5" i="1" s="1"/>
  <c r="J5" i="1" s="1"/>
  <c r="K5" i="1" s="1"/>
  <c r="L5" i="1" s="1"/>
  <c r="M5" i="1" s="1"/>
  <c r="N5" i="1" s="1"/>
  <c r="O5" i="1" s="1"/>
  <c r="P5" i="1" s="1"/>
  <c r="Q5" i="1" s="1"/>
  <c r="R5" i="1" s="1"/>
  <c r="S5" i="1" s="1"/>
  <c r="T5" i="1" s="1"/>
  <c r="U5" i="1" s="1"/>
  <c r="V5" i="1" s="1"/>
  <c r="W5" i="1" s="1"/>
  <c r="X5" i="1" s="1"/>
  <c r="Y5" i="1" s="1"/>
  <c r="Z5" i="1" s="1"/>
  <c r="AA5" i="1" s="1"/>
  <c r="AB5" i="1" s="1"/>
  <c r="AC5" i="1" s="1"/>
  <c r="AD5" i="1" s="1"/>
  <c r="AE5" i="1" s="1"/>
  <c r="AF5" i="1" s="1"/>
  <c r="AG5" i="1" s="1"/>
  <c r="C2" i="1"/>
  <c r="AK17" i="1"/>
  <c r="AN63" i="1" s="1"/>
  <c r="C12" i="1" s="1"/>
  <c r="D12" i="1" s="1"/>
  <c r="E12" i="1" s="1"/>
  <c r="F12" i="1" s="1"/>
  <c r="G12" i="1" s="1"/>
  <c r="H12" i="1" s="1"/>
  <c r="I12" i="1" s="1"/>
  <c r="J12" i="1" s="1"/>
  <c r="K12" i="1" s="1"/>
  <c r="L12" i="1" s="1"/>
  <c r="M12" i="1" s="1"/>
  <c r="N12" i="1" s="1"/>
  <c r="O12" i="1" s="1"/>
  <c r="P12" i="1" s="1"/>
  <c r="Q12" i="1" s="1"/>
  <c r="R12" i="1" s="1"/>
  <c r="S12" i="1" s="1"/>
  <c r="T12" i="1" s="1"/>
  <c r="U12" i="1" s="1"/>
  <c r="V12" i="1" s="1"/>
  <c r="W12" i="1" s="1"/>
  <c r="X12" i="1" s="1"/>
  <c r="Y12" i="1" s="1"/>
  <c r="Z12" i="1" s="1"/>
  <c r="AA12" i="1" s="1"/>
  <c r="AB12" i="1" s="1"/>
  <c r="AC12" i="1" s="1"/>
  <c r="AD12" i="1" s="1"/>
  <c r="AE12" i="1" s="1"/>
  <c r="AF12" i="1" s="1"/>
  <c r="AG12" i="1" s="1"/>
  <c r="B6" i="1"/>
  <c r="C6" i="1" s="1"/>
  <c r="D6" i="1" s="1"/>
  <c r="E6" i="1" s="1"/>
  <c r="F6" i="1" s="1"/>
  <c r="G6" i="1" s="1"/>
  <c r="H6" i="1" s="1"/>
  <c r="I6" i="1" s="1"/>
  <c r="J6" i="1" s="1"/>
  <c r="K6" i="1" s="1"/>
  <c r="L6" i="1" s="1"/>
  <c r="M6" i="1" s="1"/>
  <c r="N6" i="1" s="1"/>
  <c r="O6" i="1" s="1"/>
  <c r="P6" i="1" s="1"/>
  <c r="Q6" i="1" s="1"/>
  <c r="R6" i="1" s="1"/>
  <c r="S6" i="1" s="1"/>
  <c r="T6" i="1" s="1"/>
  <c r="U6" i="1" s="1"/>
  <c r="V6" i="1" s="1"/>
  <c r="W6" i="1" s="1"/>
  <c r="X6" i="1" s="1"/>
  <c r="Y6" i="1" s="1"/>
  <c r="Z6" i="1" s="1"/>
  <c r="AA6" i="1" s="1"/>
  <c r="AB6" i="1" s="1"/>
  <c r="AC6" i="1" s="1"/>
  <c r="AD6" i="1" s="1"/>
  <c r="AE6" i="1" s="1"/>
  <c r="AF6" i="1" s="1"/>
  <c r="AG6" i="1" s="1"/>
  <c r="B3" i="1"/>
  <c r="E8" i="1"/>
  <c r="E18" i="1" s="1"/>
  <c r="C43" i="1" l="1"/>
  <c r="D43" i="1" s="1"/>
  <c r="E43" i="1" s="1"/>
  <c r="F43" i="1" s="1"/>
  <c r="G43" i="1" s="1"/>
  <c r="H43" i="1" s="1"/>
  <c r="I43" i="1" s="1"/>
  <c r="J43" i="1" s="1"/>
  <c r="K43" i="1" s="1"/>
  <c r="L43" i="1" s="1"/>
  <c r="M43" i="1" s="1"/>
  <c r="N43" i="1" s="1"/>
  <c r="O43" i="1" s="1"/>
  <c r="P43" i="1" s="1"/>
  <c r="Q43" i="1" s="1"/>
  <c r="R43" i="1" s="1"/>
  <c r="S43" i="1" s="1"/>
  <c r="T43" i="1" s="1"/>
  <c r="U43" i="1" s="1"/>
  <c r="V43" i="1" s="1"/>
  <c r="W43" i="1" s="1"/>
  <c r="X43" i="1" s="1"/>
  <c r="Y43" i="1" s="1"/>
  <c r="Z43" i="1" s="1"/>
  <c r="AA43" i="1" s="1"/>
  <c r="AB43" i="1" s="1"/>
  <c r="AC43" i="1" s="1"/>
  <c r="AD43" i="1" s="1"/>
  <c r="AE43" i="1" s="1"/>
  <c r="AF43" i="1" s="1"/>
  <c r="AG43" i="1" s="1"/>
  <c r="E50" i="1"/>
  <c r="D42" i="1"/>
  <c r="AU3" i="1"/>
  <c r="B64" i="1"/>
  <c r="B66" i="1" s="1"/>
  <c r="AS3" i="1"/>
  <c r="B26" i="1"/>
  <c r="B36" i="1" s="1"/>
  <c r="AT3" i="1"/>
  <c r="AX1" i="1"/>
  <c r="AX3" i="1" s="1"/>
  <c r="B13" i="1"/>
  <c r="B15" i="1" s="1"/>
  <c r="B17" i="1" s="1"/>
  <c r="B19" i="1" s="1"/>
  <c r="AV3" i="1"/>
  <c r="D2" i="1"/>
  <c r="C13" i="1"/>
  <c r="C15" i="1" s="1"/>
  <c r="C51" i="1" l="1"/>
  <c r="C55" i="1" s="1"/>
  <c r="C56" i="1" s="1"/>
  <c r="D51" i="1"/>
  <c r="D55" i="1" s="1"/>
  <c r="D56" i="1" s="1"/>
  <c r="F50" i="1"/>
  <c r="E42" i="1"/>
  <c r="E51" i="1" s="1"/>
  <c r="B70" i="1"/>
  <c r="B68" i="1"/>
  <c r="B72" i="1" s="1"/>
  <c r="AY1" i="1"/>
  <c r="J53" i="1"/>
  <c r="J74" i="1" s="1"/>
  <c r="AA53" i="1"/>
  <c r="AA74" i="1" s="1"/>
  <c r="AD53" i="1"/>
  <c r="AD74" i="1" s="1"/>
  <c r="T53" i="1"/>
  <c r="T74" i="1" s="1"/>
  <c r="V53" i="1"/>
  <c r="V74" i="1" s="1"/>
  <c r="K53" i="1"/>
  <c r="K74" i="1" s="1"/>
  <c r="C53" i="1"/>
  <c r="W53" i="1"/>
  <c r="W74" i="1" s="1"/>
  <c r="M53" i="1"/>
  <c r="M74" i="1" s="1"/>
  <c r="L53" i="1"/>
  <c r="L74" i="1" s="1"/>
  <c r="P53" i="1"/>
  <c r="P74" i="1" s="1"/>
  <c r="N53" i="1"/>
  <c r="N74" i="1" s="1"/>
  <c r="Z53" i="1"/>
  <c r="Z74" i="1" s="1"/>
  <c r="R53" i="1"/>
  <c r="R74" i="1" s="1"/>
  <c r="O53" i="1"/>
  <c r="O74" i="1" s="1"/>
  <c r="I53" i="1"/>
  <c r="I74" i="1" s="1"/>
  <c r="S53" i="1"/>
  <c r="S74" i="1" s="1"/>
  <c r="Q53" i="1"/>
  <c r="Q74" i="1" s="1"/>
  <c r="AE53" i="1"/>
  <c r="AE74" i="1" s="1"/>
  <c r="F53" i="1"/>
  <c r="D53" i="1"/>
  <c r="AF53" i="1"/>
  <c r="AF74" i="1" s="1"/>
  <c r="X53" i="1"/>
  <c r="X74" i="1" s="1"/>
  <c r="E53" i="1"/>
  <c r="G53" i="1"/>
  <c r="G74" i="1" s="1"/>
  <c r="Y53" i="1"/>
  <c r="Y74" i="1" s="1"/>
  <c r="AB53" i="1"/>
  <c r="AB74" i="1" s="1"/>
  <c r="U53" i="1"/>
  <c r="U74" i="1" s="1"/>
  <c r="AC53" i="1"/>
  <c r="AC74" i="1" s="1"/>
  <c r="H53" i="1"/>
  <c r="H74" i="1" s="1"/>
  <c r="AY3" i="1"/>
  <c r="AZ1" i="1"/>
  <c r="C16" i="1"/>
  <c r="C17" i="1" s="1"/>
  <c r="C19" i="1" s="1"/>
  <c r="E2" i="1"/>
  <c r="D13" i="1"/>
  <c r="D15" i="1" s="1"/>
  <c r="C57" i="1" l="1"/>
  <c r="C58" i="1" s="1"/>
  <c r="G50" i="1"/>
  <c r="F42" i="1"/>
  <c r="F51" i="1" s="1"/>
  <c r="D57" i="1"/>
  <c r="D58" i="1" s="1"/>
  <c r="E55" i="1"/>
  <c r="D16" i="1"/>
  <c r="D17" i="1" s="1"/>
  <c r="D19" i="1" s="1"/>
  <c r="F2" i="1"/>
  <c r="E13" i="1"/>
  <c r="E15" i="1" s="1"/>
  <c r="BA1" i="1"/>
  <c r="AZ3" i="1"/>
  <c r="C60" i="1" l="1"/>
  <c r="C62" i="1" s="1"/>
  <c r="E57" i="1"/>
  <c r="E58" i="1" s="1"/>
  <c r="E56" i="1"/>
  <c r="D60" i="1"/>
  <c r="H50" i="1"/>
  <c r="G42" i="1"/>
  <c r="G51" i="1" s="1"/>
  <c r="F55" i="1"/>
  <c r="BB1" i="1"/>
  <c r="BA3" i="1"/>
  <c r="E16" i="1"/>
  <c r="E17" i="1" s="1"/>
  <c r="E19" i="1" s="1"/>
  <c r="F13" i="1"/>
  <c r="F15" i="1" s="1"/>
  <c r="G2" i="1"/>
  <c r="E60" i="1" l="1"/>
  <c r="F57" i="1"/>
  <c r="F58" i="1" s="1"/>
  <c r="F56" i="1"/>
  <c r="I50" i="1"/>
  <c r="H42" i="1"/>
  <c r="H51" i="1" s="1"/>
  <c r="G55" i="1"/>
  <c r="G13" i="1"/>
  <c r="G15" i="1" s="1"/>
  <c r="H2" i="1"/>
  <c r="F16" i="1"/>
  <c r="F17" i="1" s="1"/>
  <c r="F19" i="1" s="1"/>
  <c r="BC1" i="1"/>
  <c r="BB3" i="1"/>
  <c r="F60" i="1" l="1"/>
  <c r="G57" i="1"/>
  <c r="G58" i="1" s="1"/>
  <c r="G56" i="1"/>
  <c r="J50" i="1"/>
  <c r="I42" i="1"/>
  <c r="I51" i="1" s="1"/>
  <c r="H55" i="1"/>
  <c r="BC3" i="1"/>
  <c r="BD1" i="1"/>
  <c r="I2" i="1"/>
  <c r="H13" i="1"/>
  <c r="H15" i="1" s="1"/>
  <c r="G16" i="1"/>
  <c r="G17" i="1" s="1"/>
  <c r="G19" i="1" s="1"/>
  <c r="G60" i="1" l="1"/>
  <c r="H57" i="1"/>
  <c r="H58" i="1" s="1"/>
  <c r="H56" i="1"/>
  <c r="K50" i="1"/>
  <c r="J42" i="1"/>
  <c r="J51" i="1" s="1"/>
  <c r="I55" i="1"/>
  <c r="H16" i="1"/>
  <c r="H17" i="1" s="1"/>
  <c r="H19" i="1" s="1"/>
  <c r="I13" i="1"/>
  <c r="I15" i="1" s="1"/>
  <c r="J2" i="1"/>
  <c r="BE1" i="1"/>
  <c r="BD3" i="1"/>
  <c r="H60" i="1" l="1"/>
  <c r="I57" i="1"/>
  <c r="I58" i="1" s="1"/>
  <c r="I56" i="1"/>
  <c r="L50" i="1"/>
  <c r="K42" i="1"/>
  <c r="K51" i="1" s="1"/>
  <c r="J55" i="1"/>
  <c r="J13" i="1"/>
  <c r="J15" i="1" s="1"/>
  <c r="K2" i="1"/>
  <c r="BF1" i="1"/>
  <c r="BE3" i="1"/>
  <c r="I16" i="1"/>
  <c r="I17" i="1" s="1"/>
  <c r="I19" i="1" s="1"/>
  <c r="I60" i="1" l="1"/>
  <c r="J57" i="1"/>
  <c r="J58" i="1" s="1"/>
  <c r="J56" i="1"/>
  <c r="M50" i="1"/>
  <c r="L42" i="1"/>
  <c r="L51" i="1" s="1"/>
  <c r="K55" i="1"/>
  <c r="BG1" i="1"/>
  <c r="BF3" i="1"/>
  <c r="L2" i="1"/>
  <c r="K13" i="1"/>
  <c r="K15" i="1" s="1"/>
  <c r="J16" i="1"/>
  <c r="J17" i="1" s="1"/>
  <c r="J19" i="1" s="1"/>
  <c r="J60" i="1" l="1"/>
  <c r="K57" i="1"/>
  <c r="K60" i="1" s="1"/>
  <c r="K56" i="1"/>
  <c r="N50" i="1"/>
  <c r="M42" i="1"/>
  <c r="M51" i="1" s="1"/>
  <c r="L55" i="1"/>
  <c r="K16" i="1"/>
  <c r="K17" i="1" s="1"/>
  <c r="K19" i="1" s="1"/>
  <c r="M2" i="1"/>
  <c r="L13" i="1"/>
  <c r="L15" i="1" s="1"/>
  <c r="BH1" i="1"/>
  <c r="BG3" i="1"/>
  <c r="K58" i="1" l="1"/>
  <c r="L57" i="1"/>
  <c r="L60" i="1" s="1"/>
  <c r="L56" i="1"/>
  <c r="O50" i="1"/>
  <c r="N42" i="1"/>
  <c r="N51" i="1" s="1"/>
  <c r="M55" i="1"/>
  <c r="BI1" i="1"/>
  <c r="BH3" i="1"/>
  <c r="L16" i="1"/>
  <c r="L17" i="1" s="1"/>
  <c r="L19" i="1" s="1"/>
  <c r="N2" i="1"/>
  <c r="M13" i="1"/>
  <c r="M15" i="1" s="1"/>
  <c r="L58" i="1" l="1"/>
  <c r="M57" i="1"/>
  <c r="M60" i="1" s="1"/>
  <c r="M56" i="1"/>
  <c r="P50" i="1"/>
  <c r="O42" i="1"/>
  <c r="O51" i="1" s="1"/>
  <c r="N55" i="1"/>
  <c r="M16" i="1"/>
  <c r="M17" i="1"/>
  <c r="M19" i="1" s="1"/>
  <c r="O2" i="1"/>
  <c r="N13" i="1"/>
  <c r="N15" i="1" s="1"/>
  <c r="BI3" i="1"/>
  <c r="BJ1" i="1"/>
  <c r="M58" i="1" l="1"/>
  <c r="N57" i="1"/>
  <c r="N58" i="1" s="1"/>
  <c r="N56" i="1"/>
  <c r="Q50" i="1"/>
  <c r="P42" i="1"/>
  <c r="P51" i="1" s="1"/>
  <c r="O55" i="1"/>
  <c r="BK1" i="1"/>
  <c r="BJ3" i="1"/>
  <c r="N16" i="1"/>
  <c r="N17" i="1" s="1"/>
  <c r="N19" i="1" s="1"/>
  <c r="O13" i="1"/>
  <c r="O15" i="1" s="1"/>
  <c r="P2" i="1"/>
  <c r="N60" i="1" l="1"/>
  <c r="O57" i="1"/>
  <c r="O60" i="1" s="1"/>
  <c r="O56" i="1"/>
  <c r="R50" i="1"/>
  <c r="Q42" i="1"/>
  <c r="Q51" i="1" s="1"/>
  <c r="P55" i="1"/>
  <c r="O16" i="1"/>
  <c r="O17" i="1" s="1"/>
  <c r="O19" i="1" s="1"/>
  <c r="P13" i="1"/>
  <c r="P15" i="1" s="1"/>
  <c r="Q2" i="1"/>
  <c r="BL1" i="1"/>
  <c r="BK3" i="1"/>
  <c r="O58" i="1" l="1"/>
  <c r="P57" i="1"/>
  <c r="P58" i="1" s="1"/>
  <c r="P56" i="1"/>
  <c r="S50" i="1"/>
  <c r="R42" i="1"/>
  <c r="R51" i="1" s="1"/>
  <c r="Q55" i="1"/>
  <c r="BM1" i="1"/>
  <c r="BL3" i="1"/>
  <c r="R2" i="1"/>
  <c r="Q13" i="1"/>
  <c r="Q15" i="1" s="1"/>
  <c r="P16" i="1"/>
  <c r="P17" i="1" s="1"/>
  <c r="P19" i="1" s="1"/>
  <c r="P60" i="1" l="1"/>
  <c r="Q57" i="1"/>
  <c r="Q58" i="1" s="1"/>
  <c r="Q56" i="1"/>
  <c r="T50" i="1"/>
  <c r="S42" i="1"/>
  <c r="S51" i="1" s="1"/>
  <c r="R55" i="1"/>
  <c r="Q16" i="1"/>
  <c r="Q17" i="1" s="1"/>
  <c r="Q19" i="1" s="1"/>
  <c r="S2" i="1"/>
  <c r="R13" i="1"/>
  <c r="R15" i="1" s="1"/>
  <c r="BN1" i="1"/>
  <c r="BM3" i="1"/>
  <c r="Q60" i="1" l="1"/>
  <c r="R57" i="1"/>
  <c r="R60" i="1" s="1"/>
  <c r="R56" i="1"/>
  <c r="U50" i="1"/>
  <c r="T42" i="1"/>
  <c r="T51" i="1" s="1"/>
  <c r="S55" i="1"/>
  <c r="BN3" i="1"/>
  <c r="BO1" i="1"/>
  <c r="R16" i="1"/>
  <c r="R17" i="1" s="1"/>
  <c r="R19" i="1" s="1"/>
  <c r="S13" i="1"/>
  <c r="S15" i="1" s="1"/>
  <c r="T2" i="1"/>
  <c r="R58" i="1" l="1"/>
  <c r="S57" i="1"/>
  <c r="S60" i="1" s="1"/>
  <c r="S56" i="1"/>
  <c r="V50" i="1"/>
  <c r="U42" i="1"/>
  <c r="U51" i="1" s="1"/>
  <c r="T55" i="1"/>
  <c r="T13" i="1"/>
  <c r="T15" i="1" s="1"/>
  <c r="U2" i="1"/>
  <c r="BP1" i="1"/>
  <c r="BO3" i="1"/>
  <c r="S16" i="1"/>
  <c r="S17" i="1" s="1"/>
  <c r="S19" i="1" s="1"/>
  <c r="S58" i="1" l="1"/>
  <c r="T57" i="1"/>
  <c r="T60" i="1" s="1"/>
  <c r="T56" i="1"/>
  <c r="W50" i="1"/>
  <c r="V42" i="1"/>
  <c r="V51" i="1" s="1"/>
  <c r="T58" i="1"/>
  <c r="U55" i="1"/>
  <c r="BQ1" i="1"/>
  <c r="BP3" i="1"/>
  <c r="U13" i="1"/>
  <c r="U15" i="1" s="1"/>
  <c r="V2" i="1"/>
  <c r="T16" i="1"/>
  <c r="T17" i="1" s="1"/>
  <c r="T19" i="1" s="1"/>
  <c r="U57" i="1" l="1"/>
  <c r="U60" i="1" s="1"/>
  <c r="U56" i="1"/>
  <c r="X50" i="1"/>
  <c r="W42" i="1"/>
  <c r="W51" i="1" s="1"/>
  <c r="V55" i="1"/>
  <c r="BR1" i="1"/>
  <c r="BQ3" i="1"/>
  <c r="W2" i="1"/>
  <c r="V13" i="1"/>
  <c r="V15" i="1" s="1"/>
  <c r="U16" i="1"/>
  <c r="U17" i="1" s="1"/>
  <c r="U19" i="1" s="1"/>
  <c r="U58" i="1" l="1"/>
  <c r="V57" i="1"/>
  <c r="V60" i="1" s="1"/>
  <c r="V56" i="1"/>
  <c r="Y50" i="1"/>
  <c r="X42" i="1"/>
  <c r="X51" i="1" s="1"/>
  <c r="W55" i="1"/>
  <c r="V16" i="1"/>
  <c r="V17" i="1" s="1"/>
  <c r="V19" i="1" s="1"/>
  <c r="BS1" i="1"/>
  <c r="BR3" i="1"/>
  <c r="X2" i="1"/>
  <c r="W13" i="1"/>
  <c r="W15" i="1" s="1"/>
  <c r="V58" i="1" l="1"/>
  <c r="W57" i="1"/>
  <c r="W60" i="1" s="1"/>
  <c r="W56" i="1"/>
  <c r="Z50" i="1"/>
  <c r="Y42" i="1"/>
  <c r="Y51" i="1" s="1"/>
  <c r="X55" i="1"/>
  <c r="W16" i="1"/>
  <c r="W17" i="1" s="1"/>
  <c r="W19" i="1" s="1"/>
  <c r="Y2" i="1"/>
  <c r="X13" i="1"/>
  <c r="X15" i="1" s="1"/>
  <c r="BS3" i="1"/>
  <c r="BT1" i="1"/>
  <c r="BT3" i="1" s="1"/>
  <c r="W58" i="1" l="1"/>
  <c r="X57" i="1"/>
  <c r="X56" i="1"/>
  <c r="AA50" i="1"/>
  <c r="Z42" i="1"/>
  <c r="Z51" i="1" s="1"/>
  <c r="X60" i="1"/>
  <c r="X58" i="1"/>
  <c r="AQ4" i="1"/>
  <c r="Y55" i="1"/>
  <c r="X16" i="1"/>
  <c r="X17" i="1" s="1"/>
  <c r="X19" i="1" s="1"/>
  <c r="Y13" i="1"/>
  <c r="Y15" i="1" s="1"/>
  <c r="Z2" i="1"/>
  <c r="Y57" i="1" l="1"/>
  <c r="Y56" i="1"/>
  <c r="AB50" i="1"/>
  <c r="AA42" i="1"/>
  <c r="AA51" i="1" s="1"/>
  <c r="Y58" i="1"/>
  <c r="Y60" i="1"/>
  <c r="Z55" i="1"/>
  <c r="Y16" i="1"/>
  <c r="Y17" i="1" s="1"/>
  <c r="Y19" i="1" s="1"/>
  <c r="Z13" i="1"/>
  <c r="Z15" i="1" s="1"/>
  <c r="AA2" i="1"/>
  <c r="Z57" i="1" l="1"/>
  <c r="Z58" i="1" s="1"/>
  <c r="Z56" i="1"/>
  <c r="AC50" i="1"/>
  <c r="AB42" i="1"/>
  <c r="AB51" i="1" s="1"/>
  <c r="AA55" i="1"/>
  <c r="AA13" i="1"/>
  <c r="AA15" i="1" s="1"/>
  <c r="AB2" i="1"/>
  <c r="Z16" i="1"/>
  <c r="Z17" i="1" s="1"/>
  <c r="Z19" i="1" s="1"/>
  <c r="Z60" i="1" l="1"/>
  <c r="AA57" i="1"/>
  <c r="AA60" i="1" s="1"/>
  <c r="AA56" i="1"/>
  <c r="AD50" i="1"/>
  <c r="AC42" i="1"/>
  <c r="AC51" i="1" s="1"/>
  <c r="AB55" i="1"/>
  <c r="AA16" i="1"/>
  <c r="AA17" i="1" s="1"/>
  <c r="AA19" i="1" s="1"/>
  <c r="AC2" i="1"/>
  <c r="AB13" i="1"/>
  <c r="AB15" i="1" s="1"/>
  <c r="AA58" i="1" l="1"/>
  <c r="AB57" i="1"/>
  <c r="AB58" i="1" s="1"/>
  <c r="AB56" i="1"/>
  <c r="AE50" i="1"/>
  <c r="AD42" i="1"/>
  <c r="AD51" i="1" s="1"/>
  <c r="AC55" i="1"/>
  <c r="AB16" i="1"/>
  <c r="AB17" i="1" s="1"/>
  <c r="AB19" i="1" s="1"/>
  <c r="AC13" i="1"/>
  <c r="AC15" i="1" s="1"/>
  <c r="AD2" i="1"/>
  <c r="AB60" i="1" l="1"/>
  <c r="AC57" i="1"/>
  <c r="AC58" i="1" s="1"/>
  <c r="AC56" i="1"/>
  <c r="AF50" i="1"/>
  <c r="AE42" i="1"/>
  <c r="AE51" i="1" s="1"/>
  <c r="AD55" i="1"/>
  <c r="AD13" i="1"/>
  <c r="AD15" i="1" s="1"/>
  <c r="AE2" i="1"/>
  <c r="AC16" i="1"/>
  <c r="AC17" i="1" s="1"/>
  <c r="AC19" i="1" s="1"/>
  <c r="AC60" i="1" l="1"/>
  <c r="AD57" i="1"/>
  <c r="AD60" i="1" s="1"/>
  <c r="AD56" i="1"/>
  <c r="AF42" i="1"/>
  <c r="AF51" i="1" s="1"/>
  <c r="AE55" i="1"/>
  <c r="AE13" i="1"/>
  <c r="AE15" i="1" s="1"/>
  <c r="AF2" i="1"/>
  <c r="AD16" i="1"/>
  <c r="AD17" i="1" s="1"/>
  <c r="AD19" i="1" s="1"/>
  <c r="AD58" i="1" l="1"/>
  <c r="AE57" i="1"/>
  <c r="AE58" i="1" s="1"/>
  <c r="AE56" i="1"/>
  <c r="AG42" i="1"/>
  <c r="AG50" i="1"/>
  <c r="AF55" i="1"/>
  <c r="AG2" i="1"/>
  <c r="AG13" i="1" s="1"/>
  <c r="AG15" i="1" s="1"/>
  <c r="AF13" i="1"/>
  <c r="AF15" i="1" s="1"/>
  <c r="AE16" i="1"/>
  <c r="AE17" i="1" s="1"/>
  <c r="AE19" i="1" s="1"/>
  <c r="AE60" i="1" l="1"/>
  <c r="AF57" i="1"/>
  <c r="AF58" i="1" s="1"/>
  <c r="AF56" i="1"/>
  <c r="AG51" i="1"/>
  <c r="AG55" i="1" s="1"/>
  <c r="AG57" i="1" s="1"/>
  <c r="AG16" i="1"/>
  <c r="AG17" i="1" s="1"/>
  <c r="AG19" i="1" s="1"/>
  <c r="AF16" i="1"/>
  <c r="AF17" i="1" s="1"/>
  <c r="AF19" i="1" s="1"/>
  <c r="AF60" i="1" l="1"/>
  <c r="AG56" i="1"/>
  <c r="AG60" i="1"/>
  <c r="AG58" i="1"/>
  <c r="B59" i="1" s="1"/>
  <c r="C61" i="1" s="1"/>
  <c r="B20" i="1"/>
  <c r="D61" i="1" l="1"/>
  <c r="C63" i="1"/>
  <c r="C64" i="1" s="1"/>
  <c r="C66" i="1" s="1"/>
  <c r="D62" i="1"/>
  <c r="C70" i="1" l="1"/>
  <c r="C68" i="1"/>
  <c r="C72" i="1" s="1"/>
  <c r="E61" i="1"/>
  <c r="E62" i="1"/>
  <c r="D63" i="1"/>
  <c r="D64" i="1" s="1"/>
  <c r="D66" i="1" s="1"/>
  <c r="C73" i="1" l="1"/>
  <c r="D70" i="1"/>
  <c r="D68" i="1"/>
  <c r="D72" i="1" s="1"/>
  <c r="F61" i="1"/>
  <c r="F62" i="1"/>
  <c r="E63" i="1"/>
  <c r="E64" i="1" s="1"/>
  <c r="E66" i="1" s="1"/>
  <c r="D73" i="1" l="1"/>
  <c r="E70" i="1"/>
  <c r="E68" i="1"/>
  <c r="E72" i="1" s="1"/>
  <c r="G61" i="1"/>
  <c r="F63" i="1"/>
  <c r="F64" i="1" s="1"/>
  <c r="F66" i="1" s="1"/>
  <c r="G62" i="1"/>
  <c r="E73" i="1" l="1"/>
  <c r="F70" i="1"/>
  <c r="F68" i="1"/>
  <c r="F72" i="1" s="1"/>
  <c r="H61" i="1"/>
  <c r="G63" i="1"/>
  <c r="G64" i="1" s="1"/>
  <c r="G66" i="1" s="1"/>
  <c r="H62" i="1"/>
  <c r="F73" i="1" l="1"/>
  <c r="G70" i="1"/>
  <c r="G68" i="1"/>
  <c r="G72" i="1" s="1"/>
  <c r="I61" i="1"/>
  <c r="H63" i="1"/>
  <c r="H64" i="1" s="1"/>
  <c r="H66" i="1" s="1"/>
  <c r="I62" i="1"/>
  <c r="G73" i="1" l="1"/>
  <c r="H70" i="1"/>
  <c r="H68" i="1"/>
  <c r="H72" i="1" s="1"/>
  <c r="J61" i="1"/>
  <c r="I63" i="1"/>
  <c r="I64" i="1" s="1"/>
  <c r="I66" i="1" s="1"/>
  <c r="J62" i="1"/>
  <c r="H73" i="1" l="1"/>
  <c r="I70" i="1"/>
  <c r="I68" i="1"/>
  <c r="I72" i="1" s="1"/>
  <c r="K61" i="1"/>
  <c r="K62" i="1"/>
  <c r="J63" i="1"/>
  <c r="J64" i="1" s="1"/>
  <c r="J66" i="1" s="1"/>
  <c r="I73" i="1" l="1"/>
  <c r="J70" i="1"/>
  <c r="J68" i="1"/>
  <c r="J72" i="1" s="1"/>
  <c r="L61" i="1"/>
  <c r="L62" i="1"/>
  <c r="K63" i="1"/>
  <c r="K64" i="1" s="1"/>
  <c r="K66" i="1" s="1"/>
  <c r="J73" i="1" l="1"/>
  <c r="K70" i="1"/>
  <c r="K68" i="1"/>
  <c r="K72" i="1" s="1"/>
  <c r="M61" i="1"/>
  <c r="L63" i="1"/>
  <c r="L64" i="1" s="1"/>
  <c r="L66" i="1" s="1"/>
  <c r="M62" i="1"/>
  <c r="K73" i="1" l="1"/>
  <c r="L70" i="1"/>
  <c r="L68" i="1"/>
  <c r="L72" i="1" s="1"/>
  <c r="N61" i="1"/>
  <c r="M63" i="1"/>
  <c r="M64" i="1" s="1"/>
  <c r="M66" i="1" s="1"/>
  <c r="N62" i="1"/>
  <c r="L73" i="1" l="1"/>
  <c r="M70" i="1"/>
  <c r="M68" i="1"/>
  <c r="M72" i="1" s="1"/>
  <c r="O61" i="1"/>
  <c r="O62" i="1"/>
  <c r="N63" i="1"/>
  <c r="N64" i="1" s="1"/>
  <c r="N66" i="1" s="1"/>
  <c r="M73" i="1" l="1"/>
  <c r="N70" i="1"/>
  <c r="N68" i="1"/>
  <c r="N72" i="1" s="1"/>
  <c r="P61" i="1"/>
  <c r="P62" i="1"/>
  <c r="O63" i="1"/>
  <c r="O64" i="1" s="1"/>
  <c r="O66" i="1" s="1"/>
  <c r="N73" i="1" l="1"/>
  <c r="O70" i="1"/>
  <c r="O68" i="1"/>
  <c r="O72" i="1" s="1"/>
  <c r="Q61" i="1"/>
  <c r="Q62" i="1"/>
  <c r="P63" i="1"/>
  <c r="P64" i="1" s="1"/>
  <c r="P66" i="1" s="1"/>
  <c r="O73" i="1" l="1"/>
  <c r="P70" i="1"/>
  <c r="P68" i="1"/>
  <c r="P72" i="1" s="1"/>
  <c r="R61" i="1"/>
  <c r="Q63" i="1"/>
  <c r="Q64" i="1" s="1"/>
  <c r="Q66" i="1" s="1"/>
  <c r="R62" i="1"/>
  <c r="P73" i="1" l="1"/>
  <c r="Q70" i="1"/>
  <c r="Q68" i="1"/>
  <c r="Q72" i="1" s="1"/>
  <c r="S61" i="1"/>
  <c r="S62" i="1"/>
  <c r="R63" i="1"/>
  <c r="R64" i="1" s="1"/>
  <c r="R66" i="1" s="1"/>
  <c r="Q73" i="1" l="1"/>
  <c r="R70" i="1"/>
  <c r="R68" i="1"/>
  <c r="R72" i="1" s="1"/>
  <c r="T61" i="1"/>
  <c r="S63" i="1"/>
  <c r="S64" i="1" s="1"/>
  <c r="S66" i="1" s="1"/>
  <c r="T62" i="1"/>
  <c r="R73" i="1" l="1"/>
  <c r="S70" i="1"/>
  <c r="S68" i="1"/>
  <c r="S72" i="1" s="1"/>
  <c r="U61" i="1"/>
  <c r="U62" i="1"/>
  <c r="T63" i="1"/>
  <c r="T64" i="1" s="1"/>
  <c r="T66" i="1" s="1"/>
  <c r="S73" i="1" l="1"/>
  <c r="T70" i="1"/>
  <c r="T68" i="1"/>
  <c r="T72" i="1" s="1"/>
  <c r="V61" i="1"/>
  <c r="V62" i="1"/>
  <c r="U63" i="1"/>
  <c r="U64" i="1" s="1"/>
  <c r="U66" i="1" s="1"/>
  <c r="T73" i="1" l="1"/>
  <c r="U70" i="1"/>
  <c r="U68" i="1"/>
  <c r="U72" i="1" s="1"/>
  <c r="W61" i="1"/>
  <c r="V63" i="1"/>
  <c r="V64" i="1" s="1"/>
  <c r="V66" i="1" s="1"/>
  <c r="W62" i="1"/>
  <c r="U73" i="1" l="1"/>
  <c r="V70" i="1"/>
  <c r="V68" i="1"/>
  <c r="V72" i="1" s="1"/>
  <c r="X61" i="1"/>
  <c r="W63" i="1"/>
  <c r="W64" i="1" s="1"/>
  <c r="W66" i="1" s="1"/>
  <c r="X62" i="1"/>
  <c r="V73" i="1" l="1"/>
  <c r="W70" i="1"/>
  <c r="W68" i="1"/>
  <c r="W72" i="1" s="1"/>
  <c r="Y61" i="1"/>
  <c r="X63" i="1"/>
  <c r="X64" i="1" s="1"/>
  <c r="X66" i="1" s="1"/>
  <c r="Y62" i="1"/>
  <c r="W73" i="1" l="1"/>
  <c r="X70" i="1"/>
  <c r="X68" i="1"/>
  <c r="X72" i="1" s="1"/>
  <c r="Z61" i="1"/>
  <c r="Z62" i="1"/>
  <c r="Y63" i="1"/>
  <c r="Y64" i="1" s="1"/>
  <c r="Y66" i="1" s="1"/>
  <c r="X73" i="1" l="1"/>
  <c r="Y70" i="1"/>
  <c r="Y68" i="1"/>
  <c r="Y72" i="1" s="1"/>
  <c r="AA61" i="1"/>
  <c r="Z63" i="1"/>
  <c r="Z64" i="1" s="1"/>
  <c r="Z66" i="1" s="1"/>
  <c r="AA62" i="1"/>
  <c r="Y73" i="1" l="1"/>
  <c r="Z70" i="1"/>
  <c r="Z68" i="1"/>
  <c r="Z72" i="1" s="1"/>
  <c r="AB61" i="1"/>
  <c r="AA63" i="1"/>
  <c r="AA64" i="1" s="1"/>
  <c r="AA66" i="1" s="1"/>
  <c r="AB62" i="1"/>
  <c r="Z73" i="1" l="1"/>
  <c r="AA70" i="1"/>
  <c r="AA68" i="1"/>
  <c r="AA72" i="1" s="1"/>
  <c r="AC61" i="1"/>
  <c r="AB63" i="1"/>
  <c r="AB64" i="1" s="1"/>
  <c r="AB66" i="1" s="1"/>
  <c r="AC62" i="1"/>
  <c r="AA73" i="1" l="1"/>
  <c r="AB70" i="1"/>
  <c r="AB68" i="1"/>
  <c r="AB72" i="1" s="1"/>
  <c r="AD61" i="1"/>
  <c r="AC63" i="1"/>
  <c r="AC64" i="1" s="1"/>
  <c r="AC66" i="1" s="1"/>
  <c r="AD62" i="1"/>
  <c r="AB73" i="1" l="1"/>
  <c r="AC70" i="1"/>
  <c r="AC68" i="1"/>
  <c r="AC72" i="1" s="1"/>
  <c r="AE61" i="1"/>
  <c r="AE62" i="1"/>
  <c r="AD63" i="1"/>
  <c r="AD64" i="1" s="1"/>
  <c r="AD66" i="1" s="1"/>
  <c r="AC73" i="1" l="1"/>
  <c r="AD70" i="1"/>
  <c r="AD68" i="1"/>
  <c r="AD72" i="1" s="1"/>
  <c r="AF61" i="1"/>
  <c r="AF62" i="1"/>
  <c r="AE63" i="1"/>
  <c r="AE64" i="1" s="1"/>
  <c r="AE66" i="1" s="1"/>
  <c r="AD73" i="1" l="1"/>
  <c r="AE70" i="1"/>
  <c r="AE68" i="1"/>
  <c r="AE72" i="1" s="1"/>
  <c r="AG61" i="1"/>
  <c r="AF63" i="1"/>
  <c r="AF64" i="1" s="1"/>
  <c r="AF66" i="1" s="1"/>
  <c r="AG62" i="1"/>
  <c r="AE73" i="1" l="1"/>
  <c r="AF70" i="1"/>
  <c r="AF68" i="1"/>
  <c r="AF72" i="1" s="1"/>
  <c r="AG63" i="1"/>
  <c r="AG64" i="1" s="1"/>
  <c r="AG66" i="1" l="1"/>
  <c r="AF73" i="1"/>
  <c r="AG70" i="1"/>
  <c r="B71" i="1" s="1"/>
  <c r="AG67" i="1" l="1"/>
  <c r="AG68" i="1" s="1"/>
  <c r="B69" i="1" l="1"/>
  <c r="B85" i="1" s="1"/>
  <c r="AG72" i="1"/>
  <c r="AG73" i="1" s="1"/>
</calcChain>
</file>

<file path=xl/sharedStrings.xml><?xml version="1.0" encoding="utf-8"?>
<sst xmlns="http://schemas.openxmlformats.org/spreadsheetml/2006/main" count="139" uniqueCount="88">
  <si>
    <t>Terms</t>
  </si>
  <si>
    <t>Rent</t>
  </si>
  <si>
    <t>Unit</t>
  </si>
  <si>
    <t>Rent Annual Growth</t>
  </si>
  <si>
    <t>Rental Revenue</t>
  </si>
  <si>
    <t>Down Payment</t>
  </si>
  <si>
    <t>Property Value</t>
  </si>
  <si>
    <t>Down Payment Rate</t>
  </si>
  <si>
    <t>Loan Payment (EMI)</t>
  </si>
  <si>
    <t>Loan Payment (EMI)*12</t>
  </si>
  <si>
    <t>Monthly Loan Pay</t>
  </si>
  <si>
    <t>Mortgage Interest rate (APY)</t>
  </si>
  <si>
    <t>Balance</t>
  </si>
  <si>
    <t>PV(Loan Pay)</t>
  </si>
  <si>
    <t>SUM(PV(Loan Pay))</t>
  </si>
  <si>
    <t>Monthly Loan Pay*12</t>
  </si>
  <si>
    <t>Target Sum PV</t>
  </si>
  <si>
    <t>Insurance Premium</t>
  </si>
  <si>
    <t>Premium for each unit per year</t>
  </si>
  <si>
    <t>Premium Annual Growth</t>
  </si>
  <si>
    <t>HOA Fee</t>
  </si>
  <si>
    <t>Property Assessment Value</t>
  </si>
  <si>
    <t>Property Tax Ratio</t>
  </si>
  <si>
    <t>HOA Fee Ratio</t>
  </si>
  <si>
    <t>Property Value Growth</t>
  </si>
  <si>
    <t>Renovation Expenditure</t>
  </si>
  <si>
    <t>Maintenence Expenditure</t>
  </si>
  <si>
    <t>Renovation Expense Rate</t>
  </si>
  <si>
    <t>Maintenence Expenditure Rate</t>
  </si>
  <si>
    <t>Vacancy Rate in NYC</t>
  </si>
  <si>
    <t>Vacancy Rate weighted by popularity of review</t>
  </si>
  <si>
    <t>Vacancy Rate of Property</t>
  </si>
  <si>
    <t>Popularity Index ((popularity - median popularity )/ median popularity)</t>
  </si>
  <si>
    <t>Management Expenditure</t>
  </si>
  <si>
    <t>Management Expenditure Rate</t>
  </si>
  <si>
    <t>Income Tax Rate (Federal + NY)</t>
  </si>
  <si>
    <t>Utility Expense</t>
  </si>
  <si>
    <t>Net Income</t>
  </si>
  <si>
    <t>Property Tax</t>
  </si>
  <si>
    <t>EBIT</t>
  </si>
  <si>
    <t>Income Tax</t>
  </si>
  <si>
    <t xml:space="preserve">Mortgage Interest </t>
  </si>
  <si>
    <t>EBT</t>
  </si>
  <si>
    <t>Depreciation of Renovation</t>
  </si>
  <si>
    <t>Cash Flow</t>
  </si>
  <si>
    <t>NPV</t>
  </si>
  <si>
    <t>TV Growth Rate</t>
  </si>
  <si>
    <t>Tax Rate</t>
  </si>
  <si>
    <t>Marketing Expense to NOI Ratio</t>
  </si>
  <si>
    <t>Total DP cost</t>
  </si>
  <si>
    <t>Total Mortgage Amount</t>
  </si>
  <si>
    <t>Mortgage Rate</t>
  </si>
  <si>
    <t>Mortgage to Pay Per Year</t>
  </si>
  <si>
    <t>Sum Tax Credit</t>
  </si>
  <si>
    <t>Tax Credit for Losses</t>
  </si>
  <si>
    <t>Income Tax before tax credit</t>
  </si>
  <si>
    <t>Rental NOI</t>
  </si>
  <si>
    <t>Total House Value</t>
  </si>
  <si>
    <t>DCF</t>
  </si>
  <si>
    <t>Sum Cost</t>
  </si>
  <si>
    <t>Cost</t>
  </si>
  <si>
    <t>Average 1 Bed room Housing Price</t>
  </si>
  <si>
    <t>Average 2 Bed room Housing Price</t>
  </si>
  <si>
    <t>Average 2Bedroom NOI</t>
  </si>
  <si>
    <t>Average 1Bedroom NOI</t>
  </si>
  <si>
    <t>1B Unit to Buy</t>
  </si>
  <si>
    <t>2B Unit to Buy</t>
  </si>
  <si>
    <t>PV(Cashflow)</t>
  </si>
  <si>
    <t>Terminal Cost of Capital</t>
  </si>
  <si>
    <t>Net Earning</t>
  </si>
  <si>
    <t>PV(Mortgage Balance)</t>
  </si>
  <si>
    <t>Wage</t>
  </si>
  <si>
    <t>Other Revenue</t>
  </si>
  <si>
    <t>Utility Cost of Time 0</t>
  </si>
  <si>
    <t>Maintenance Cost Rate</t>
  </si>
  <si>
    <t>Sum of Cost per Year Except Mortgage</t>
  </si>
  <si>
    <t>RF Interest Rate</t>
  </si>
  <si>
    <t>Tax Credit Balance (for calculation only)</t>
  </si>
  <si>
    <t>Housing Price Growth Rate (First 3 Year)</t>
  </si>
  <si>
    <t>Housing Price Growth Rate (After Year 5)</t>
  </si>
  <si>
    <t>Payback Debt in Front</t>
  </si>
  <si>
    <t>If we believe Housing Price will increase 3% per year, we will see postive EBIT in year 20, , we can offer 30% share to investor</t>
  </si>
  <si>
    <t>If we believe Housing Price will increase 5% per year, we will see postive EBIT in year 10, we can offer 30% share to investor</t>
  </si>
  <si>
    <t>If we believe Housing Price will increase 7.5% per year in first 5 years and the speed decline to 5%, we will see positive EBIT in year 7, we can offer 30% share to investor</t>
  </si>
  <si>
    <t>The major hinderance for break even within 5 years is due to abnormality of current economic environent (housing price inflation and decade high mortgage rate), and we tried to be realistic. Also we may consider refinance in future for mortgage as well</t>
  </si>
  <si>
    <t>Housing Price Increase Speed in First five Years</t>
  </si>
  <si>
    <t>Housing Price Increase Speed in later years</t>
  </si>
  <si>
    <t>If we believe Housing Price will increase 10% per year in first 5 years and the speed decline to 5%, we will see positive EBIT in year 5, NPV is around 56 millionwe, we can offer 30% share to investor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</si>
</sst>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0.89999084444715716"/>
        <bgColor indexed="64"/>
      </patternFill>
    </fill>
    <fill>
      <patternFill patternType="solid">
        <fgColor rgb="FFFFC000"/>
        <bgColor indexed="64"/>
      </patternFill>
    </fill>
    <fill>
      <patternFill patternType="solid">
        <fgColor rgb="FF00B0F0"/>
        <bgColor indexed="64"/>
      </patternFill>
    </fill>
    <fill>
      <patternFill patternType="solid">
        <fgColor rgb="FF00B050"/>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9" fontId="0" fillId="0" borderId="0" xfId="0" applyNumberFormat="1"/>
    <xf numFmtId="164" fontId="0" fillId="0" borderId="0" xfId="0" applyNumberFormat="1"/>
    <xf numFmtId="9" fontId="0" fillId="0" borderId="0" xfId="1" applyFont="1"/>
    <xf numFmtId="0" fontId="0" fillId="0" borderId="1" xfId="0" applyBorder="1"/>
    <xf numFmtId="0" fontId="0" fillId="2" borderId="1" xfId="0" applyFill="1" applyBorder="1"/>
    <xf numFmtId="0" fontId="0" fillId="0" borderId="2" xfId="0" applyBorder="1"/>
    <xf numFmtId="0" fontId="0" fillId="3" borderId="0" xfId="0" applyFill="1"/>
    <xf numFmtId="0" fontId="0" fillId="4" borderId="1" xfId="0" applyFill="1" applyBorder="1"/>
    <xf numFmtId="0" fontId="0" fillId="4" borderId="0" xfId="0" applyFill="1"/>
    <xf numFmtId="9" fontId="0" fillId="4" borderId="0" xfId="0" applyNumberFormat="1" applyFill="1"/>
    <xf numFmtId="0" fontId="2" fillId="4" borderId="0" xfId="0" applyFont="1" applyFill="1"/>
    <xf numFmtId="164" fontId="0" fillId="4" borderId="0" xfId="0" applyNumberFormat="1" applyFill="1"/>
    <xf numFmtId="10" fontId="0" fillId="4" borderId="0" xfId="0" applyNumberFormat="1" applyFill="1"/>
    <xf numFmtId="0" fontId="0" fillId="4" borderId="2" xfId="0" applyFill="1" applyBorder="1"/>
    <xf numFmtId="164" fontId="0" fillId="4" borderId="0" xfId="1" applyNumberFormat="1" applyFont="1" applyFill="1"/>
    <xf numFmtId="0" fontId="0" fillId="2" borderId="0" xfId="0" applyFill="1"/>
    <xf numFmtId="0" fontId="2" fillId="0" borderId="0" xfId="0" applyFont="1"/>
    <xf numFmtId="10" fontId="0" fillId="0" borderId="0" xfId="0" applyNumberFormat="1"/>
    <xf numFmtId="164" fontId="0" fillId="0" borderId="0" xfId="1" applyNumberFormat="1" applyFont="1" applyFill="1"/>
    <xf numFmtId="0" fontId="0" fillId="5" borderId="0" xfId="0" applyFill="1"/>
    <xf numFmtId="0" fontId="0" fillId="2" borderId="3" xfId="0" applyFill="1" applyBorder="1"/>
    <xf numFmtId="0" fontId="0" fillId="6" borderId="0" xfId="0" applyFill="1"/>
    <xf numFmtId="0" fontId="0" fillId="3" borderId="2" xfId="0" applyFill="1" applyBorder="1"/>
    <xf numFmtId="0" fontId="0" fillId="7" borderId="0" xfId="0" applyFill="1"/>
    <xf numFmtId="0" fontId="0" fillId="0" borderId="0" xfId="0" applyAlignment="1">
      <alignment horizontal="righ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5EA2-9524-6F4B-B293-ED62F1410E15}">
  <dimension ref="A1:BT95"/>
  <sheetViews>
    <sheetView tabSelected="1" topLeftCell="A66" workbookViewId="0">
      <selection activeCell="B79" sqref="B79"/>
    </sheetView>
  </sheetViews>
  <sheetFormatPr baseColWidth="10" defaultColWidth="10.83203125" defaultRowHeight="16" x14ac:dyDescent="0.2"/>
  <cols>
    <col min="1" max="1" width="36.33203125" customWidth="1"/>
    <col min="2" max="2" width="40.5" customWidth="1"/>
    <col min="3" max="3" width="36.33203125" customWidth="1"/>
    <col min="4" max="4" width="28.83203125" customWidth="1"/>
    <col min="5" max="5" width="18.1640625" customWidth="1"/>
    <col min="6" max="6" width="31" customWidth="1"/>
    <col min="7" max="7" width="21" customWidth="1"/>
    <col min="9" max="9" width="44.6640625" customWidth="1"/>
    <col min="34" max="34" width="19.6640625" customWidth="1"/>
    <col min="35" max="35" width="40.5" customWidth="1"/>
    <col min="36" max="36" width="23.6640625" customWidth="1"/>
    <col min="37" max="38" width="22.83203125" customWidth="1"/>
    <col min="39" max="39" width="29.5" customWidth="1"/>
    <col min="40" max="40" width="11.6640625" bestFit="1" customWidth="1"/>
    <col min="42" max="42" width="17.33203125" customWidth="1"/>
  </cols>
  <sheetData>
    <row r="1" spans="1:72" ht="15.75" thickBot="1" x14ac:dyDescent="0.25">
      <c r="A1" s="8" t="s">
        <v>0</v>
      </c>
      <c r="B1" s="8">
        <v>0</v>
      </c>
      <c r="C1" s="8">
        <f>B1+1</f>
        <v>1</v>
      </c>
      <c r="D1" s="8">
        <f t="shared" ref="D1:K1" si="0">C1+1</f>
        <v>2</v>
      </c>
      <c r="E1" s="8">
        <f t="shared" si="0"/>
        <v>3</v>
      </c>
      <c r="F1" s="8">
        <f t="shared" si="0"/>
        <v>4</v>
      </c>
      <c r="G1" s="8">
        <f t="shared" si="0"/>
        <v>5</v>
      </c>
      <c r="H1" s="8">
        <f t="shared" si="0"/>
        <v>6</v>
      </c>
      <c r="I1" s="8">
        <f t="shared" si="0"/>
        <v>7</v>
      </c>
      <c r="J1" s="8">
        <f t="shared" si="0"/>
        <v>8</v>
      </c>
      <c r="K1" s="8">
        <f t="shared" si="0"/>
        <v>9</v>
      </c>
      <c r="L1" s="8">
        <f>K1+1</f>
        <v>10</v>
      </c>
      <c r="M1" s="8">
        <f t="shared" ref="M1:AG1" si="1">L1+1</f>
        <v>11</v>
      </c>
      <c r="N1" s="8">
        <f t="shared" si="1"/>
        <v>12</v>
      </c>
      <c r="O1" s="8">
        <f t="shared" si="1"/>
        <v>13</v>
      </c>
      <c r="P1" s="8">
        <f t="shared" si="1"/>
        <v>14</v>
      </c>
      <c r="Q1" s="8">
        <f t="shared" si="1"/>
        <v>15</v>
      </c>
      <c r="R1" s="8">
        <f t="shared" si="1"/>
        <v>16</v>
      </c>
      <c r="S1" s="8">
        <f t="shared" si="1"/>
        <v>17</v>
      </c>
      <c r="T1" s="8">
        <f t="shared" si="1"/>
        <v>18</v>
      </c>
      <c r="U1" s="8">
        <f t="shared" si="1"/>
        <v>19</v>
      </c>
      <c r="V1" s="8">
        <f t="shared" si="1"/>
        <v>20</v>
      </c>
      <c r="W1" s="8">
        <f t="shared" si="1"/>
        <v>21</v>
      </c>
      <c r="X1" s="8">
        <f t="shared" si="1"/>
        <v>22</v>
      </c>
      <c r="Y1" s="8">
        <f t="shared" si="1"/>
        <v>23</v>
      </c>
      <c r="Z1" s="8">
        <f t="shared" si="1"/>
        <v>24</v>
      </c>
      <c r="AA1" s="8">
        <f t="shared" si="1"/>
        <v>25</v>
      </c>
      <c r="AB1" s="8">
        <f t="shared" si="1"/>
        <v>26</v>
      </c>
      <c r="AC1" s="8">
        <f t="shared" si="1"/>
        <v>27</v>
      </c>
      <c r="AD1" s="8">
        <f t="shared" si="1"/>
        <v>28</v>
      </c>
      <c r="AE1" s="8">
        <f t="shared" si="1"/>
        <v>29</v>
      </c>
      <c r="AF1" s="8">
        <f t="shared" si="1"/>
        <v>30</v>
      </c>
      <c r="AG1" s="8">
        <f t="shared" si="1"/>
        <v>31</v>
      </c>
      <c r="AH1" s="9"/>
      <c r="AI1" s="9" t="s">
        <v>35</v>
      </c>
      <c r="AJ1" s="10">
        <v>0.3</v>
      </c>
      <c r="AK1" s="9"/>
      <c r="AL1" s="9"/>
      <c r="AM1" s="9"/>
      <c r="AQ1">
        <v>1</v>
      </c>
      <c r="AR1">
        <f>AQ1+1</f>
        <v>2</v>
      </c>
      <c r="AS1">
        <f t="shared" ref="AS1:BS1" si="2">AR1+1</f>
        <v>3</v>
      </c>
      <c r="AT1">
        <f t="shared" si="2"/>
        <v>4</v>
      </c>
      <c r="AU1">
        <f t="shared" si="2"/>
        <v>5</v>
      </c>
      <c r="AV1">
        <f t="shared" si="2"/>
        <v>6</v>
      </c>
      <c r="AW1">
        <f t="shared" si="2"/>
        <v>7</v>
      </c>
      <c r="AX1">
        <f t="shared" si="2"/>
        <v>8</v>
      </c>
      <c r="AY1">
        <f t="shared" si="2"/>
        <v>9</v>
      </c>
      <c r="AZ1">
        <f t="shared" si="2"/>
        <v>10</v>
      </c>
      <c r="BA1">
        <f t="shared" si="2"/>
        <v>11</v>
      </c>
      <c r="BB1">
        <f t="shared" si="2"/>
        <v>12</v>
      </c>
      <c r="BC1">
        <f t="shared" si="2"/>
        <v>13</v>
      </c>
      <c r="BD1">
        <f t="shared" si="2"/>
        <v>14</v>
      </c>
      <c r="BE1">
        <f t="shared" si="2"/>
        <v>15</v>
      </c>
      <c r="BF1">
        <f t="shared" si="2"/>
        <v>16</v>
      </c>
      <c r="BG1">
        <f>BF1+1</f>
        <v>17</v>
      </c>
      <c r="BH1">
        <f t="shared" si="2"/>
        <v>18</v>
      </c>
      <c r="BI1">
        <f t="shared" si="2"/>
        <v>19</v>
      </c>
      <c r="BJ1">
        <f t="shared" si="2"/>
        <v>20</v>
      </c>
      <c r="BK1">
        <f t="shared" si="2"/>
        <v>21</v>
      </c>
      <c r="BL1">
        <f t="shared" si="2"/>
        <v>22</v>
      </c>
      <c r="BM1">
        <f t="shared" si="2"/>
        <v>23</v>
      </c>
      <c r="BN1">
        <f>BM1+1</f>
        <v>24</v>
      </c>
      <c r="BO1">
        <f t="shared" si="2"/>
        <v>25</v>
      </c>
      <c r="BP1">
        <f t="shared" si="2"/>
        <v>26</v>
      </c>
      <c r="BQ1">
        <f t="shared" si="2"/>
        <v>27</v>
      </c>
      <c r="BR1">
        <f t="shared" si="2"/>
        <v>28</v>
      </c>
      <c r="BS1">
        <f t="shared" si="2"/>
        <v>29</v>
      </c>
      <c r="BT1">
        <f>BS1+1</f>
        <v>30</v>
      </c>
    </row>
    <row r="2" spans="1:72" ht="15" x14ac:dyDescent="0.2">
      <c r="A2" s="9" t="s">
        <v>4</v>
      </c>
      <c r="B2" s="9">
        <f>0</f>
        <v>0</v>
      </c>
      <c r="C2" s="9">
        <f>AN2*AN3*(1-AJ16)*12</f>
        <v>45068.633380415587</v>
      </c>
      <c r="D2" s="9">
        <f t="shared" ref="D2:AG2" si="3">C2*(1+$AN$4)</f>
        <v>46195.349214925976</v>
      </c>
      <c r="E2" s="9">
        <f t="shared" si="3"/>
        <v>47350.232945299125</v>
      </c>
      <c r="F2" s="9">
        <f t="shared" si="3"/>
        <v>48533.988768931602</v>
      </c>
      <c r="G2" s="9">
        <f t="shared" si="3"/>
        <v>49747.338488154885</v>
      </c>
      <c r="H2" s="9">
        <f t="shared" si="3"/>
        <v>50991.02195035875</v>
      </c>
      <c r="I2" s="9">
        <f t="shared" si="3"/>
        <v>52265.797499117718</v>
      </c>
      <c r="J2" s="9">
        <f t="shared" si="3"/>
        <v>53572.442436595658</v>
      </c>
      <c r="K2" s="9">
        <f t="shared" si="3"/>
        <v>54911.753497510545</v>
      </c>
      <c r="L2" s="9">
        <f t="shared" si="3"/>
        <v>56284.5473349483</v>
      </c>
      <c r="M2" s="9">
        <f t="shared" si="3"/>
        <v>57691.661018322004</v>
      </c>
      <c r="N2" s="9">
        <f t="shared" si="3"/>
        <v>59133.952543780048</v>
      </c>
      <c r="O2" s="9">
        <f t="shared" si="3"/>
        <v>60612.301357374541</v>
      </c>
      <c r="P2" s="9">
        <f t="shared" si="3"/>
        <v>62127.608891308897</v>
      </c>
      <c r="Q2" s="9">
        <f t="shared" si="3"/>
        <v>63680.799113591616</v>
      </c>
      <c r="R2" s="9">
        <f t="shared" si="3"/>
        <v>65272.819091431404</v>
      </c>
      <c r="S2" s="9">
        <f t="shared" si="3"/>
        <v>66904.63956871719</v>
      </c>
      <c r="T2" s="9">
        <f t="shared" si="3"/>
        <v>68577.255557935117</v>
      </c>
      <c r="U2" s="9">
        <f t="shared" si="3"/>
        <v>70291.686946883492</v>
      </c>
      <c r="V2" s="9">
        <f t="shared" si="3"/>
        <v>72048.979120555567</v>
      </c>
      <c r="W2" s="9">
        <f t="shared" si="3"/>
        <v>73850.203598569453</v>
      </c>
      <c r="X2" s="9">
        <f t="shared" si="3"/>
        <v>75696.458688533676</v>
      </c>
      <c r="Y2" s="9">
        <f t="shared" si="3"/>
        <v>77588.870155747005</v>
      </c>
      <c r="Z2" s="9">
        <f t="shared" si="3"/>
        <v>79528.591909640672</v>
      </c>
      <c r="AA2" s="9">
        <f t="shared" si="3"/>
        <v>81516.806707381678</v>
      </c>
      <c r="AB2" s="9">
        <f t="shared" si="3"/>
        <v>83554.726875066219</v>
      </c>
      <c r="AC2" s="9">
        <f t="shared" si="3"/>
        <v>85643.595046942864</v>
      </c>
      <c r="AD2" s="9">
        <f t="shared" si="3"/>
        <v>87784.684923116423</v>
      </c>
      <c r="AE2" s="9">
        <f t="shared" si="3"/>
        <v>89979.302046194323</v>
      </c>
      <c r="AF2" s="9">
        <f t="shared" si="3"/>
        <v>92228.784597349179</v>
      </c>
      <c r="AG2" s="9">
        <f t="shared" si="3"/>
        <v>94534.504212282904</v>
      </c>
      <c r="AH2" s="9"/>
      <c r="AI2" s="9" t="s">
        <v>21</v>
      </c>
      <c r="AJ2" s="9">
        <v>400000</v>
      </c>
      <c r="AK2" s="9"/>
      <c r="AL2" s="11" t="s">
        <v>4</v>
      </c>
      <c r="AM2" s="9" t="s">
        <v>1</v>
      </c>
      <c r="AN2">
        <f>AJ2*0.01</f>
        <v>4000</v>
      </c>
      <c r="AP2" t="s">
        <v>15</v>
      </c>
      <c r="AQ2">
        <f t="shared" ref="AQ2:BT2" si="4">$AN$16*12</f>
        <v>644691.22808888974</v>
      </c>
      <c r="AR2">
        <f t="shared" si="4"/>
        <v>644691.22808888974</v>
      </c>
      <c r="AS2">
        <f t="shared" si="4"/>
        <v>644691.22808888974</v>
      </c>
      <c r="AT2">
        <f t="shared" si="4"/>
        <v>644691.22808888974</v>
      </c>
      <c r="AU2">
        <f t="shared" si="4"/>
        <v>644691.22808888974</v>
      </c>
      <c r="AV2">
        <f t="shared" si="4"/>
        <v>644691.22808888974</v>
      </c>
      <c r="AW2">
        <f t="shared" si="4"/>
        <v>644691.22808888974</v>
      </c>
      <c r="AX2">
        <f t="shared" si="4"/>
        <v>644691.22808888974</v>
      </c>
      <c r="AY2">
        <f t="shared" si="4"/>
        <v>644691.22808888974</v>
      </c>
      <c r="AZ2">
        <f t="shared" si="4"/>
        <v>644691.22808888974</v>
      </c>
      <c r="BA2">
        <f t="shared" si="4"/>
        <v>644691.22808888974</v>
      </c>
      <c r="BB2">
        <f t="shared" si="4"/>
        <v>644691.22808888974</v>
      </c>
      <c r="BC2">
        <f t="shared" si="4"/>
        <v>644691.22808888974</v>
      </c>
      <c r="BD2">
        <f t="shared" si="4"/>
        <v>644691.22808888974</v>
      </c>
      <c r="BE2">
        <f t="shared" si="4"/>
        <v>644691.22808888974</v>
      </c>
      <c r="BF2">
        <f t="shared" si="4"/>
        <v>644691.22808888974</v>
      </c>
      <c r="BG2">
        <f t="shared" si="4"/>
        <v>644691.22808888974</v>
      </c>
      <c r="BH2">
        <f t="shared" si="4"/>
        <v>644691.22808888974</v>
      </c>
      <c r="BI2">
        <f t="shared" si="4"/>
        <v>644691.22808888974</v>
      </c>
      <c r="BJ2">
        <f t="shared" si="4"/>
        <v>644691.22808888974</v>
      </c>
      <c r="BK2">
        <f t="shared" si="4"/>
        <v>644691.22808888974</v>
      </c>
      <c r="BL2">
        <f t="shared" si="4"/>
        <v>644691.22808888974</v>
      </c>
      <c r="BM2">
        <f t="shared" si="4"/>
        <v>644691.22808888974</v>
      </c>
      <c r="BN2">
        <f t="shared" si="4"/>
        <v>644691.22808888974</v>
      </c>
      <c r="BO2">
        <f t="shared" si="4"/>
        <v>644691.22808888974</v>
      </c>
      <c r="BP2">
        <f t="shared" si="4"/>
        <v>644691.22808888974</v>
      </c>
      <c r="BQ2">
        <f t="shared" si="4"/>
        <v>644691.22808888974</v>
      </c>
      <c r="BR2">
        <f t="shared" si="4"/>
        <v>644691.22808888974</v>
      </c>
      <c r="BS2">
        <f t="shared" si="4"/>
        <v>644691.22808888974</v>
      </c>
      <c r="BT2">
        <f t="shared" si="4"/>
        <v>644691.22808888974</v>
      </c>
    </row>
    <row r="3" spans="1:72" ht="15" x14ac:dyDescent="0.2">
      <c r="A3" s="9" t="s">
        <v>5</v>
      </c>
      <c r="B3" s="9">
        <f>-AN6*AN7*AN11</f>
        <v>-80000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c r="AI3" s="9" t="s">
        <v>22</v>
      </c>
      <c r="AJ3" s="10">
        <v>0.01</v>
      </c>
      <c r="AK3" s="9"/>
      <c r="AL3" s="9"/>
      <c r="AM3" s="9" t="s">
        <v>2</v>
      </c>
      <c r="AN3">
        <v>1</v>
      </c>
      <c r="AP3" t="s">
        <v>13</v>
      </c>
      <c r="AQ3">
        <f t="shared" ref="AQ3:BT3" si="5">AQ2/(1+$AN$17)^AQ1</f>
        <v>602515.16643821471</v>
      </c>
      <c r="AR3">
        <f t="shared" si="5"/>
        <v>563098.28639085486</v>
      </c>
      <c r="AS3">
        <f t="shared" si="5"/>
        <v>526260.08073911665</v>
      </c>
      <c r="AT3">
        <f t="shared" si="5"/>
        <v>491831.85115805297</v>
      </c>
      <c r="AU3">
        <f t="shared" si="5"/>
        <v>459655.9356617317</v>
      </c>
      <c r="AV3">
        <f t="shared" si="5"/>
        <v>429584.9865997493</v>
      </c>
      <c r="AW3">
        <f t="shared" si="5"/>
        <v>401481.29588761611</v>
      </c>
      <c r="AX3">
        <f t="shared" si="5"/>
        <v>375216.16438094969</v>
      </c>
      <c r="AY3">
        <f t="shared" si="5"/>
        <v>350669.3125055604</v>
      </c>
      <c r="AZ3">
        <f t="shared" si="5"/>
        <v>327728.32944444899</v>
      </c>
      <c r="BA3">
        <f t="shared" si="5"/>
        <v>306288.15835929808</v>
      </c>
      <c r="BB3">
        <f t="shared" si="5"/>
        <v>286250.61528906366</v>
      </c>
      <c r="BC3">
        <f t="shared" si="5"/>
        <v>267523.93952248938</v>
      </c>
      <c r="BD3">
        <f t="shared" si="5"/>
        <v>250022.37338550412</v>
      </c>
      <c r="BE3">
        <f t="shared" si="5"/>
        <v>233665.76951916271</v>
      </c>
      <c r="BF3">
        <f t="shared" si="5"/>
        <v>218379.22384968481</v>
      </c>
      <c r="BG3">
        <f t="shared" si="5"/>
        <v>204092.73256979889</v>
      </c>
      <c r="BH3">
        <f t="shared" si="5"/>
        <v>190740.8715605597</v>
      </c>
      <c r="BI3">
        <f t="shared" si="5"/>
        <v>178262.49678556979</v>
      </c>
      <c r="BJ3">
        <f t="shared" si="5"/>
        <v>166600.46428557928</v>
      </c>
      <c r="BK3">
        <f t="shared" si="5"/>
        <v>155701.36849119558</v>
      </c>
      <c r="BL3">
        <f t="shared" si="5"/>
        <v>145515.29765532297</v>
      </c>
      <c r="BM3">
        <f t="shared" si="5"/>
        <v>135995.60528534855</v>
      </c>
      <c r="BN3">
        <f t="shared" si="5"/>
        <v>127098.69652836313</v>
      </c>
      <c r="BO3">
        <f t="shared" si="5"/>
        <v>118783.82853118049</v>
      </c>
      <c r="BP3">
        <f t="shared" si="5"/>
        <v>111012.92386091636</v>
      </c>
      <c r="BQ3">
        <f t="shared" si="5"/>
        <v>103750.3961316975</v>
      </c>
      <c r="BR3">
        <f t="shared" si="5"/>
        <v>96962.987038969659</v>
      </c>
      <c r="BS3">
        <f t="shared" si="5"/>
        <v>90619.614055111815</v>
      </c>
      <c r="BT3">
        <f t="shared" si="5"/>
        <v>84691.228088889562</v>
      </c>
    </row>
    <row r="4" spans="1:72" ht="15" x14ac:dyDescent="0.2">
      <c r="A4" s="9" t="s">
        <v>9</v>
      </c>
      <c r="B4" s="9">
        <v>0</v>
      </c>
      <c r="C4" s="9">
        <f>-AN16*12</f>
        <v>-644691.22808888974</v>
      </c>
      <c r="D4" s="9">
        <f>C4</f>
        <v>-644691.22808888974</v>
      </c>
      <c r="E4" s="9">
        <f t="shared" ref="E4:K4" si="6">D4</f>
        <v>-644691.22808888974</v>
      </c>
      <c r="F4" s="9">
        <f t="shared" si="6"/>
        <v>-644691.22808888974</v>
      </c>
      <c r="G4" s="9">
        <f t="shared" si="6"/>
        <v>-644691.22808888974</v>
      </c>
      <c r="H4" s="9">
        <f t="shared" si="6"/>
        <v>-644691.22808888974</v>
      </c>
      <c r="I4" s="9">
        <f t="shared" si="6"/>
        <v>-644691.22808888974</v>
      </c>
      <c r="J4" s="9">
        <f t="shared" si="6"/>
        <v>-644691.22808888974</v>
      </c>
      <c r="K4" s="9">
        <f t="shared" si="6"/>
        <v>-644691.22808888974</v>
      </c>
      <c r="L4" s="9">
        <f>K4</f>
        <v>-644691.22808888974</v>
      </c>
      <c r="M4" s="9">
        <f t="shared" ref="M4:AF4" si="7">L4</f>
        <v>-644691.22808888974</v>
      </c>
      <c r="N4" s="9">
        <f t="shared" si="7"/>
        <v>-644691.22808888974</v>
      </c>
      <c r="O4" s="9">
        <f t="shared" si="7"/>
        <v>-644691.22808888974</v>
      </c>
      <c r="P4" s="9">
        <f t="shared" si="7"/>
        <v>-644691.22808888974</v>
      </c>
      <c r="Q4" s="9">
        <f t="shared" si="7"/>
        <v>-644691.22808888974</v>
      </c>
      <c r="R4" s="9">
        <f t="shared" si="7"/>
        <v>-644691.22808888974</v>
      </c>
      <c r="S4" s="9">
        <f t="shared" si="7"/>
        <v>-644691.22808888974</v>
      </c>
      <c r="T4" s="9">
        <f t="shared" si="7"/>
        <v>-644691.22808888974</v>
      </c>
      <c r="U4" s="9">
        <f t="shared" si="7"/>
        <v>-644691.22808888974</v>
      </c>
      <c r="V4" s="9">
        <f t="shared" si="7"/>
        <v>-644691.22808888974</v>
      </c>
      <c r="W4" s="9">
        <f t="shared" si="7"/>
        <v>-644691.22808888974</v>
      </c>
      <c r="X4" s="9">
        <f t="shared" si="7"/>
        <v>-644691.22808888974</v>
      </c>
      <c r="Y4" s="9">
        <f t="shared" si="7"/>
        <v>-644691.22808888974</v>
      </c>
      <c r="Z4" s="9">
        <f t="shared" si="7"/>
        <v>-644691.22808888974</v>
      </c>
      <c r="AA4" s="9">
        <f t="shared" si="7"/>
        <v>-644691.22808888974</v>
      </c>
      <c r="AB4" s="9">
        <f t="shared" si="7"/>
        <v>-644691.22808888974</v>
      </c>
      <c r="AC4" s="9">
        <f t="shared" si="7"/>
        <v>-644691.22808888974</v>
      </c>
      <c r="AD4" s="9">
        <f t="shared" si="7"/>
        <v>-644691.22808888974</v>
      </c>
      <c r="AE4" s="9">
        <f t="shared" si="7"/>
        <v>-644691.22808888974</v>
      </c>
      <c r="AF4" s="9">
        <f t="shared" si="7"/>
        <v>-644691.22808888974</v>
      </c>
      <c r="AG4" s="9">
        <v>0</v>
      </c>
      <c r="AH4" s="9"/>
      <c r="AI4" s="9" t="s">
        <v>24</v>
      </c>
      <c r="AJ4" s="10">
        <v>0.01</v>
      </c>
      <c r="AK4" s="9"/>
      <c r="AL4" s="9"/>
      <c r="AM4" s="9" t="s">
        <v>3</v>
      </c>
      <c r="AN4" s="1">
        <v>2.5000000000000001E-2</v>
      </c>
      <c r="AP4" t="s">
        <v>14</v>
      </c>
      <c r="AQ4">
        <f>SUM(AQ3:BT3)</f>
        <v>8000000</v>
      </c>
    </row>
    <row r="5" spans="1:72" ht="15" x14ac:dyDescent="0.2">
      <c r="A5" s="9" t="s">
        <v>17</v>
      </c>
      <c r="B5" s="9">
        <f>-AO21*AN20</f>
        <v>-1200</v>
      </c>
      <c r="C5" s="9">
        <f t="shared" ref="C5:AG5" si="8">B5*(1+$AN$22)</f>
        <v>-1236</v>
      </c>
      <c r="D5" s="9">
        <f t="shared" si="8"/>
        <v>-1273.08</v>
      </c>
      <c r="E5" s="9">
        <f t="shared" si="8"/>
        <v>-1311.2724000000001</v>
      </c>
      <c r="F5" s="9">
        <f t="shared" si="8"/>
        <v>-1350.610572</v>
      </c>
      <c r="G5" s="9">
        <f t="shared" si="8"/>
        <v>-1391.12888916</v>
      </c>
      <c r="H5" s="9">
        <f t="shared" si="8"/>
        <v>-1432.8627558348001</v>
      </c>
      <c r="I5" s="9">
        <f t="shared" si="8"/>
        <v>-1475.848638509844</v>
      </c>
      <c r="J5" s="9">
        <f t="shared" si="8"/>
        <v>-1520.1240976651393</v>
      </c>
      <c r="K5" s="9">
        <f t="shared" si="8"/>
        <v>-1565.7278205950936</v>
      </c>
      <c r="L5" s="9">
        <f t="shared" si="8"/>
        <v>-1612.6996552129465</v>
      </c>
      <c r="M5" s="9">
        <f t="shared" si="8"/>
        <v>-1661.0806448693349</v>
      </c>
      <c r="N5" s="9">
        <f t="shared" si="8"/>
        <v>-1710.913064215415</v>
      </c>
      <c r="O5" s="9">
        <f t="shared" si="8"/>
        <v>-1762.2404561418775</v>
      </c>
      <c r="P5" s="9">
        <f t="shared" si="8"/>
        <v>-1815.1076698261338</v>
      </c>
      <c r="Q5" s="9">
        <f t="shared" si="8"/>
        <v>-1869.5608999209178</v>
      </c>
      <c r="R5" s="9">
        <f t="shared" si="8"/>
        <v>-1925.6477269185455</v>
      </c>
      <c r="S5" s="9">
        <f t="shared" si="8"/>
        <v>-1983.4171587261019</v>
      </c>
      <c r="T5" s="9">
        <f t="shared" si="8"/>
        <v>-2042.9196734878849</v>
      </c>
      <c r="U5" s="9">
        <f t="shared" si="8"/>
        <v>-2104.2072636925213</v>
      </c>
      <c r="V5" s="9">
        <f t="shared" si="8"/>
        <v>-2167.3334816032971</v>
      </c>
      <c r="W5" s="9">
        <f t="shared" si="8"/>
        <v>-2232.353486051396</v>
      </c>
      <c r="X5" s="9">
        <f t="shared" si="8"/>
        <v>-2299.3240906329379</v>
      </c>
      <c r="Y5" s="9">
        <f t="shared" si="8"/>
        <v>-2368.3038133519262</v>
      </c>
      <c r="Z5" s="9">
        <f t="shared" si="8"/>
        <v>-2439.352927752484</v>
      </c>
      <c r="AA5" s="9">
        <f t="shared" si="8"/>
        <v>-2512.5335155850585</v>
      </c>
      <c r="AB5" s="9">
        <f t="shared" si="8"/>
        <v>-2587.9095210526102</v>
      </c>
      <c r="AC5" s="9">
        <f t="shared" si="8"/>
        <v>-2665.5468066841886</v>
      </c>
      <c r="AD5" s="9">
        <f t="shared" si="8"/>
        <v>-2745.5132108847142</v>
      </c>
      <c r="AE5" s="9">
        <f t="shared" si="8"/>
        <v>-2827.8786072112557</v>
      </c>
      <c r="AF5" s="9">
        <f t="shared" si="8"/>
        <v>-2912.7149654275936</v>
      </c>
      <c r="AG5" s="9">
        <f t="shared" si="8"/>
        <v>-3000.0964143904216</v>
      </c>
      <c r="AH5" s="9"/>
      <c r="AI5" s="9" t="s">
        <v>23</v>
      </c>
      <c r="AJ5" s="12">
        <v>2E-3</v>
      </c>
      <c r="AK5" s="9">
        <f>AJ2*AJ5</f>
        <v>800</v>
      </c>
      <c r="AL5" s="9"/>
      <c r="AM5" s="9"/>
      <c r="AP5" t="s">
        <v>16</v>
      </c>
      <c r="AQ5">
        <v>8000000</v>
      </c>
    </row>
    <row r="6" spans="1:72" ht="15" x14ac:dyDescent="0.2">
      <c r="A6" s="9" t="s">
        <v>20</v>
      </c>
      <c r="B6" s="9">
        <f>-AN51*AN3</f>
        <v>-800</v>
      </c>
      <c r="C6" s="9">
        <f>B6*(1+$AJ$4)</f>
        <v>-808</v>
      </c>
      <c r="D6" s="9">
        <f t="shared" ref="D6:AG6" si="9">C6*(1+$AJ$4)</f>
        <v>-816.08</v>
      </c>
      <c r="E6" s="9">
        <f t="shared" si="9"/>
        <v>-824.24080000000004</v>
      </c>
      <c r="F6" s="9">
        <f t="shared" si="9"/>
        <v>-832.48320799999999</v>
      </c>
      <c r="G6" s="9">
        <f t="shared" si="9"/>
        <v>-840.80804007999996</v>
      </c>
      <c r="H6" s="9">
        <f t="shared" si="9"/>
        <v>-849.21612048079999</v>
      </c>
      <c r="I6" s="9">
        <f t="shared" si="9"/>
        <v>-857.70828168560797</v>
      </c>
      <c r="J6" s="9">
        <f t="shared" si="9"/>
        <v>-866.28536450246406</v>
      </c>
      <c r="K6" s="9">
        <f t="shared" si="9"/>
        <v>-874.94821814748866</v>
      </c>
      <c r="L6" s="9">
        <f t="shared" si="9"/>
        <v>-883.69770032896361</v>
      </c>
      <c r="M6" s="9">
        <f t="shared" si="9"/>
        <v>-892.5346773322533</v>
      </c>
      <c r="N6" s="9">
        <f t="shared" si="9"/>
        <v>-901.46002410557583</v>
      </c>
      <c r="O6" s="9">
        <f t="shared" si="9"/>
        <v>-910.47462434663157</v>
      </c>
      <c r="P6" s="9">
        <f t="shared" si="9"/>
        <v>-919.57937059009794</v>
      </c>
      <c r="Q6" s="9">
        <f t="shared" si="9"/>
        <v>-928.77516429599893</v>
      </c>
      <c r="R6" s="9">
        <f t="shared" si="9"/>
        <v>-938.06291593895889</v>
      </c>
      <c r="S6" s="9">
        <f t="shared" si="9"/>
        <v>-947.44354509834852</v>
      </c>
      <c r="T6" s="9">
        <f t="shared" si="9"/>
        <v>-956.91798054933201</v>
      </c>
      <c r="U6" s="9">
        <f t="shared" si="9"/>
        <v>-966.48716035482539</v>
      </c>
      <c r="V6" s="9">
        <f t="shared" si="9"/>
        <v>-976.15203195837364</v>
      </c>
      <c r="W6" s="9">
        <f t="shared" si="9"/>
        <v>-985.91355227795736</v>
      </c>
      <c r="X6" s="9">
        <f t="shared" si="9"/>
        <v>-995.772687800737</v>
      </c>
      <c r="Y6" s="9">
        <f t="shared" si="9"/>
        <v>-1005.7304146787444</v>
      </c>
      <c r="Z6" s="9">
        <f t="shared" si="9"/>
        <v>-1015.7877188255319</v>
      </c>
      <c r="AA6" s="9">
        <f t="shared" si="9"/>
        <v>-1025.9455960137873</v>
      </c>
      <c r="AB6" s="9">
        <f t="shared" si="9"/>
        <v>-1036.2050519739253</v>
      </c>
      <c r="AC6" s="9">
        <f t="shared" si="9"/>
        <v>-1046.5671024936646</v>
      </c>
      <c r="AD6" s="9">
        <f t="shared" si="9"/>
        <v>-1057.0327735186013</v>
      </c>
      <c r="AE6" s="9">
        <f t="shared" si="9"/>
        <v>-1067.6031012537874</v>
      </c>
      <c r="AF6" s="9">
        <f t="shared" si="9"/>
        <v>-1078.2791322663252</v>
      </c>
      <c r="AG6" s="9">
        <f t="shared" si="9"/>
        <v>-1089.0619235889885</v>
      </c>
      <c r="AH6" s="9"/>
      <c r="AI6" s="9" t="s">
        <v>27</v>
      </c>
      <c r="AJ6" s="10">
        <v>0.05</v>
      </c>
      <c r="AK6" s="9"/>
      <c r="AL6" s="11" t="s">
        <v>5</v>
      </c>
      <c r="AM6" s="9" t="s">
        <v>6</v>
      </c>
      <c r="AN6">
        <f>AJ2</f>
        <v>400000</v>
      </c>
    </row>
    <row r="7" spans="1:72" ht="15" x14ac:dyDescent="0.2">
      <c r="A7" s="9" t="s">
        <v>25</v>
      </c>
      <c r="B7" s="9">
        <f>-AJ2*AJ6*AN3</f>
        <v>-20000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c r="AI7" s="9" t="s">
        <v>28</v>
      </c>
      <c r="AJ7" s="13">
        <v>0.01</v>
      </c>
      <c r="AK7" s="9">
        <f>AJ2*AJ7</f>
        <v>4000</v>
      </c>
      <c r="AL7" s="9"/>
      <c r="AM7" s="9" t="s">
        <v>2</v>
      </c>
      <c r="AN7">
        <f>AN3</f>
        <v>1</v>
      </c>
    </row>
    <row r="8" spans="1:72" ht="15" x14ac:dyDescent="0.2">
      <c r="A8" s="9" t="s">
        <v>43</v>
      </c>
      <c r="B8" s="9">
        <v>0</v>
      </c>
      <c r="C8" s="9">
        <f>$B$7/5</f>
        <v>-4000</v>
      </c>
      <c r="D8" s="9">
        <f t="shared" ref="D8:G8" si="10">$B$7/5</f>
        <v>-4000</v>
      </c>
      <c r="E8" s="9">
        <f t="shared" si="10"/>
        <v>-4000</v>
      </c>
      <c r="F8" s="9">
        <f t="shared" si="10"/>
        <v>-4000</v>
      </c>
      <c r="G8" s="9">
        <f t="shared" si="10"/>
        <v>-4000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c r="AI8" s="9"/>
      <c r="AJ8" s="13"/>
      <c r="AK8" s="9"/>
      <c r="AL8" s="9"/>
      <c r="AM8" s="9"/>
    </row>
    <row r="9" spans="1:72" ht="15" x14ac:dyDescent="0.2">
      <c r="A9" s="9" t="s">
        <v>38</v>
      </c>
      <c r="B9" s="9">
        <f>-AJ2*AJ3</f>
        <v>-4000</v>
      </c>
      <c r="C9" s="9">
        <f>B9*(1+$AJ$4)</f>
        <v>-4040</v>
      </c>
      <c r="D9" s="9">
        <f t="shared" ref="D9:AG9" si="11">C9*(1+$AJ$4)</f>
        <v>-4080.4</v>
      </c>
      <c r="E9" s="9">
        <f t="shared" si="11"/>
        <v>-4121.2039999999997</v>
      </c>
      <c r="F9" s="9">
        <f t="shared" si="11"/>
        <v>-4162.4160400000001</v>
      </c>
      <c r="G9" s="9">
        <f t="shared" si="11"/>
        <v>-4204.0402003999998</v>
      </c>
      <c r="H9" s="9">
        <f t="shared" si="11"/>
        <v>-4246.0806024039994</v>
      </c>
      <c r="I9" s="9">
        <f t="shared" si="11"/>
        <v>-4288.5414084280392</v>
      </c>
      <c r="J9" s="9">
        <f t="shared" si="11"/>
        <v>-4331.4268225123196</v>
      </c>
      <c r="K9" s="9">
        <f t="shared" si="11"/>
        <v>-4374.7410907374433</v>
      </c>
      <c r="L9" s="9">
        <f t="shared" si="11"/>
        <v>-4418.4885016448179</v>
      </c>
      <c r="M9" s="9">
        <f t="shared" si="11"/>
        <v>-4462.6733866612658</v>
      </c>
      <c r="N9" s="9">
        <f t="shared" si="11"/>
        <v>-4507.3001205278788</v>
      </c>
      <c r="O9" s="9">
        <f t="shared" si="11"/>
        <v>-4552.3731217331579</v>
      </c>
      <c r="P9" s="9">
        <f t="shared" si="11"/>
        <v>-4597.8968529504891</v>
      </c>
      <c r="Q9" s="9">
        <f t="shared" si="11"/>
        <v>-4643.8758214799936</v>
      </c>
      <c r="R9" s="9">
        <f t="shared" si="11"/>
        <v>-4690.3145796947938</v>
      </c>
      <c r="S9" s="9">
        <f t="shared" si="11"/>
        <v>-4737.2177254917415</v>
      </c>
      <c r="T9" s="9">
        <f t="shared" si="11"/>
        <v>-4784.5899027466585</v>
      </c>
      <c r="U9" s="9">
        <f t="shared" si="11"/>
        <v>-4832.4358017741251</v>
      </c>
      <c r="V9" s="9">
        <f t="shared" si="11"/>
        <v>-4880.7601597918665</v>
      </c>
      <c r="W9" s="9">
        <f t="shared" si="11"/>
        <v>-4929.5677613897851</v>
      </c>
      <c r="X9" s="9">
        <f t="shared" si="11"/>
        <v>-4978.8634390036832</v>
      </c>
      <c r="Y9" s="9">
        <f t="shared" si="11"/>
        <v>-5028.6520733937205</v>
      </c>
      <c r="Z9" s="9">
        <f t="shared" si="11"/>
        <v>-5078.9385941276578</v>
      </c>
      <c r="AA9" s="9">
        <f t="shared" si="11"/>
        <v>-5129.7279800689348</v>
      </c>
      <c r="AB9" s="9">
        <f t="shared" si="11"/>
        <v>-5181.0252598696243</v>
      </c>
      <c r="AC9" s="9">
        <f t="shared" si="11"/>
        <v>-5232.8355124683203</v>
      </c>
      <c r="AD9" s="9">
        <f t="shared" si="11"/>
        <v>-5285.1638675930035</v>
      </c>
      <c r="AE9" s="9">
        <f t="shared" si="11"/>
        <v>-5338.0155062689337</v>
      </c>
      <c r="AF9" s="9">
        <f t="shared" si="11"/>
        <v>-5391.3956613316232</v>
      </c>
      <c r="AG9" s="9">
        <f t="shared" si="11"/>
        <v>-5445.3096179449394</v>
      </c>
      <c r="AH9" s="9"/>
      <c r="AI9" s="9"/>
      <c r="AJ9" s="13"/>
      <c r="AK9" s="9"/>
      <c r="AL9" s="9"/>
      <c r="AM9" s="9"/>
    </row>
    <row r="10" spans="1:72" ht="15" x14ac:dyDescent="0.2">
      <c r="A10" s="9" t="s">
        <v>36</v>
      </c>
      <c r="B10" s="9">
        <f>-$AJ$10</f>
        <v>-200</v>
      </c>
      <c r="C10" s="9">
        <f>B10*(1+$AN$4)</f>
        <v>-204.99999999999997</v>
      </c>
      <c r="D10" s="9">
        <f t="shared" ref="D10:AG10" si="12">C10*(1+$AN$4)</f>
        <v>-210.12499999999994</v>
      </c>
      <c r="E10" s="9">
        <f t="shared" si="12"/>
        <v>-215.37812499999993</v>
      </c>
      <c r="F10" s="9">
        <f t="shared" si="12"/>
        <v>-220.76257812499992</v>
      </c>
      <c r="G10" s="9">
        <f t="shared" si="12"/>
        <v>-226.28164257812489</v>
      </c>
      <c r="H10" s="9">
        <f t="shared" si="12"/>
        <v>-231.93868364257798</v>
      </c>
      <c r="I10" s="9">
        <f t="shared" si="12"/>
        <v>-237.73715073364241</v>
      </c>
      <c r="J10" s="9">
        <f t="shared" si="12"/>
        <v>-243.68057950198346</v>
      </c>
      <c r="K10" s="9">
        <f t="shared" si="12"/>
        <v>-249.77259398953302</v>
      </c>
      <c r="L10" s="9">
        <f t="shared" si="12"/>
        <v>-256.01690883927131</v>
      </c>
      <c r="M10" s="9">
        <f t="shared" si="12"/>
        <v>-262.41733156025305</v>
      </c>
      <c r="N10" s="9">
        <f t="shared" si="12"/>
        <v>-268.97776484925936</v>
      </c>
      <c r="O10" s="9">
        <f t="shared" si="12"/>
        <v>-275.7022089704908</v>
      </c>
      <c r="P10" s="9">
        <f t="shared" si="12"/>
        <v>-282.59476419475305</v>
      </c>
      <c r="Q10" s="9">
        <f t="shared" si="12"/>
        <v>-289.65963329962187</v>
      </c>
      <c r="R10" s="9">
        <f t="shared" si="12"/>
        <v>-296.90112413211239</v>
      </c>
      <c r="S10" s="9">
        <f t="shared" si="12"/>
        <v>-304.32365223541518</v>
      </c>
      <c r="T10" s="9">
        <f t="shared" si="12"/>
        <v>-311.93174354130053</v>
      </c>
      <c r="U10" s="9">
        <f t="shared" si="12"/>
        <v>-319.73003712983302</v>
      </c>
      <c r="V10" s="9">
        <f t="shared" si="12"/>
        <v>-327.72328805807882</v>
      </c>
      <c r="W10" s="9">
        <f t="shared" si="12"/>
        <v>-335.91637025953077</v>
      </c>
      <c r="X10" s="9">
        <f t="shared" si="12"/>
        <v>-344.31427951601898</v>
      </c>
      <c r="Y10" s="9">
        <f t="shared" si="12"/>
        <v>-352.92213650391943</v>
      </c>
      <c r="Z10" s="9">
        <f t="shared" si="12"/>
        <v>-361.7451899165174</v>
      </c>
      <c r="AA10" s="9">
        <f t="shared" si="12"/>
        <v>-370.78881966443032</v>
      </c>
      <c r="AB10" s="9">
        <f t="shared" si="12"/>
        <v>-380.05854015604103</v>
      </c>
      <c r="AC10" s="9">
        <f t="shared" si="12"/>
        <v>-389.56000365994203</v>
      </c>
      <c r="AD10" s="9">
        <f t="shared" si="12"/>
        <v>-399.29900375144052</v>
      </c>
      <c r="AE10" s="9">
        <f t="shared" si="12"/>
        <v>-409.2814788452265</v>
      </c>
      <c r="AF10" s="9">
        <f t="shared" si="12"/>
        <v>-419.51351581635714</v>
      </c>
      <c r="AG10" s="9">
        <f t="shared" si="12"/>
        <v>-430.00135371176606</v>
      </c>
      <c r="AH10" s="9"/>
      <c r="AI10" s="9" t="s">
        <v>36</v>
      </c>
      <c r="AJ10" s="9">
        <f>200</f>
        <v>200</v>
      </c>
      <c r="AK10" s="9"/>
      <c r="AL10" s="9"/>
      <c r="AM10" s="9"/>
    </row>
    <row r="11" spans="1:72" ht="15" x14ac:dyDescent="0.2">
      <c r="A11" s="9" t="s">
        <v>26</v>
      </c>
      <c r="B11" s="9">
        <v>0</v>
      </c>
      <c r="C11" s="9">
        <v>0</v>
      </c>
      <c r="D11" s="9">
        <f>-AN55</f>
        <v>-4000</v>
      </c>
      <c r="E11" s="9">
        <f>D11*(1+$AN$4)</f>
        <v>-4100</v>
      </c>
      <c r="F11" s="9">
        <f t="shared" ref="F11:AG11" si="13">E11*(1+$AN$4)</f>
        <v>-4202.5</v>
      </c>
      <c r="G11" s="9">
        <f t="shared" si="13"/>
        <v>-4307.5625</v>
      </c>
      <c r="H11" s="9">
        <f t="shared" si="13"/>
        <v>-4415.2515624999996</v>
      </c>
      <c r="I11" s="9">
        <f t="shared" si="13"/>
        <v>-4525.6328515624991</v>
      </c>
      <c r="J11" s="9">
        <f t="shared" si="13"/>
        <v>-4638.7736728515611</v>
      </c>
      <c r="K11" s="9">
        <f t="shared" si="13"/>
        <v>-4754.7430146728493</v>
      </c>
      <c r="L11" s="9">
        <f t="shared" si="13"/>
        <v>-4873.6115900396699</v>
      </c>
      <c r="M11" s="9">
        <f t="shared" si="13"/>
        <v>-4995.4518797906612</v>
      </c>
      <c r="N11" s="9">
        <f t="shared" si="13"/>
        <v>-5120.3381767854271</v>
      </c>
      <c r="O11" s="9">
        <f t="shared" si="13"/>
        <v>-5248.3466312050623</v>
      </c>
      <c r="P11" s="9">
        <f t="shared" si="13"/>
        <v>-5379.5552969851888</v>
      </c>
      <c r="Q11" s="9">
        <f t="shared" si="13"/>
        <v>-5514.0441794098178</v>
      </c>
      <c r="R11" s="9">
        <f t="shared" si="13"/>
        <v>-5651.8952838950627</v>
      </c>
      <c r="S11" s="9">
        <f t="shared" si="13"/>
        <v>-5793.1926659924384</v>
      </c>
      <c r="T11" s="9">
        <f t="shared" si="13"/>
        <v>-5938.0224826422491</v>
      </c>
      <c r="U11" s="9">
        <f t="shared" si="13"/>
        <v>-6086.4730447083048</v>
      </c>
      <c r="V11" s="9">
        <f t="shared" si="13"/>
        <v>-6238.634870826012</v>
      </c>
      <c r="W11" s="9">
        <f t="shared" si="13"/>
        <v>-6394.6007425966618</v>
      </c>
      <c r="X11" s="9">
        <f t="shared" si="13"/>
        <v>-6554.4657611615776</v>
      </c>
      <c r="Y11" s="9">
        <f t="shared" si="13"/>
        <v>-6718.3274051906164</v>
      </c>
      <c r="Z11" s="9">
        <f t="shared" si="13"/>
        <v>-6886.2855903203808</v>
      </c>
      <c r="AA11" s="9">
        <f t="shared" si="13"/>
        <v>-7058.44273007839</v>
      </c>
      <c r="AB11" s="9">
        <f t="shared" si="13"/>
        <v>-7234.9037983303488</v>
      </c>
      <c r="AC11" s="9">
        <f t="shared" si="13"/>
        <v>-7415.7763932886064</v>
      </c>
      <c r="AD11" s="9">
        <f t="shared" si="13"/>
        <v>-7601.1708031208209</v>
      </c>
      <c r="AE11" s="9">
        <f t="shared" si="13"/>
        <v>-7791.200073198841</v>
      </c>
      <c r="AF11" s="9">
        <f t="shared" si="13"/>
        <v>-7985.9800750288114</v>
      </c>
      <c r="AG11" s="9">
        <f t="shared" si="13"/>
        <v>-8185.6295769045309</v>
      </c>
      <c r="AH11" s="9"/>
      <c r="AI11" s="9" t="s">
        <v>29</v>
      </c>
      <c r="AJ11" s="10">
        <v>0.05</v>
      </c>
      <c r="AK11" s="9"/>
      <c r="AL11" s="9"/>
      <c r="AM11" s="9" t="s">
        <v>7</v>
      </c>
      <c r="AN11" s="1">
        <v>0.2</v>
      </c>
    </row>
    <row r="12" spans="1:72" ht="15.75" thickBot="1" x14ac:dyDescent="0.25">
      <c r="A12" s="8" t="s">
        <v>33</v>
      </c>
      <c r="B12" s="8">
        <v>0</v>
      </c>
      <c r="C12" s="8">
        <f>-AN63*12</f>
        <v>-4800</v>
      </c>
      <c r="D12" s="8">
        <f>C12*(1+$AN$4)</f>
        <v>-4920</v>
      </c>
      <c r="E12" s="8">
        <f t="shared" ref="E12:AG12" si="14">D12*(1+$AN$4)</f>
        <v>-5043</v>
      </c>
      <c r="F12" s="8">
        <f t="shared" si="14"/>
        <v>-5169.0749999999998</v>
      </c>
      <c r="G12" s="8">
        <f t="shared" si="14"/>
        <v>-5298.3018749999992</v>
      </c>
      <c r="H12" s="8">
        <f t="shared" si="14"/>
        <v>-5430.7594218749991</v>
      </c>
      <c r="I12" s="8">
        <f t="shared" si="14"/>
        <v>-5566.5284074218735</v>
      </c>
      <c r="J12" s="8">
        <f t="shared" si="14"/>
        <v>-5705.6916176074201</v>
      </c>
      <c r="K12" s="8">
        <f t="shared" si="14"/>
        <v>-5848.3339080476053</v>
      </c>
      <c r="L12" s="8">
        <f t="shared" si="14"/>
        <v>-5994.5422557487946</v>
      </c>
      <c r="M12" s="8">
        <f t="shared" si="14"/>
        <v>-6144.4058121425142</v>
      </c>
      <c r="N12" s="8">
        <f t="shared" si="14"/>
        <v>-6298.0159574460768</v>
      </c>
      <c r="O12" s="8">
        <f t="shared" si="14"/>
        <v>-6455.4663563822278</v>
      </c>
      <c r="P12" s="8">
        <f t="shared" si="14"/>
        <v>-6616.8530152917829</v>
      </c>
      <c r="Q12" s="8">
        <f t="shared" si="14"/>
        <v>-6782.2743406740765</v>
      </c>
      <c r="R12" s="8">
        <f t="shared" si="14"/>
        <v>-6951.8311991909277</v>
      </c>
      <c r="S12" s="8">
        <f t="shared" si="14"/>
        <v>-7125.6269791707</v>
      </c>
      <c r="T12" s="8">
        <f t="shared" si="14"/>
        <v>-7303.7676536499666</v>
      </c>
      <c r="U12" s="8">
        <f t="shared" si="14"/>
        <v>-7486.3618449912155</v>
      </c>
      <c r="V12" s="8">
        <f t="shared" si="14"/>
        <v>-7673.5208911159953</v>
      </c>
      <c r="W12" s="8">
        <f t="shared" si="14"/>
        <v>-7865.3589133938949</v>
      </c>
      <c r="X12" s="8">
        <f t="shared" si="14"/>
        <v>-8061.9928862287416</v>
      </c>
      <c r="Y12" s="8">
        <f t="shared" si="14"/>
        <v>-8263.5427083844588</v>
      </c>
      <c r="Z12" s="8">
        <f t="shared" si="14"/>
        <v>-8470.1312760940691</v>
      </c>
      <c r="AA12" s="8">
        <f t="shared" si="14"/>
        <v>-8681.88455799642</v>
      </c>
      <c r="AB12" s="8">
        <f t="shared" si="14"/>
        <v>-8898.9316719463295</v>
      </c>
      <c r="AC12" s="8">
        <f t="shared" si="14"/>
        <v>-9121.4049637449862</v>
      </c>
      <c r="AD12" s="8">
        <f t="shared" si="14"/>
        <v>-9349.4400878386095</v>
      </c>
      <c r="AE12" s="8">
        <f t="shared" si="14"/>
        <v>-9583.1760900345744</v>
      </c>
      <c r="AF12" s="8">
        <f t="shared" si="14"/>
        <v>-9822.7554922854379</v>
      </c>
      <c r="AG12" s="8">
        <f t="shared" si="14"/>
        <v>-10068.324379592574</v>
      </c>
      <c r="AH12" s="9"/>
      <c r="AI12" s="9" t="s">
        <v>30</v>
      </c>
      <c r="AJ12" s="9"/>
      <c r="AK12" s="9"/>
      <c r="AL12" s="9"/>
      <c r="AM12" s="9" t="s">
        <v>12</v>
      </c>
      <c r="AN12">
        <f>AN6*AN7*(1-AN11)</f>
        <v>320000</v>
      </c>
    </row>
    <row r="13" spans="1:72" ht="15" x14ac:dyDescent="0.2">
      <c r="A13" s="14" t="s">
        <v>39</v>
      </c>
      <c r="B13" s="14">
        <f t="shared" ref="B13:AG13" si="15">SUM(B2:B12)</f>
        <v>-106200</v>
      </c>
      <c r="C13" s="14">
        <f t="shared" si="15"/>
        <v>-614711.59470847412</v>
      </c>
      <c r="D13" s="14">
        <f t="shared" si="15"/>
        <v>-617795.56387396366</v>
      </c>
      <c r="E13" s="14">
        <f t="shared" si="15"/>
        <v>-616956.09046859073</v>
      </c>
      <c r="F13" s="14">
        <f t="shared" si="15"/>
        <v>-616095.08671808313</v>
      </c>
      <c r="G13" s="14">
        <f t="shared" si="15"/>
        <v>-615212.01274795295</v>
      </c>
      <c r="H13" s="14">
        <f t="shared" si="15"/>
        <v>-610306.31528526812</v>
      </c>
      <c r="I13" s="14">
        <f t="shared" si="15"/>
        <v>-609377.42732811347</v>
      </c>
      <c r="J13" s="14">
        <f t="shared" si="15"/>
        <v>-608424.76780693501</v>
      </c>
      <c r="K13" s="14">
        <f t="shared" si="15"/>
        <v>-607447.74123756925</v>
      </c>
      <c r="L13" s="14">
        <f t="shared" si="15"/>
        <v>-606445.73736575583</v>
      </c>
      <c r="M13" s="14">
        <f t="shared" si="15"/>
        <v>-605418.13080292405</v>
      </c>
      <c r="N13" s="14">
        <f t="shared" si="15"/>
        <v>-604364.28065303923</v>
      </c>
      <c r="O13" s="14">
        <f t="shared" si="15"/>
        <v>-603283.53013029462</v>
      </c>
      <c r="P13" s="14">
        <f t="shared" si="15"/>
        <v>-602175.20616741921</v>
      </c>
      <c r="Q13" s="14">
        <f t="shared" si="15"/>
        <v>-601038.6190143784</v>
      </c>
      <c r="R13" s="14">
        <f t="shared" si="15"/>
        <v>-599873.06182722864</v>
      </c>
      <c r="S13" s="14">
        <f t="shared" si="15"/>
        <v>-598677.81024688727</v>
      </c>
      <c r="T13" s="14">
        <f t="shared" si="15"/>
        <v>-597452.1219675719</v>
      </c>
      <c r="U13" s="14">
        <f t="shared" si="15"/>
        <v>-596195.23629465711</v>
      </c>
      <c r="V13" s="14">
        <f t="shared" si="15"/>
        <v>-594906.37369168783</v>
      </c>
      <c r="W13" s="14">
        <f t="shared" si="15"/>
        <v>-593584.73531628947</v>
      </c>
      <c r="X13" s="14">
        <f t="shared" si="15"/>
        <v>-592229.5025446997</v>
      </c>
      <c r="Y13" s="14">
        <f t="shared" si="15"/>
        <v>-590839.83648464596</v>
      </c>
      <c r="Z13" s="14">
        <f t="shared" si="15"/>
        <v>-589414.87747628579</v>
      </c>
      <c r="AA13" s="14">
        <f t="shared" si="15"/>
        <v>-587953.74458091485</v>
      </c>
      <c r="AB13" s="14">
        <f t="shared" si="15"/>
        <v>-586455.53505715239</v>
      </c>
      <c r="AC13" s="14">
        <f t="shared" si="15"/>
        <v>-584919.32382428681</v>
      </c>
      <c r="AD13" s="14">
        <f t="shared" si="15"/>
        <v>-583344.16291248053</v>
      </c>
      <c r="AE13" s="14">
        <f t="shared" si="15"/>
        <v>-581729.08089950809</v>
      </c>
      <c r="AF13" s="14">
        <f t="shared" si="15"/>
        <v>-580073.08233369677</v>
      </c>
      <c r="AG13" s="14">
        <f t="shared" si="15"/>
        <v>66316.080946149683</v>
      </c>
      <c r="AH13" s="9"/>
      <c r="AI13" s="9" t="s">
        <v>32</v>
      </c>
      <c r="AJ13" s="9">
        <v>-0.2</v>
      </c>
      <c r="AK13" s="9"/>
      <c r="AL13" s="9"/>
      <c r="AM13" s="9"/>
    </row>
    <row r="14" spans="1:72" ht="15" x14ac:dyDescent="0.2">
      <c r="A14" s="9" t="s">
        <v>41</v>
      </c>
      <c r="B14" s="9">
        <v>0</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v>0</v>
      </c>
      <c r="AH14" s="9"/>
      <c r="AI14" s="9"/>
      <c r="AJ14" s="9"/>
      <c r="AK14" s="9"/>
      <c r="AL14" s="9"/>
      <c r="AM14" s="9"/>
    </row>
    <row r="15" spans="1:72" ht="15" x14ac:dyDescent="0.2">
      <c r="A15" s="9" t="s">
        <v>42</v>
      </c>
      <c r="B15" s="9">
        <f>B13-B14</f>
        <v>-106200</v>
      </c>
      <c r="C15" s="9">
        <f>C13-C14</f>
        <v>-614711.59470847412</v>
      </c>
      <c r="D15" s="9">
        <f t="shared" ref="D15:AG15" si="16">D13-D14</f>
        <v>-617795.56387396366</v>
      </c>
      <c r="E15" s="9">
        <f t="shared" si="16"/>
        <v>-616956.09046859073</v>
      </c>
      <c r="F15" s="9">
        <f t="shared" si="16"/>
        <v>-616095.08671808313</v>
      </c>
      <c r="G15" s="9">
        <f t="shared" si="16"/>
        <v>-615212.01274795295</v>
      </c>
      <c r="H15" s="9">
        <f t="shared" si="16"/>
        <v>-610306.31528526812</v>
      </c>
      <c r="I15" s="9">
        <f t="shared" si="16"/>
        <v>-609377.42732811347</v>
      </c>
      <c r="J15" s="9">
        <f t="shared" si="16"/>
        <v>-608424.76780693501</v>
      </c>
      <c r="K15" s="9">
        <f t="shared" si="16"/>
        <v>-607447.74123756925</v>
      </c>
      <c r="L15" s="9">
        <f t="shared" si="16"/>
        <v>-606445.73736575583</v>
      </c>
      <c r="M15" s="9">
        <f t="shared" si="16"/>
        <v>-605418.13080292405</v>
      </c>
      <c r="N15" s="9">
        <f t="shared" si="16"/>
        <v>-604364.28065303923</v>
      </c>
      <c r="O15" s="9">
        <f t="shared" si="16"/>
        <v>-603283.53013029462</v>
      </c>
      <c r="P15" s="9">
        <f t="shared" si="16"/>
        <v>-602175.20616741921</v>
      </c>
      <c r="Q15" s="9">
        <f t="shared" si="16"/>
        <v>-601038.6190143784</v>
      </c>
      <c r="R15" s="9">
        <f t="shared" si="16"/>
        <v>-599873.06182722864</v>
      </c>
      <c r="S15" s="9">
        <f t="shared" si="16"/>
        <v>-598677.81024688727</v>
      </c>
      <c r="T15" s="9">
        <f t="shared" si="16"/>
        <v>-597452.1219675719</v>
      </c>
      <c r="U15" s="9">
        <f t="shared" si="16"/>
        <v>-596195.23629465711</v>
      </c>
      <c r="V15" s="9">
        <f t="shared" si="16"/>
        <v>-594906.37369168783</v>
      </c>
      <c r="W15" s="9">
        <f t="shared" si="16"/>
        <v>-593584.73531628947</v>
      </c>
      <c r="X15" s="9">
        <f t="shared" si="16"/>
        <v>-592229.5025446997</v>
      </c>
      <c r="Y15" s="9">
        <f t="shared" si="16"/>
        <v>-590839.83648464596</v>
      </c>
      <c r="Z15" s="9">
        <f t="shared" si="16"/>
        <v>-589414.87747628579</v>
      </c>
      <c r="AA15" s="9">
        <f t="shared" si="16"/>
        <v>-587953.74458091485</v>
      </c>
      <c r="AB15" s="9">
        <f t="shared" si="16"/>
        <v>-586455.53505715239</v>
      </c>
      <c r="AC15" s="9">
        <f t="shared" si="16"/>
        <v>-584919.32382428681</v>
      </c>
      <c r="AD15" s="9">
        <f t="shared" si="16"/>
        <v>-583344.16291248053</v>
      </c>
      <c r="AE15" s="9">
        <f t="shared" si="16"/>
        <v>-581729.08089950809</v>
      </c>
      <c r="AF15" s="9">
        <f t="shared" si="16"/>
        <v>-580073.08233369677</v>
      </c>
      <c r="AG15" s="9">
        <f t="shared" si="16"/>
        <v>66316.080946149683</v>
      </c>
      <c r="AH15" s="9"/>
      <c r="AI15" s="9"/>
      <c r="AJ15" s="9"/>
      <c r="AK15" s="9"/>
      <c r="AL15" s="9"/>
      <c r="AM15" s="9"/>
    </row>
    <row r="16" spans="1:72" ht="15.75" thickBot="1" x14ac:dyDescent="0.25">
      <c r="A16" s="8" t="s">
        <v>40</v>
      </c>
      <c r="B16" s="8"/>
      <c r="C16" s="8">
        <f>C15*$AJ$1</f>
        <v>-184413.47841254223</v>
      </c>
      <c r="D16" s="8">
        <f t="shared" ref="D16:AG16" si="17">D15*$AJ$1</f>
        <v>-185338.66916218909</v>
      </c>
      <c r="E16" s="8">
        <f t="shared" si="17"/>
        <v>-185086.82714057722</v>
      </c>
      <c r="F16" s="8">
        <f t="shared" si="17"/>
        <v>-184828.52601542493</v>
      </c>
      <c r="G16" s="8">
        <f t="shared" si="17"/>
        <v>-184563.60382438588</v>
      </c>
      <c r="H16" s="8">
        <f t="shared" si="17"/>
        <v>-183091.89458558042</v>
      </c>
      <c r="I16" s="8">
        <f t="shared" si="17"/>
        <v>-182813.22819843402</v>
      </c>
      <c r="J16" s="8">
        <f t="shared" si="17"/>
        <v>-182527.43034208051</v>
      </c>
      <c r="K16" s="8">
        <f t="shared" si="17"/>
        <v>-182234.32237127077</v>
      </c>
      <c r="L16" s="8">
        <f t="shared" si="17"/>
        <v>-181933.72120972673</v>
      </c>
      <c r="M16" s="8">
        <f t="shared" si="17"/>
        <v>-181625.4392408772</v>
      </c>
      <c r="N16" s="8">
        <f t="shared" si="17"/>
        <v>-181309.28419591175</v>
      </c>
      <c r="O16" s="8">
        <f t="shared" si="17"/>
        <v>-180985.05903908837</v>
      </c>
      <c r="P16" s="8">
        <f t="shared" si="17"/>
        <v>-180652.56185022576</v>
      </c>
      <c r="Q16" s="8">
        <f t="shared" si="17"/>
        <v>-180311.5857043135</v>
      </c>
      <c r="R16" s="8">
        <f t="shared" si="17"/>
        <v>-179961.91854816859</v>
      </c>
      <c r="S16" s="8">
        <f t="shared" si="17"/>
        <v>-179603.34307406619</v>
      </c>
      <c r="T16" s="8">
        <f t="shared" si="17"/>
        <v>-179235.63659027158</v>
      </c>
      <c r="U16" s="8">
        <f t="shared" si="17"/>
        <v>-178858.57088839714</v>
      </c>
      <c r="V16" s="8">
        <f t="shared" si="17"/>
        <v>-178471.91210750633</v>
      </c>
      <c r="W16" s="8">
        <f t="shared" si="17"/>
        <v>-178075.42059488685</v>
      </c>
      <c r="X16" s="8">
        <f t="shared" si="17"/>
        <v>-177668.85076340989</v>
      </c>
      <c r="Y16" s="8">
        <f t="shared" si="17"/>
        <v>-177251.95094539379</v>
      </c>
      <c r="Z16" s="8">
        <f t="shared" si="17"/>
        <v>-176824.46324288574</v>
      </c>
      <c r="AA16" s="8">
        <f t="shared" si="17"/>
        <v>-176386.12337427444</v>
      </c>
      <c r="AB16" s="8">
        <f t="shared" si="17"/>
        <v>-175936.6605171457</v>
      </c>
      <c r="AC16" s="8">
        <f t="shared" si="17"/>
        <v>-175475.79714728604</v>
      </c>
      <c r="AD16" s="8">
        <f t="shared" si="17"/>
        <v>-175003.24887374416</v>
      </c>
      <c r="AE16" s="8">
        <f t="shared" si="17"/>
        <v>-174518.72426985242</v>
      </c>
      <c r="AF16" s="8">
        <f t="shared" si="17"/>
        <v>-174021.92470010903</v>
      </c>
      <c r="AG16" s="8">
        <f t="shared" si="17"/>
        <v>19894.824283844904</v>
      </c>
      <c r="AH16" s="9"/>
      <c r="AI16" s="9" t="s">
        <v>31</v>
      </c>
      <c r="AJ16" s="15">
        <f>AJ11*EXP(-AJ13)</f>
        <v>6.1070137908008498E-2</v>
      </c>
      <c r="AK16" s="9"/>
      <c r="AL16" s="11" t="s">
        <v>8</v>
      </c>
      <c r="AM16" s="9" t="s">
        <v>10</v>
      </c>
      <c r="AN16">
        <v>53724.269007407478</v>
      </c>
    </row>
    <row r="17" spans="1:41" ht="15" x14ac:dyDescent="0.2">
      <c r="A17" s="9" t="s">
        <v>37</v>
      </c>
      <c r="B17" s="9">
        <f>B15-B16</f>
        <v>-106200</v>
      </c>
      <c r="C17" s="9">
        <f t="shared" ref="C17:E17" si="18">C15-C16</f>
        <v>-430298.11629593186</v>
      </c>
      <c r="D17" s="9">
        <f t="shared" si="18"/>
        <v>-432456.89471177454</v>
      </c>
      <c r="E17" s="9">
        <f t="shared" si="18"/>
        <v>-431869.26332801348</v>
      </c>
      <c r="F17" s="9">
        <f t="shared" ref="F17" si="19">F15-F16</f>
        <v>-431266.5607026582</v>
      </c>
      <c r="G17" s="9">
        <f t="shared" ref="G17" si="20">G15-G16</f>
        <v>-430648.40892356704</v>
      </c>
      <c r="H17" s="9">
        <f t="shared" ref="H17" si="21">H15-H16</f>
        <v>-427214.42069968767</v>
      </c>
      <c r="I17" s="9">
        <f t="shared" ref="I17" si="22">I15-I16</f>
        <v>-426564.19912967947</v>
      </c>
      <c r="J17" s="9">
        <f t="shared" ref="J17" si="23">J15-J16</f>
        <v>-425897.33746485447</v>
      </c>
      <c r="K17" s="9">
        <f t="shared" ref="K17" si="24">K15-K16</f>
        <v>-425213.41886629851</v>
      </c>
      <c r="L17" s="9">
        <f t="shared" ref="L17" si="25">L15-L16</f>
        <v>-424512.01615602907</v>
      </c>
      <c r="M17" s="9">
        <f t="shared" ref="M17" si="26">M15-M16</f>
        <v>-423792.69156204688</v>
      </c>
      <c r="N17" s="9">
        <f t="shared" ref="N17" si="27">N15-N16</f>
        <v>-423054.9964571275</v>
      </c>
      <c r="O17" s="9">
        <f t="shared" ref="O17" si="28">O15-O16</f>
        <v>-422298.47109120624</v>
      </c>
      <c r="P17" s="9">
        <f t="shared" ref="P17" si="29">P15-P16</f>
        <v>-421522.64431719342</v>
      </c>
      <c r="Q17" s="9">
        <f t="shared" ref="Q17" si="30">Q15-Q16</f>
        <v>-420727.03331006493</v>
      </c>
      <c r="R17" s="9">
        <f t="shared" ref="R17" si="31">R15-R16</f>
        <v>-419911.14327906002</v>
      </c>
      <c r="S17" s="9">
        <f t="shared" ref="S17" si="32">S15-S16</f>
        <v>-419074.46717282105</v>
      </c>
      <c r="T17" s="9">
        <f t="shared" ref="T17" si="33">T15-T16</f>
        <v>-418216.4853773003</v>
      </c>
      <c r="U17" s="9">
        <f t="shared" ref="U17" si="34">U15-U16</f>
        <v>-417336.66540625994</v>
      </c>
      <c r="V17" s="9">
        <f t="shared" ref="V17" si="35">V15-V16</f>
        <v>-416434.46158418152</v>
      </c>
      <c r="W17" s="9">
        <f t="shared" ref="W17" si="36">W15-W16</f>
        <v>-415509.3147214026</v>
      </c>
      <c r="X17" s="9">
        <f t="shared" ref="X17" si="37">X15-X16</f>
        <v>-414560.65178128984</v>
      </c>
      <c r="Y17" s="9">
        <f t="shared" ref="Y17" si="38">Y15-Y16</f>
        <v>-413587.88553925219</v>
      </c>
      <c r="Z17" s="9">
        <f t="shared" ref="Z17" si="39">Z15-Z16</f>
        <v>-412590.41423340002</v>
      </c>
      <c r="AA17" s="9">
        <f t="shared" ref="AA17" si="40">AA15-AA16</f>
        <v>-411567.62120664038</v>
      </c>
      <c r="AB17" s="9">
        <f t="shared" ref="AB17" si="41">AB15-AB16</f>
        <v>-410518.87454000668</v>
      </c>
      <c r="AC17" s="9">
        <f t="shared" ref="AC17" si="42">AC15-AC16</f>
        <v>-409443.5266770008</v>
      </c>
      <c r="AD17" s="9">
        <f t="shared" ref="AD17" si="43">AD15-AD16</f>
        <v>-408340.91403873637</v>
      </c>
      <c r="AE17" s="9">
        <f t="shared" ref="AE17" si="44">AE15-AE16</f>
        <v>-407210.3566296557</v>
      </c>
      <c r="AF17" s="9">
        <f t="shared" ref="AF17" si="45">AF15-AF16</f>
        <v>-406051.15763358772</v>
      </c>
      <c r="AG17" s="9">
        <f t="shared" ref="AG17" si="46">AG15-AG16</f>
        <v>46421.256662304775</v>
      </c>
      <c r="AH17" s="9"/>
      <c r="AI17" s="9" t="s">
        <v>34</v>
      </c>
      <c r="AJ17" s="10">
        <v>0.1</v>
      </c>
      <c r="AK17" s="9">
        <f>AN2*AJ17</f>
        <v>400</v>
      </c>
      <c r="AL17" s="9"/>
      <c r="AM17" s="9" t="s">
        <v>11</v>
      </c>
      <c r="AN17" s="1">
        <v>7.0000000000000007E-2</v>
      </c>
    </row>
    <row r="18" spans="1:41" ht="15.75" thickBot="1" x14ac:dyDescent="0.25">
      <c r="A18" s="8" t="s">
        <v>43</v>
      </c>
      <c r="B18" s="8">
        <v>0</v>
      </c>
      <c r="C18" s="8">
        <f>-C8</f>
        <v>4000</v>
      </c>
      <c r="D18" s="8">
        <f t="shared" ref="D18:AG18" si="47">-D8</f>
        <v>4000</v>
      </c>
      <c r="E18" s="8">
        <f t="shared" si="47"/>
        <v>4000</v>
      </c>
      <c r="F18" s="8">
        <f t="shared" si="47"/>
        <v>4000</v>
      </c>
      <c r="G18" s="8">
        <f t="shared" si="47"/>
        <v>4000</v>
      </c>
      <c r="H18" s="8">
        <f t="shared" si="47"/>
        <v>0</v>
      </c>
      <c r="I18" s="8">
        <f t="shared" si="47"/>
        <v>0</v>
      </c>
      <c r="J18" s="8">
        <f t="shared" si="47"/>
        <v>0</v>
      </c>
      <c r="K18" s="8">
        <f t="shared" si="47"/>
        <v>0</v>
      </c>
      <c r="L18" s="8">
        <f t="shared" si="47"/>
        <v>0</v>
      </c>
      <c r="M18" s="8">
        <f t="shared" si="47"/>
        <v>0</v>
      </c>
      <c r="N18" s="8">
        <f t="shared" si="47"/>
        <v>0</v>
      </c>
      <c r="O18" s="8">
        <f t="shared" si="47"/>
        <v>0</v>
      </c>
      <c r="P18" s="8">
        <f t="shared" si="47"/>
        <v>0</v>
      </c>
      <c r="Q18" s="8">
        <f t="shared" si="47"/>
        <v>0</v>
      </c>
      <c r="R18" s="8">
        <f t="shared" si="47"/>
        <v>0</v>
      </c>
      <c r="S18" s="8">
        <f t="shared" si="47"/>
        <v>0</v>
      </c>
      <c r="T18" s="8">
        <f t="shared" si="47"/>
        <v>0</v>
      </c>
      <c r="U18" s="8">
        <f t="shared" si="47"/>
        <v>0</v>
      </c>
      <c r="V18" s="8">
        <f t="shared" si="47"/>
        <v>0</v>
      </c>
      <c r="W18" s="8">
        <f t="shared" si="47"/>
        <v>0</v>
      </c>
      <c r="X18" s="8">
        <f t="shared" si="47"/>
        <v>0</v>
      </c>
      <c r="Y18" s="8">
        <f t="shared" si="47"/>
        <v>0</v>
      </c>
      <c r="Z18" s="8">
        <f t="shared" si="47"/>
        <v>0</v>
      </c>
      <c r="AA18" s="8">
        <f t="shared" si="47"/>
        <v>0</v>
      </c>
      <c r="AB18" s="8">
        <f t="shared" si="47"/>
        <v>0</v>
      </c>
      <c r="AC18" s="8">
        <f t="shared" si="47"/>
        <v>0</v>
      </c>
      <c r="AD18" s="8">
        <f t="shared" si="47"/>
        <v>0</v>
      </c>
      <c r="AE18" s="8">
        <f t="shared" si="47"/>
        <v>0</v>
      </c>
      <c r="AF18" s="8">
        <f t="shared" si="47"/>
        <v>0</v>
      </c>
      <c r="AG18" s="8">
        <f t="shared" si="47"/>
        <v>0</v>
      </c>
      <c r="AH18" s="9"/>
      <c r="AI18" s="9"/>
      <c r="AJ18" s="9"/>
      <c r="AK18" s="9"/>
      <c r="AL18" s="9"/>
      <c r="AM18" s="9"/>
    </row>
    <row r="19" spans="1:41" ht="15" x14ac:dyDescent="0.2">
      <c r="A19" s="9" t="s">
        <v>44</v>
      </c>
      <c r="B19" s="9">
        <f>B17+B18</f>
        <v>-106200</v>
      </c>
      <c r="C19" s="9">
        <f t="shared" ref="C19:AG19" si="48">C17+C18</f>
        <v>-426298.11629593186</v>
      </c>
      <c r="D19" s="9">
        <f t="shared" si="48"/>
        <v>-428456.89471177454</v>
      </c>
      <c r="E19" s="9">
        <f t="shared" si="48"/>
        <v>-427869.26332801348</v>
      </c>
      <c r="F19" s="9">
        <f t="shared" si="48"/>
        <v>-427266.5607026582</v>
      </c>
      <c r="G19" s="9">
        <f t="shared" si="48"/>
        <v>-426648.40892356704</v>
      </c>
      <c r="H19" s="9">
        <f t="shared" si="48"/>
        <v>-427214.42069968767</v>
      </c>
      <c r="I19" s="9">
        <f t="shared" si="48"/>
        <v>-426564.19912967947</v>
      </c>
      <c r="J19" s="9">
        <f t="shared" si="48"/>
        <v>-425897.33746485447</v>
      </c>
      <c r="K19" s="9">
        <f t="shared" si="48"/>
        <v>-425213.41886629851</v>
      </c>
      <c r="L19" s="9">
        <f t="shared" si="48"/>
        <v>-424512.01615602907</v>
      </c>
      <c r="M19" s="9">
        <f t="shared" si="48"/>
        <v>-423792.69156204688</v>
      </c>
      <c r="N19" s="9">
        <f t="shared" si="48"/>
        <v>-423054.9964571275</v>
      </c>
      <c r="O19" s="9">
        <f t="shared" si="48"/>
        <v>-422298.47109120624</v>
      </c>
      <c r="P19" s="9">
        <f t="shared" si="48"/>
        <v>-421522.64431719342</v>
      </c>
      <c r="Q19" s="9">
        <f t="shared" si="48"/>
        <v>-420727.03331006493</v>
      </c>
      <c r="R19" s="9">
        <f t="shared" si="48"/>
        <v>-419911.14327906002</v>
      </c>
      <c r="S19" s="9">
        <f t="shared" si="48"/>
        <v>-419074.46717282105</v>
      </c>
      <c r="T19" s="9">
        <f t="shared" si="48"/>
        <v>-418216.4853773003</v>
      </c>
      <c r="U19" s="9">
        <f t="shared" si="48"/>
        <v>-417336.66540625994</v>
      </c>
      <c r="V19" s="9">
        <f t="shared" si="48"/>
        <v>-416434.46158418152</v>
      </c>
      <c r="W19" s="9">
        <f t="shared" si="48"/>
        <v>-415509.3147214026</v>
      </c>
      <c r="X19" s="9">
        <f t="shared" si="48"/>
        <v>-414560.65178128984</v>
      </c>
      <c r="Y19" s="9">
        <f t="shared" si="48"/>
        <v>-413587.88553925219</v>
      </c>
      <c r="Z19" s="9">
        <f t="shared" si="48"/>
        <v>-412590.41423340002</v>
      </c>
      <c r="AA19" s="9">
        <f t="shared" si="48"/>
        <v>-411567.62120664038</v>
      </c>
      <c r="AB19" s="9">
        <f t="shared" si="48"/>
        <v>-410518.87454000668</v>
      </c>
      <c r="AC19" s="9">
        <f t="shared" si="48"/>
        <v>-409443.5266770008</v>
      </c>
      <c r="AD19" s="9">
        <f t="shared" si="48"/>
        <v>-408340.91403873637</v>
      </c>
      <c r="AE19" s="9">
        <f t="shared" si="48"/>
        <v>-407210.3566296557</v>
      </c>
      <c r="AF19" s="9">
        <f t="shared" si="48"/>
        <v>-406051.15763358772</v>
      </c>
      <c r="AG19" s="9">
        <f t="shared" si="48"/>
        <v>46421.256662304775</v>
      </c>
      <c r="AH19" s="9"/>
      <c r="AI19" s="9" t="s">
        <v>46</v>
      </c>
      <c r="AJ19" s="10">
        <v>0.03</v>
      </c>
      <c r="AK19" s="9"/>
      <c r="AL19" s="11" t="s">
        <v>17</v>
      </c>
      <c r="AM19" s="9" t="s">
        <v>6</v>
      </c>
      <c r="AN19">
        <f>AN6</f>
        <v>400000</v>
      </c>
    </row>
    <row r="20" spans="1:41" ht="15" x14ac:dyDescent="0.2">
      <c r="A20" s="9" t="s">
        <v>45</v>
      </c>
      <c r="B20" s="9">
        <f>NPV(AN17,C19:AF19,AG19+AG20)+B19</f>
        <v>-5346798.0640690587</v>
      </c>
      <c r="AM20" t="s">
        <v>2</v>
      </c>
      <c r="AN20">
        <f>AN7</f>
        <v>1</v>
      </c>
    </row>
    <row r="21" spans="1:41" ht="15"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M21" t="s">
        <v>18</v>
      </c>
      <c r="AN21" s="2">
        <v>3.0000000000000001E-3</v>
      </c>
      <c r="AO21">
        <f>AN19*AN21</f>
        <v>1200</v>
      </c>
    </row>
    <row r="22" spans="1:41" x14ac:dyDescent="0.2">
      <c r="A22" t="s">
        <v>61</v>
      </c>
      <c r="B22">
        <v>700000</v>
      </c>
      <c r="D22" t="s">
        <v>62</v>
      </c>
      <c r="G22">
        <v>1250000</v>
      </c>
      <c r="J22" s="1"/>
      <c r="AM22" t="s">
        <v>19</v>
      </c>
      <c r="AN22" s="3">
        <f>3%</f>
        <v>0.03</v>
      </c>
    </row>
    <row r="23" spans="1:41" ht="17" customHeight="1" x14ac:dyDescent="0.2">
      <c r="D23" t="s">
        <v>22</v>
      </c>
      <c r="E23" s="1">
        <v>0.01</v>
      </c>
      <c r="J23" s="1"/>
      <c r="AN23" s="3"/>
    </row>
    <row r="24" spans="1:41" ht="17" customHeight="1" x14ac:dyDescent="0.2">
      <c r="A24" t="s">
        <v>57</v>
      </c>
      <c r="B24">
        <f>B22*B29+G22*B30</f>
        <v>11400000</v>
      </c>
      <c r="D24" t="s">
        <v>23</v>
      </c>
      <c r="E24" s="2">
        <v>4.0000000000000001E-3</v>
      </c>
      <c r="J24" s="2"/>
      <c r="AN24" s="3"/>
    </row>
    <row r="25" spans="1:41" x14ac:dyDescent="0.2">
      <c r="A25" t="s">
        <v>49</v>
      </c>
      <c r="B25">
        <f>B24*0.2</f>
        <v>2280000</v>
      </c>
      <c r="D25" t="s">
        <v>27</v>
      </c>
      <c r="E25" s="1">
        <v>0.03</v>
      </c>
      <c r="J25" s="1"/>
      <c r="AN25" s="3"/>
    </row>
    <row r="26" spans="1:41" x14ac:dyDescent="0.2">
      <c r="A26" t="s">
        <v>50</v>
      </c>
      <c r="B26">
        <f>B24-B25</f>
        <v>9120000</v>
      </c>
      <c r="D26" t="s">
        <v>31</v>
      </c>
      <c r="E26" s="19">
        <f>5%</f>
        <v>0.05</v>
      </c>
      <c r="J26" s="18"/>
      <c r="AN26" s="3"/>
    </row>
    <row r="27" spans="1:41" x14ac:dyDescent="0.2">
      <c r="A27" t="s">
        <v>64</v>
      </c>
      <c r="B27">
        <v>35000</v>
      </c>
      <c r="D27" t="s">
        <v>34</v>
      </c>
      <c r="E27" s="1">
        <v>0.05</v>
      </c>
      <c r="J27" s="18"/>
      <c r="AN27" s="3"/>
    </row>
    <row r="28" spans="1:41" x14ac:dyDescent="0.2">
      <c r="A28" t="s">
        <v>63</v>
      </c>
      <c r="B28">
        <f>B27*1.2</f>
        <v>42000</v>
      </c>
      <c r="D28" t="s">
        <v>74</v>
      </c>
      <c r="E28" s="1">
        <v>5.0000000000000001E-3</v>
      </c>
      <c r="J28" s="18"/>
      <c r="AN28" s="3"/>
    </row>
    <row r="29" spans="1:41" x14ac:dyDescent="0.2">
      <c r="A29" t="s">
        <v>65</v>
      </c>
      <c r="B29">
        <v>2</v>
      </c>
      <c r="AN29" s="3"/>
    </row>
    <row r="30" spans="1:41" x14ac:dyDescent="0.2">
      <c r="A30" t="s">
        <v>66</v>
      </c>
      <c r="B30">
        <v>8</v>
      </c>
      <c r="J30" s="1"/>
      <c r="AN30" s="3"/>
    </row>
    <row r="31" spans="1:41" x14ac:dyDescent="0.2">
      <c r="A31" t="s">
        <v>78</v>
      </c>
      <c r="B31">
        <v>0.1</v>
      </c>
      <c r="D31" t="s">
        <v>79</v>
      </c>
      <c r="E31">
        <v>0.03</v>
      </c>
      <c r="AN31" s="3"/>
    </row>
    <row r="32" spans="1:41" x14ac:dyDescent="0.2">
      <c r="A32" t="s">
        <v>76</v>
      </c>
      <c r="B32">
        <v>0.03</v>
      </c>
      <c r="AN32" s="3"/>
    </row>
    <row r="33" spans="1:72" x14ac:dyDescent="0.2">
      <c r="A33" t="s">
        <v>47</v>
      </c>
      <c r="B33">
        <v>0.3</v>
      </c>
      <c r="AN33" s="3"/>
    </row>
    <row r="34" spans="1:72" x14ac:dyDescent="0.2">
      <c r="A34" t="s">
        <v>48</v>
      </c>
      <c r="B34">
        <v>0.03</v>
      </c>
      <c r="AN34" s="3"/>
    </row>
    <row r="35" spans="1:72" x14ac:dyDescent="0.2">
      <c r="A35" t="s">
        <v>51</v>
      </c>
      <c r="B35">
        <v>0.06</v>
      </c>
      <c r="J35" s="19"/>
      <c r="AN35" s="3"/>
    </row>
    <row r="36" spans="1:72" x14ac:dyDescent="0.2">
      <c r="A36" t="s">
        <v>52</v>
      </c>
      <c r="B36">
        <f>B26*(B35/12*(1 + B35/12)^360)/((1 + B35/12)^360 - 1)*12</f>
        <v>656148.09472717938</v>
      </c>
      <c r="J36" s="1"/>
      <c r="AN36" s="3"/>
    </row>
    <row r="37" spans="1:72" x14ac:dyDescent="0.2">
      <c r="A37" t="s">
        <v>68</v>
      </c>
      <c r="B37" s="1">
        <f>B35+0.02</f>
        <v>0.08</v>
      </c>
      <c r="AN37" s="3"/>
    </row>
    <row r="38" spans="1:72" x14ac:dyDescent="0.2">
      <c r="A38" t="s">
        <v>73</v>
      </c>
      <c r="B38">
        <f>1000*(B29+B30)</f>
        <v>10000</v>
      </c>
      <c r="J38" s="1"/>
      <c r="AN38" s="3"/>
    </row>
    <row r="39" spans="1:72" x14ac:dyDescent="0.2">
      <c r="AN39" s="3"/>
    </row>
    <row r="40" spans="1:72" ht="17" thickBot="1" x14ac:dyDescent="0.25">
      <c r="A40" s="4" t="s">
        <v>0</v>
      </c>
      <c r="B40" s="5">
        <v>0</v>
      </c>
      <c r="C40" s="5">
        <f>B40+1</f>
        <v>1</v>
      </c>
      <c r="D40" s="5">
        <f t="shared" ref="D40" si="49">C40+1</f>
        <v>2</v>
      </c>
      <c r="E40" s="5">
        <f t="shared" ref="E40" si="50">D40+1</f>
        <v>3</v>
      </c>
      <c r="F40" s="5">
        <f t="shared" ref="F40" si="51">E40+1</f>
        <v>4</v>
      </c>
      <c r="G40" s="5">
        <f t="shared" ref="G40" si="52">F40+1</f>
        <v>5</v>
      </c>
      <c r="H40" s="4">
        <f t="shared" ref="H40" si="53">G40+1</f>
        <v>6</v>
      </c>
      <c r="I40" s="4">
        <f t="shared" ref="I40" si="54">H40+1</f>
        <v>7</v>
      </c>
      <c r="J40" s="4">
        <f t="shared" ref="J40" si="55">I40+1</f>
        <v>8</v>
      </c>
      <c r="K40" s="4">
        <f t="shared" ref="K40" si="56">J40+1</f>
        <v>9</v>
      </c>
      <c r="L40" s="4">
        <f>K40+1</f>
        <v>10</v>
      </c>
      <c r="M40" s="4">
        <f t="shared" ref="M40" si="57">L40+1</f>
        <v>11</v>
      </c>
      <c r="N40" s="4">
        <f t="shared" ref="N40" si="58">M40+1</f>
        <v>12</v>
      </c>
      <c r="O40" s="4">
        <f t="shared" ref="O40" si="59">N40+1</f>
        <v>13</v>
      </c>
      <c r="P40" s="4">
        <f t="shared" ref="P40" si="60">O40+1</f>
        <v>14</v>
      </c>
      <c r="Q40" s="4">
        <f t="shared" ref="Q40" si="61">P40+1</f>
        <v>15</v>
      </c>
      <c r="R40" s="4">
        <f t="shared" ref="R40" si="62">Q40+1</f>
        <v>16</v>
      </c>
      <c r="S40" s="4">
        <f t="shared" ref="S40" si="63">R40+1</f>
        <v>17</v>
      </c>
      <c r="T40" s="4">
        <f t="shared" ref="T40" si="64">S40+1</f>
        <v>18</v>
      </c>
      <c r="U40" s="4">
        <f t="shared" ref="U40" si="65">T40+1</f>
        <v>19</v>
      </c>
      <c r="V40" s="4">
        <f t="shared" ref="V40" si="66">U40+1</f>
        <v>20</v>
      </c>
      <c r="W40" s="4">
        <f t="shared" ref="W40" si="67">V40+1</f>
        <v>21</v>
      </c>
      <c r="X40" s="4">
        <f t="shared" ref="X40" si="68">W40+1</f>
        <v>22</v>
      </c>
      <c r="Y40" s="4">
        <f t="shared" ref="Y40" si="69">X40+1</f>
        <v>23</v>
      </c>
      <c r="Z40" s="4">
        <f t="shared" ref="Z40" si="70">Y40+1</f>
        <v>24</v>
      </c>
      <c r="AA40" s="4">
        <f t="shared" ref="AA40" si="71">Z40+1</f>
        <v>25</v>
      </c>
      <c r="AB40" s="4">
        <f t="shared" ref="AB40" si="72">AA40+1</f>
        <v>26</v>
      </c>
      <c r="AC40" s="4">
        <f t="shared" ref="AC40" si="73">AB40+1</f>
        <v>27</v>
      </c>
      <c r="AD40" s="4">
        <f t="shared" ref="AD40" si="74">AC40+1</f>
        <v>28</v>
      </c>
      <c r="AE40" s="4">
        <f t="shared" ref="AE40" si="75">AD40+1</f>
        <v>29</v>
      </c>
      <c r="AF40" s="4">
        <f t="shared" ref="AF40" si="76">AE40+1</f>
        <v>30</v>
      </c>
      <c r="AG40" s="4">
        <f t="shared" ref="AG40" si="77">AF40+1</f>
        <v>31</v>
      </c>
    </row>
    <row r="41" spans="1:72" x14ac:dyDescent="0.2">
      <c r="A41" t="s">
        <v>4</v>
      </c>
      <c r="B41">
        <f>0</f>
        <v>0</v>
      </c>
      <c r="C41">
        <f>(B22*0.006*12*B29*(1-E26)+G22*0.006*12*B30*(1-E26))*(1+B31)</f>
        <v>857736.00000000012</v>
      </c>
      <c r="D41">
        <f>C41*(1+$B$31)</f>
        <v>943509.60000000021</v>
      </c>
      <c r="E41">
        <f>D41*(1+$B$31)</f>
        <v>1037860.5600000003</v>
      </c>
      <c r="F41">
        <f>E41*(1+$B$31)</f>
        <v>1141646.6160000004</v>
      </c>
      <c r="G41">
        <f>F41*(1+$B$31)</f>
        <v>1255811.2776000006</v>
      </c>
      <c r="H41">
        <f t="shared" ref="H41:AG41" si="78">G41*(1+$E$31)</f>
        <v>1293485.6159280008</v>
      </c>
      <c r="I41">
        <f t="shared" si="78"/>
        <v>1332290.1844058409</v>
      </c>
      <c r="J41">
        <f t="shared" si="78"/>
        <v>1372258.8899380162</v>
      </c>
      <c r="K41">
        <f t="shared" si="78"/>
        <v>1413426.6566361566</v>
      </c>
      <c r="L41">
        <f t="shared" si="78"/>
        <v>1455829.4563352414</v>
      </c>
      <c r="M41">
        <f t="shared" si="78"/>
        <v>1499504.3400252988</v>
      </c>
      <c r="N41">
        <f t="shared" si="78"/>
        <v>1544489.4702260578</v>
      </c>
      <c r="O41">
        <f t="shared" si="78"/>
        <v>1590824.1543328397</v>
      </c>
      <c r="P41">
        <f t="shared" si="78"/>
        <v>1638548.8789628248</v>
      </c>
      <c r="Q41">
        <f t="shared" si="78"/>
        <v>1687705.3453317096</v>
      </c>
      <c r="R41">
        <f t="shared" si="78"/>
        <v>1738336.505691661</v>
      </c>
      <c r="S41">
        <f t="shared" si="78"/>
        <v>1790486.6008624109</v>
      </c>
      <c r="T41">
        <f t="shared" si="78"/>
        <v>1844201.1988882832</v>
      </c>
      <c r="U41">
        <f t="shared" si="78"/>
        <v>1899527.2348549317</v>
      </c>
      <c r="V41">
        <f t="shared" si="78"/>
        <v>1956513.0519005798</v>
      </c>
      <c r="W41">
        <f t="shared" si="78"/>
        <v>2015208.4434575972</v>
      </c>
      <c r="X41">
        <f t="shared" si="78"/>
        <v>2075664.6967613252</v>
      </c>
      <c r="Y41">
        <f t="shared" si="78"/>
        <v>2137934.6376641649</v>
      </c>
      <c r="Z41">
        <f t="shared" si="78"/>
        <v>2202072.6767940898</v>
      </c>
      <c r="AA41">
        <f t="shared" si="78"/>
        <v>2268134.8570979126</v>
      </c>
      <c r="AB41">
        <f t="shared" si="78"/>
        <v>2336178.9028108502</v>
      </c>
      <c r="AC41">
        <f t="shared" si="78"/>
        <v>2406264.2698951759</v>
      </c>
      <c r="AD41">
        <f t="shared" si="78"/>
        <v>2478452.1979920315</v>
      </c>
      <c r="AE41">
        <f t="shared" si="78"/>
        <v>2552805.7639317927</v>
      </c>
      <c r="AF41">
        <f t="shared" si="78"/>
        <v>2629389.9368497464</v>
      </c>
      <c r="AG41">
        <f t="shared" si="78"/>
        <v>2708271.634955239</v>
      </c>
      <c r="AI41" t="s">
        <v>21</v>
      </c>
      <c r="AJ41">
        <v>400000</v>
      </c>
      <c r="AL41" s="17" t="s">
        <v>4</v>
      </c>
      <c r="AM41" t="s">
        <v>1</v>
      </c>
      <c r="AN41">
        <f>AJ41*0.01</f>
        <v>4000</v>
      </c>
      <c r="AP41" t="s">
        <v>15</v>
      </c>
      <c r="AQ41">
        <f t="shared" ref="AQ41:BT41" si="79">$AN$16*12</f>
        <v>644691.22808888974</v>
      </c>
      <c r="AR41">
        <f t="shared" si="79"/>
        <v>644691.22808888974</v>
      </c>
      <c r="AS41">
        <f t="shared" si="79"/>
        <v>644691.22808888974</v>
      </c>
      <c r="AT41">
        <f t="shared" si="79"/>
        <v>644691.22808888974</v>
      </c>
      <c r="AU41">
        <f t="shared" si="79"/>
        <v>644691.22808888974</v>
      </c>
      <c r="AV41">
        <f t="shared" si="79"/>
        <v>644691.22808888974</v>
      </c>
      <c r="AW41">
        <f t="shared" si="79"/>
        <v>644691.22808888974</v>
      </c>
      <c r="AX41">
        <f t="shared" si="79"/>
        <v>644691.22808888974</v>
      </c>
      <c r="AY41">
        <f t="shared" si="79"/>
        <v>644691.22808888974</v>
      </c>
      <c r="AZ41">
        <f t="shared" si="79"/>
        <v>644691.22808888974</v>
      </c>
      <c r="BA41">
        <f t="shared" si="79"/>
        <v>644691.22808888974</v>
      </c>
      <c r="BB41">
        <f t="shared" si="79"/>
        <v>644691.22808888974</v>
      </c>
      <c r="BC41">
        <f t="shared" si="79"/>
        <v>644691.22808888974</v>
      </c>
      <c r="BD41">
        <f t="shared" si="79"/>
        <v>644691.22808888974</v>
      </c>
      <c r="BE41">
        <f t="shared" si="79"/>
        <v>644691.22808888974</v>
      </c>
      <c r="BF41">
        <f t="shared" si="79"/>
        <v>644691.22808888974</v>
      </c>
      <c r="BG41">
        <f t="shared" si="79"/>
        <v>644691.22808888974</v>
      </c>
      <c r="BH41">
        <f t="shared" si="79"/>
        <v>644691.22808888974</v>
      </c>
      <c r="BI41">
        <f t="shared" si="79"/>
        <v>644691.22808888974</v>
      </c>
      <c r="BJ41">
        <f t="shared" si="79"/>
        <v>644691.22808888974</v>
      </c>
      <c r="BK41">
        <f t="shared" si="79"/>
        <v>644691.22808888974</v>
      </c>
      <c r="BL41">
        <f t="shared" si="79"/>
        <v>644691.22808888974</v>
      </c>
      <c r="BM41">
        <f t="shared" si="79"/>
        <v>644691.22808888974</v>
      </c>
      <c r="BN41">
        <f t="shared" si="79"/>
        <v>644691.22808888974</v>
      </c>
      <c r="BO41">
        <f t="shared" si="79"/>
        <v>644691.22808888974</v>
      </c>
      <c r="BP41">
        <f t="shared" si="79"/>
        <v>644691.22808888974</v>
      </c>
      <c r="BQ41">
        <f t="shared" si="79"/>
        <v>644691.22808888974</v>
      </c>
      <c r="BR41">
        <f t="shared" si="79"/>
        <v>644691.22808888974</v>
      </c>
      <c r="BS41">
        <f t="shared" si="79"/>
        <v>644691.22808888974</v>
      </c>
      <c r="BT41">
        <f t="shared" si="79"/>
        <v>644691.22808888974</v>
      </c>
    </row>
    <row r="42" spans="1:72" x14ac:dyDescent="0.2">
      <c r="A42" t="s">
        <v>72</v>
      </c>
      <c r="B42">
        <v>0</v>
      </c>
      <c r="C42">
        <f>C41*0.1</f>
        <v>85773.60000000002</v>
      </c>
      <c r="D42">
        <f t="shared" ref="D42:AG42" si="80">D41*0.1</f>
        <v>94350.960000000021</v>
      </c>
      <c r="E42">
        <f t="shared" si="80"/>
        <v>103786.05600000004</v>
      </c>
      <c r="F42">
        <f t="shared" si="80"/>
        <v>114164.66160000005</v>
      </c>
      <c r="G42">
        <f t="shared" si="80"/>
        <v>125581.12776000006</v>
      </c>
      <c r="H42">
        <f t="shared" si="80"/>
        <v>129348.56159280008</v>
      </c>
      <c r="I42">
        <f t="shared" si="80"/>
        <v>133229.0184405841</v>
      </c>
      <c r="J42">
        <f t="shared" si="80"/>
        <v>137225.88899380164</v>
      </c>
      <c r="K42">
        <f t="shared" si="80"/>
        <v>141342.66566361565</v>
      </c>
      <c r="L42">
        <f t="shared" si="80"/>
        <v>145582.94563352416</v>
      </c>
      <c r="M42">
        <f t="shared" si="80"/>
        <v>149950.43400252989</v>
      </c>
      <c r="N42">
        <f t="shared" si="80"/>
        <v>154448.94702260577</v>
      </c>
      <c r="O42">
        <f t="shared" si="80"/>
        <v>159082.41543328398</v>
      </c>
      <c r="P42">
        <f t="shared" si="80"/>
        <v>163854.88789628248</v>
      </c>
      <c r="Q42">
        <f t="shared" si="80"/>
        <v>168770.53453317098</v>
      </c>
      <c r="R42">
        <f t="shared" si="80"/>
        <v>173833.65056916612</v>
      </c>
      <c r="S42">
        <f t="shared" si="80"/>
        <v>179048.66008624109</v>
      </c>
      <c r="T42">
        <f t="shared" si="80"/>
        <v>184420.11988882834</v>
      </c>
      <c r="U42">
        <f t="shared" si="80"/>
        <v>189952.72348549319</v>
      </c>
      <c r="V42">
        <f t="shared" si="80"/>
        <v>195651.30519005799</v>
      </c>
      <c r="W42">
        <f t="shared" si="80"/>
        <v>201520.84434575972</v>
      </c>
      <c r="X42">
        <f t="shared" si="80"/>
        <v>207566.46967613255</v>
      </c>
      <c r="Y42">
        <f t="shared" si="80"/>
        <v>213793.46376641651</v>
      </c>
      <c r="Z42">
        <f t="shared" si="80"/>
        <v>220207.26767940901</v>
      </c>
      <c r="AA42">
        <f t="shared" si="80"/>
        <v>226813.48570979128</v>
      </c>
      <c r="AB42">
        <f t="shared" si="80"/>
        <v>233617.89028108504</v>
      </c>
      <c r="AC42">
        <f t="shared" si="80"/>
        <v>240626.42698951761</v>
      </c>
      <c r="AD42">
        <f t="shared" si="80"/>
        <v>247845.21979920316</v>
      </c>
      <c r="AE42">
        <f t="shared" si="80"/>
        <v>255280.57639317928</v>
      </c>
      <c r="AF42">
        <f t="shared" si="80"/>
        <v>262938.99368497467</v>
      </c>
      <c r="AG42">
        <f t="shared" si="80"/>
        <v>270827.16349552391</v>
      </c>
      <c r="AL42" s="17"/>
    </row>
    <row r="43" spans="1:72" x14ac:dyDescent="0.2">
      <c r="A43" t="s">
        <v>17</v>
      </c>
      <c r="B43">
        <f>-B24*0.0015</f>
        <v>-17100</v>
      </c>
      <c r="C43">
        <f>B43*(1+$B$31)</f>
        <v>-18810</v>
      </c>
      <c r="D43">
        <f>C43*(1+$B$32)</f>
        <v>-19374.3</v>
      </c>
      <c r="E43">
        <f t="shared" ref="E43:AG43" si="81">D43*(1+$B$32)</f>
        <v>-19955.528999999999</v>
      </c>
      <c r="F43">
        <f t="shared" si="81"/>
        <v>-20554.194869999999</v>
      </c>
      <c r="G43">
        <f t="shared" si="81"/>
        <v>-21170.820716099999</v>
      </c>
      <c r="H43">
        <f t="shared" si="81"/>
        <v>-21805.945337582998</v>
      </c>
      <c r="I43">
        <f t="shared" si="81"/>
        <v>-22460.123697710489</v>
      </c>
      <c r="J43">
        <f t="shared" si="81"/>
        <v>-23133.927408641805</v>
      </c>
      <c r="K43">
        <f t="shared" si="81"/>
        <v>-23827.945230901059</v>
      </c>
      <c r="L43">
        <f t="shared" si="81"/>
        <v>-24542.783587828093</v>
      </c>
      <c r="M43">
        <f t="shared" si="81"/>
        <v>-25279.067095462935</v>
      </c>
      <c r="N43">
        <f t="shared" si="81"/>
        <v>-26037.439108326824</v>
      </c>
      <c r="O43">
        <f t="shared" si="81"/>
        <v>-26818.562281576629</v>
      </c>
      <c r="P43">
        <f t="shared" si="81"/>
        <v>-27623.119150023929</v>
      </c>
      <c r="Q43">
        <f t="shared" si="81"/>
        <v>-28451.812724524647</v>
      </c>
      <c r="R43">
        <f t="shared" si="81"/>
        <v>-29305.367106260386</v>
      </c>
      <c r="S43">
        <f t="shared" si="81"/>
        <v>-30184.528119448198</v>
      </c>
      <c r="T43">
        <f t="shared" si="81"/>
        <v>-31090.063963031644</v>
      </c>
      <c r="U43">
        <f t="shared" si="81"/>
        <v>-32022.765881922594</v>
      </c>
      <c r="V43">
        <f t="shared" si="81"/>
        <v>-32983.448858380274</v>
      </c>
      <c r="W43">
        <f t="shared" si="81"/>
        <v>-33972.952324131686</v>
      </c>
      <c r="X43">
        <f t="shared" si="81"/>
        <v>-34992.140893855634</v>
      </c>
      <c r="Y43">
        <f t="shared" si="81"/>
        <v>-36041.905120671305</v>
      </c>
      <c r="Z43">
        <f t="shared" si="81"/>
        <v>-37123.162274291448</v>
      </c>
      <c r="AA43">
        <f t="shared" si="81"/>
        <v>-38236.857142520195</v>
      </c>
      <c r="AB43">
        <f t="shared" si="81"/>
        <v>-39383.962856795799</v>
      </c>
      <c r="AC43">
        <f t="shared" si="81"/>
        <v>-40565.481742499673</v>
      </c>
      <c r="AD43">
        <f t="shared" si="81"/>
        <v>-41782.44619477466</v>
      </c>
      <c r="AE43">
        <f t="shared" si="81"/>
        <v>-43035.919580617898</v>
      </c>
      <c r="AF43">
        <f t="shared" si="81"/>
        <v>-44326.997168036432</v>
      </c>
      <c r="AG43">
        <f t="shared" si="81"/>
        <v>-45656.807083077525</v>
      </c>
      <c r="AI43" t="s">
        <v>23</v>
      </c>
      <c r="AJ43" s="2">
        <v>2E-3</v>
      </c>
      <c r="AK43">
        <f>AJ41*AJ43</f>
        <v>800</v>
      </c>
      <c r="AP43" t="s">
        <v>16</v>
      </c>
      <c r="AQ43">
        <v>8000000</v>
      </c>
    </row>
    <row r="44" spans="1:72" x14ac:dyDescent="0.2">
      <c r="A44" t="s">
        <v>20</v>
      </c>
      <c r="B44">
        <f>-B24*E24</f>
        <v>-45600</v>
      </c>
      <c r="C44">
        <f>B44*(1+$B$31)</f>
        <v>-50160.000000000007</v>
      </c>
      <c r="D44">
        <f>C44*(1+$B$32)</f>
        <v>-51664.80000000001</v>
      </c>
      <c r="E44">
        <f t="shared" ref="E44:AG44" si="82">D44*(1+$B$32)</f>
        <v>-53214.744000000013</v>
      </c>
      <c r="F44">
        <f t="shared" si="82"/>
        <v>-54811.186320000015</v>
      </c>
      <c r="G44">
        <f t="shared" si="82"/>
        <v>-56455.521909600015</v>
      </c>
      <c r="H44">
        <f t="shared" si="82"/>
        <v>-58149.187566888017</v>
      </c>
      <c r="I44">
        <f t="shared" si="82"/>
        <v>-59893.663193894659</v>
      </c>
      <c r="J44">
        <f t="shared" si="82"/>
        <v>-61690.473089711501</v>
      </c>
      <c r="K44">
        <f t="shared" si="82"/>
        <v>-63541.187282402847</v>
      </c>
      <c r="L44">
        <f t="shared" si="82"/>
        <v>-65447.422900874932</v>
      </c>
      <c r="M44">
        <f t="shared" si="82"/>
        <v>-67410.845587901174</v>
      </c>
      <c r="N44">
        <f t="shared" si="82"/>
        <v>-69433.170955538211</v>
      </c>
      <c r="O44">
        <f t="shared" si="82"/>
        <v>-71516.166084204364</v>
      </c>
      <c r="P44">
        <f t="shared" si="82"/>
        <v>-73661.651066730497</v>
      </c>
      <c r="Q44">
        <f t="shared" si="82"/>
        <v>-75871.500598732411</v>
      </c>
      <c r="R44">
        <f t="shared" si="82"/>
        <v>-78147.645616694383</v>
      </c>
      <c r="S44">
        <f t="shared" si="82"/>
        <v>-80492.074985195213</v>
      </c>
      <c r="T44">
        <f t="shared" si="82"/>
        <v>-82906.837234751074</v>
      </c>
      <c r="U44">
        <f t="shared" si="82"/>
        <v>-85394.042351793614</v>
      </c>
      <c r="V44">
        <f t="shared" si="82"/>
        <v>-87955.863622347431</v>
      </c>
      <c r="W44">
        <f t="shared" si="82"/>
        <v>-90594.539531017857</v>
      </c>
      <c r="X44">
        <f t="shared" si="82"/>
        <v>-93312.375716948402</v>
      </c>
      <c r="Y44">
        <f t="shared" si="82"/>
        <v>-96111.746988456856</v>
      </c>
      <c r="Z44">
        <f t="shared" si="82"/>
        <v>-98995.099398110571</v>
      </c>
      <c r="AA44">
        <f t="shared" si="82"/>
        <v>-101964.95238005389</v>
      </c>
      <c r="AB44">
        <f t="shared" si="82"/>
        <v>-105023.90095145551</v>
      </c>
      <c r="AC44">
        <f t="shared" si="82"/>
        <v>-108174.61797999918</v>
      </c>
      <c r="AD44">
        <f t="shared" si="82"/>
        <v>-111419.85651939915</v>
      </c>
      <c r="AE44">
        <f t="shared" si="82"/>
        <v>-114762.45221498112</v>
      </c>
      <c r="AF44">
        <f t="shared" si="82"/>
        <v>-118205.32578143055</v>
      </c>
      <c r="AG44">
        <f t="shared" si="82"/>
        <v>-121751.48555487348</v>
      </c>
      <c r="AI44" t="s">
        <v>27</v>
      </c>
      <c r="AJ44" s="1">
        <v>0.05</v>
      </c>
      <c r="AL44" s="17" t="s">
        <v>5</v>
      </c>
      <c r="AM44" t="s">
        <v>6</v>
      </c>
      <c r="AN44">
        <f>AJ41</f>
        <v>400000</v>
      </c>
    </row>
    <row r="45" spans="1:72" x14ac:dyDescent="0.2">
      <c r="A45" t="s">
        <v>25</v>
      </c>
      <c r="B45">
        <f>-B24*E25</f>
        <v>-342000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I45" t="s">
        <v>28</v>
      </c>
      <c r="AJ45" s="18">
        <v>0.01</v>
      </c>
      <c r="AK45">
        <f>AJ41*AJ45</f>
        <v>4000</v>
      </c>
      <c r="AM45" t="s">
        <v>2</v>
      </c>
      <c r="AN45" t="e">
        <f>#REF!</f>
        <v>#REF!</v>
      </c>
    </row>
    <row r="46" spans="1:72" x14ac:dyDescent="0.2">
      <c r="A46" t="s">
        <v>43</v>
      </c>
      <c r="B46">
        <v>0</v>
      </c>
      <c r="C46">
        <f>$B$45/5</f>
        <v>-68400</v>
      </c>
      <c r="D46">
        <f t="shared" ref="D46:G46" si="83">$B$45/5</f>
        <v>-68400</v>
      </c>
      <c r="E46">
        <f t="shared" si="83"/>
        <v>-68400</v>
      </c>
      <c r="F46">
        <f t="shared" si="83"/>
        <v>-68400</v>
      </c>
      <c r="G46">
        <f t="shared" si="83"/>
        <v>-68400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J46" s="18"/>
    </row>
    <row r="47" spans="1:72" x14ac:dyDescent="0.2">
      <c r="A47" t="s">
        <v>38</v>
      </c>
      <c r="B47">
        <f>-B24*0.0098</f>
        <v>-111720</v>
      </c>
      <c r="C47">
        <f>B47*(1+$B$31)</f>
        <v>-122892.00000000001</v>
      </c>
      <c r="D47">
        <f>C47*(1+$B$32)</f>
        <v>-126578.76000000002</v>
      </c>
      <c r="E47">
        <f t="shared" ref="E47:AG47" si="84">D47*(1+$B$32)</f>
        <v>-130376.12280000003</v>
      </c>
      <c r="F47">
        <f t="shared" si="84"/>
        <v>-134287.40648400004</v>
      </c>
      <c r="G47">
        <f t="shared" si="84"/>
        <v>-138316.02867852003</v>
      </c>
      <c r="H47">
        <f t="shared" si="84"/>
        <v>-142465.50953887563</v>
      </c>
      <c r="I47">
        <f t="shared" si="84"/>
        <v>-146739.47482504189</v>
      </c>
      <c r="J47">
        <f t="shared" si="84"/>
        <v>-151141.65906979315</v>
      </c>
      <c r="K47">
        <f t="shared" si="84"/>
        <v>-155675.90884188697</v>
      </c>
      <c r="L47">
        <f t="shared" si="84"/>
        <v>-160346.18610714359</v>
      </c>
      <c r="M47">
        <f t="shared" si="84"/>
        <v>-165156.5716903579</v>
      </c>
      <c r="N47">
        <f t="shared" si="84"/>
        <v>-170111.26884106864</v>
      </c>
      <c r="O47">
        <f t="shared" si="84"/>
        <v>-175214.6069063007</v>
      </c>
      <c r="P47">
        <f t="shared" si="84"/>
        <v>-180471.04511348973</v>
      </c>
      <c r="Q47">
        <f t="shared" si="84"/>
        <v>-185885.17646689442</v>
      </c>
      <c r="R47">
        <f t="shared" si="84"/>
        <v>-191461.73176090125</v>
      </c>
      <c r="S47">
        <f t="shared" si="84"/>
        <v>-197205.58371372829</v>
      </c>
      <c r="T47">
        <f t="shared" si="84"/>
        <v>-203121.75122514015</v>
      </c>
      <c r="U47">
        <f t="shared" si="84"/>
        <v>-209215.40376189435</v>
      </c>
      <c r="V47">
        <f t="shared" si="84"/>
        <v>-215491.86587475118</v>
      </c>
      <c r="W47">
        <f t="shared" si="84"/>
        <v>-221956.62185099372</v>
      </c>
      <c r="X47">
        <f t="shared" si="84"/>
        <v>-228615.32050652354</v>
      </c>
      <c r="Y47">
        <f t="shared" si="84"/>
        <v>-235473.78012171926</v>
      </c>
      <c r="Z47">
        <f t="shared" si="84"/>
        <v>-242537.99352537084</v>
      </c>
      <c r="AA47">
        <f t="shared" si="84"/>
        <v>-249814.13333113198</v>
      </c>
      <c r="AB47">
        <f t="shared" si="84"/>
        <v>-257308.55733106594</v>
      </c>
      <c r="AC47">
        <f t="shared" si="84"/>
        <v>-265027.8140509979</v>
      </c>
      <c r="AD47">
        <f t="shared" si="84"/>
        <v>-272978.64847252786</v>
      </c>
      <c r="AE47">
        <f t="shared" si="84"/>
        <v>-281168.00792670372</v>
      </c>
      <c r="AF47">
        <f t="shared" si="84"/>
        <v>-289603.04816450481</v>
      </c>
      <c r="AG47">
        <f t="shared" si="84"/>
        <v>-298291.13960943994</v>
      </c>
      <c r="AJ47" s="18"/>
    </row>
    <row r="48" spans="1:72" x14ac:dyDescent="0.2">
      <c r="A48" t="s">
        <v>36</v>
      </c>
      <c r="B48">
        <f>-B38</f>
        <v>-10000</v>
      </c>
      <c r="C48">
        <f>B48*(1+$B$31)</f>
        <v>-11000</v>
      </c>
      <c r="D48">
        <f>C48*(1+$B$32)</f>
        <v>-11330</v>
      </c>
      <c r="E48">
        <f t="shared" ref="E48:AG48" si="85">D48*(1+$B$32)</f>
        <v>-11669.9</v>
      </c>
      <c r="F48">
        <f t="shared" si="85"/>
        <v>-12019.996999999999</v>
      </c>
      <c r="G48">
        <f t="shared" si="85"/>
        <v>-12380.59691</v>
      </c>
      <c r="H48">
        <f t="shared" si="85"/>
        <v>-12752.0148173</v>
      </c>
      <c r="I48">
        <f t="shared" si="85"/>
        <v>-13134.575261819</v>
      </c>
      <c r="J48">
        <f t="shared" si="85"/>
        <v>-13528.61251967357</v>
      </c>
      <c r="K48">
        <f t="shared" si="85"/>
        <v>-13934.470895263777</v>
      </c>
      <c r="L48">
        <f t="shared" si="85"/>
        <v>-14352.505022121692</v>
      </c>
      <c r="M48">
        <f t="shared" si="85"/>
        <v>-14783.080172785343</v>
      </c>
      <c r="N48">
        <f t="shared" si="85"/>
        <v>-15226.572577968904</v>
      </c>
      <c r="O48">
        <f t="shared" si="85"/>
        <v>-15683.369755307971</v>
      </c>
      <c r="P48">
        <f t="shared" si="85"/>
        <v>-16153.870847967211</v>
      </c>
      <c r="Q48">
        <f t="shared" si="85"/>
        <v>-16638.486973406227</v>
      </c>
      <c r="R48">
        <f t="shared" si="85"/>
        <v>-17137.641582608416</v>
      </c>
      <c r="S48">
        <f t="shared" si="85"/>
        <v>-17651.770830086669</v>
      </c>
      <c r="T48">
        <f t="shared" si="85"/>
        <v>-18181.323954989268</v>
      </c>
      <c r="U48">
        <f t="shared" si="85"/>
        <v>-18726.763673638947</v>
      </c>
      <c r="V48">
        <f t="shared" si="85"/>
        <v>-19288.566583848115</v>
      </c>
      <c r="W48">
        <f t="shared" si="85"/>
        <v>-19867.22358136356</v>
      </c>
      <c r="X48">
        <f t="shared" si="85"/>
        <v>-20463.240288804467</v>
      </c>
      <c r="Y48">
        <f t="shared" si="85"/>
        <v>-21077.1374974686</v>
      </c>
      <c r="Z48">
        <f t="shared" si="85"/>
        <v>-21709.451622392658</v>
      </c>
      <c r="AA48">
        <f t="shared" si="85"/>
        <v>-22360.73517106444</v>
      </c>
      <c r="AB48">
        <f t="shared" si="85"/>
        <v>-23031.557226196375</v>
      </c>
      <c r="AC48">
        <f t="shared" si="85"/>
        <v>-23722.503942982268</v>
      </c>
      <c r="AD48">
        <f t="shared" si="85"/>
        <v>-24434.179061271738</v>
      </c>
      <c r="AE48">
        <f t="shared" si="85"/>
        <v>-25167.204433109891</v>
      </c>
      <c r="AF48">
        <f t="shared" si="85"/>
        <v>-25922.220566103188</v>
      </c>
      <c r="AG48">
        <f t="shared" si="85"/>
        <v>-26699.887183086284</v>
      </c>
      <c r="AI48" t="s">
        <v>36</v>
      </c>
      <c r="AJ48">
        <f>200</f>
        <v>200</v>
      </c>
    </row>
    <row r="49" spans="1:72" x14ac:dyDescent="0.2">
      <c r="A49" t="s">
        <v>26</v>
      </c>
      <c r="B49">
        <v>0</v>
      </c>
      <c r="C49">
        <v>0</v>
      </c>
      <c r="D49">
        <f>-B24*$E$28</f>
        <v>-57000</v>
      </c>
      <c r="E49">
        <f>D49*(1+$B$31)</f>
        <v>-62700.000000000007</v>
      </c>
      <c r="F49">
        <f t="shared" ref="F49:AG49" si="86">E49*(1+$B$31)</f>
        <v>-68970.000000000015</v>
      </c>
      <c r="G49">
        <f t="shared" si="86"/>
        <v>-75867.000000000029</v>
      </c>
      <c r="H49">
        <f t="shared" si="86"/>
        <v>-83453.700000000041</v>
      </c>
      <c r="I49">
        <f t="shared" si="86"/>
        <v>-91799.070000000051</v>
      </c>
      <c r="J49">
        <f t="shared" si="86"/>
        <v>-100978.97700000006</v>
      </c>
      <c r="K49">
        <f t="shared" si="86"/>
        <v>-111076.87470000007</v>
      </c>
      <c r="L49">
        <f t="shared" si="86"/>
        <v>-122184.56217000009</v>
      </c>
      <c r="M49">
        <f t="shared" si="86"/>
        <v>-134403.01838700011</v>
      </c>
      <c r="N49">
        <f t="shared" si="86"/>
        <v>-147843.32022570012</v>
      </c>
      <c r="O49">
        <f t="shared" si="86"/>
        <v>-162627.65224827014</v>
      </c>
      <c r="P49">
        <f t="shared" si="86"/>
        <v>-178890.41747309716</v>
      </c>
      <c r="Q49">
        <f t="shared" si="86"/>
        <v>-196779.45922040689</v>
      </c>
      <c r="R49">
        <f t="shared" si="86"/>
        <v>-216457.40514244759</v>
      </c>
      <c r="S49">
        <f t="shared" si="86"/>
        <v>-238103.14565669236</v>
      </c>
      <c r="T49">
        <f t="shared" si="86"/>
        <v>-261913.46022236161</v>
      </c>
      <c r="U49">
        <f t="shared" si="86"/>
        <v>-288104.80624459777</v>
      </c>
      <c r="V49">
        <f t="shared" si="86"/>
        <v>-316915.28686905757</v>
      </c>
      <c r="W49">
        <f t="shared" si="86"/>
        <v>-348606.81555596337</v>
      </c>
      <c r="X49">
        <f t="shared" si="86"/>
        <v>-383467.49711155973</v>
      </c>
      <c r="Y49">
        <f t="shared" si="86"/>
        <v>-421814.24682271574</v>
      </c>
      <c r="Z49">
        <f t="shared" si="86"/>
        <v>-463995.67150498735</v>
      </c>
      <c r="AA49">
        <f t="shared" si="86"/>
        <v>-510395.23865548614</v>
      </c>
      <c r="AB49">
        <f t="shared" si="86"/>
        <v>-561434.76252103481</v>
      </c>
      <c r="AC49">
        <f t="shared" si="86"/>
        <v>-617578.23877313838</v>
      </c>
      <c r="AD49">
        <f t="shared" si="86"/>
        <v>-679336.06265045225</v>
      </c>
      <c r="AE49">
        <f t="shared" si="86"/>
        <v>-747269.66891549749</v>
      </c>
      <c r="AF49">
        <f t="shared" si="86"/>
        <v>-821996.63580704725</v>
      </c>
      <c r="AG49">
        <f t="shared" si="86"/>
        <v>-904196.29938775208</v>
      </c>
      <c r="AI49" t="s">
        <v>29</v>
      </c>
      <c r="AJ49" s="1">
        <v>0.05</v>
      </c>
      <c r="AM49" t="s">
        <v>7</v>
      </c>
      <c r="AN49" s="1">
        <v>0.2</v>
      </c>
    </row>
    <row r="50" spans="1:72" ht="17" thickBot="1" x14ac:dyDescent="0.25">
      <c r="A50" s="4" t="s">
        <v>33</v>
      </c>
      <c r="B50" s="4">
        <v>0</v>
      </c>
      <c r="C50" s="4">
        <f>-$E$27*C41</f>
        <v>-42886.80000000001</v>
      </c>
      <c r="D50" s="4">
        <f t="shared" ref="D50:AG50" si="87">-$E$27*D41</f>
        <v>-47175.48000000001</v>
      </c>
      <c r="E50" s="4">
        <f t="shared" si="87"/>
        <v>-51893.02800000002</v>
      </c>
      <c r="F50" s="4">
        <f t="shared" si="87"/>
        <v>-57082.330800000025</v>
      </c>
      <c r="G50" s="4">
        <f t="shared" si="87"/>
        <v>-62790.563880000031</v>
      </c>
      <c r="H50" s="4">
        <f t="shared" si="87"/>
        <v>-64674.280796400039</v>
      </c>
      <c r="I50" s="4">
        <f t="shared" si="87"/>
        <v>-66614.50922029205</v>
      </c>
      <c r="J50" s="4">
        <f t="shared" si="87"/>
        <v>-68612.944496900818</v>
      </c>
      <c r="K50" s="4">
        <f t="shared" si="87"/>
        <v>-70671.332831807827</v>
      </c>
      <c r="L50" s="4">
        <f t="shared" si="87"/>
        <v>-72791.472816762078</v>
      </c>
      <c r="M50" s="4">
        <f t="shared" si="87"/>
        <v>-74975.217001264944</v>
      </c>
      <c r="N50" s="4">
        <f t="shared" si="87"/>
        <v>-77224.473511302887</v>
      </c>
      <c r="O50" s="4">
        <f t="shared" si="87"/>
        <v>-79541.207716641991</v>
      </c>
      <c r="P50" s="4">
        <f t="shared" si="87"/>
        <v>-81927.443948141241</v>
      </c>
      <c r="Q50" s="4">
        <f t="shared" si="87"/>
        <v>-84385.267266585492</v>
      </c>
      <c r="R50" s="4">
        <f t="shared" si="87"/>
        <v>-86916.825284583058</v>
      </c>
      <c r="S50" s="4">
        <f t="shared" si="87"/>
        <v>-89524.330043120543</v>
      </c>
      <c r="T50" s="4">
        <f t="shared" si="87"/>
        <v>-92210.05994441417</v>
      </c>
      <c r="U50" s="4">
        <f t="shared" si="87"/>
        <v>-94976.361742746594</v>
      </c>
      <c r="V50" s="4">
        <f t="shared" si="87"/>
        <v>-97825.652595028994</v>
      </c>
      <c r="W50" s="4">
        <f t="shared" si="87"/>
        <v>-100760.42217287986</v>
      </c>
      <c r="X50" s="4">
        <f t="shared" si="87"/>
        <v>-103783.23483806627</v>
      </c>
      <c r="Y50" s="4">
        <f t="shared" si="87"/>
        <v>-106896.73188320825</v>
      </c>
      <c r="Z50" s="4">
        <f t="shared" si="87"/>
        <v>-110103.6338397045</v>
      </c>
      <c r="AA50" s="4">
        <f t="shared" si="87"/>
        <v>-113406.74285489564</v>
      </c>
      <c r="AB50" s="4">
        <f t="shared" si="87"/>
        <v>-116808.94514054252</v>
      </c>
      <c r="AC50" s="4">
        <f t="shared" si="87"/>
        <v>-120313.21349475881</v>
      </c>
      <c r="AD50" s="4">
        <f t="shared" si="87"/>
        <v>-123922.60989960158</v>
      </c>
      <c r="AE50" s="4">
        <f t="shared" si="87"/>
        <v>-127640.28819658964</v>
      </c>
      <c r="AF50" s="4">
        <f t="shared" si="87"/>
        <v>-131469.49684248734</v>
      </c>
      <c r="AG50" s="4">
        <f t="shared" si="87"/>
        <v>-135413.58174776196</v>
      </c>
      <c r="AI50" t="s">
        <v>30</v>
      </c>
      <c r="AM50" t="s">
        <v>12</v>
      </c>
      <c r="AN50" t="e">
        <f>AN44*AN45*(1-AN49)</f>
        <v>#REF!</v>
      </c>
    </row>
    <row r="51" spans="1:72" s="5" customFormat="1" ht="17" thickBot="1" x14ac:dyDescent="0.25">
      <c r="A51" s="21" t="s">
        <v>56</v>
      </c>
      <c r="B51" s="21">
        <f>0</f>
        <v>0</v>
      </c>
      <c r="C51" s="21">
        <f t="shared" ref="C51:AG51" si="88">SUM(C41:C50)</f>
        <v>629360.80000000005</v>
      </c>
      <c r="D51" s="21">
        <f t="shared" si="88"/>
        <v>656337.2200000002</v>
      </c>
      <c r="E51" s="21">
        <f t="shared" si="88"/>
        <v>743437.29220000026</v>
      </c>
      <c r="F51" s="21">
        <f t="shared" si="88"/>
        <v>839686.16212600027</v>
      </c>
      <c r="G51" s="21">
        <f t="shared" si="88"/>
        <v>946011.87326578028</v>
      </c>
      <c r="H51" s="21">
        <f t="shared" si="88"/>
        <v>1039533.539463754</v>
      </c>
      <c r="I51" s="21">
        <f t="shared" si="88"/>
        <v>1064877.7866476672</v>
      </c>
      <c r="J51" s="21">
        <f t="shared" si="88"/>
        <v>1090398.185347097</v>
      </c>
      <c r="K51" s="21">
        <f t="shared" si="88"/>
        <v>1116041.6025175096</v>
      </c>
      <c r="L51" s="21">
        <f t="shared" si="88"/>
        <v>1141747.4693640354</v>
      </c>
      <c r="M51" s="21">
        <f t="shared" si="88"/>
        <v>1167446.9740930563</v>
      </c>
      <c r="N51" s="21">
        <f t="shared" si="88"/>
        <v>1193062.1720287579</v>
      </c>
      <c r="O51" s="21">
        <f t="shared" si="88"/>
        <v>1218505.0047738219</v>
      </c>
      <c r="P51" s="21">
        <f t="shared" si="88"/>
        <v>1243676.2192596574</v>
      </c>
      <c r="Q51" s="21">
        <f t="shared" si="88"/>
        <v>1268464.1766143306</v>
      </c>
      <c r="R51" s="21">
        <f t="shared" si="88"/>
        <v>1292743.5397673319</v>
      </c>
      <c r="S51" s="21">
        <f t="shared" si="88"/>
        <v>1316373.8276003809</v>
      </c>
      <c r="T51" s="21">
        <f t="shared" si="88"/>
        <v>1339197.8222324238</v>
      </c>
      <c r="U51" s="21">
        <f t="shared" si="88"/>
        <v>1361039.8146838308</v>
      </c>
      <c r="V51" s="21">
        <f t="shared" si="88"/>
        <v>1381703.6726872243</v>
      </c>
      <c r="W51" s="21">
        <f t="shared" si="88"/>
        <v>1400970.7127870072</v>
      </c>
      <c r="X51" s="21">
        <f t="shared" si="88"/>
        <v>1418597.3570816997</v>
      </c>
      <c r="Y51" s="21">
        <f t="shared" si="88"/>
        <v>1434312.5529963416</v>
      </c>
      <c r="Z51" s="21">
        <f t="shared" si="88"/>
        <v>1447814.9323086415</v>
      </c>
      <c r="AA51" s="21">
        <f t="shared" si="88"/>
        <v>1458769.6832725515</v>
      </c>
      <c r="AB51" s="21">
        <f t="shared" si="88"/>
        <v>1466805.1070648443</v>
      </c>
      <c r="AC51" s="21">
        <f t="shared" si="88"/>
        <v>1471508.8269003171</v>
      </c>
      <c r="AD51" s="21">
        <f t="shared" si="88"/>
        <v>1472423.6149932074</v>
      </c>
      <c r="AE51" s="21">
        <f t="shared" si="88"/>
        <v>1469042.7990574718</v>
      </c>
      <c r="AF51" s="21">
        <f t="shared" si="88"/>
        <v>1460805.206205111</v>
      </c>
      <c r="AG51" s="21">
        <f t="shared" si="88"/>
        <v>1447089.5978847714</v>
      </c>
      <c r="AH51"/>
      <c r="AI51"/>
      <c r="AJ51"/>
      <c r="AK51"/>
      <c r="AL51" s="17" t="s">
        <v>20</v>
      </c>
      <c r="AM51"/>
      <c r="AN51">
        <f>AK5</f>
        <v>800</v>
      </c>
      <c r="AO51"/>
      <c r="AP51"/>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row>
    <row r="52" spans="1:72" x14ac:dyDescent="0.2">
      <c r="A52" t="s">
        <v>5</v>
      </c>
      <c r="B52">
        <f>-$B$25</f>
        <v>-2280000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L52" s="17"/>
    </row>
    <row r="53" spans="1:72" x14ac:dyDescent="0.2">
      <c r="A53" t="s">
        <v>52</v>
      </c>
      <c r="B53">
        <v>0</v>
      </c>
      <c r="C53">
        <f>-$B$36</f>
        <v>-656148.09472717938</v>
      </c>
      <c r="D53">
        <f t="shared" ref="D53:AF53" si="89">-$B$36</f>
        <v>-656148.09472717938</v>
      </c>
      <c r="E53">
        <f t="shared" si="89"/>
        <v>-656148.09472717938</v>
      </c>
      <c r="F53">
        <f t="shared" si="89"/>
        <v>-656148.09472717938</v>
      </c>
      <c r="G53">
        <f t="shared" si="89"/>
        <v>-656148.09472717938</v>
      </c>
      <c r="H53">
        <f t="shared" si="89"/>
        <v>-656148.09472717938</v>
      </c>
      <c r="I53">
        <f t="shared" si="89"/>
        <v>-656148.09472717938</v>
      </c>
      <c r="J53">
        <f t="shared" si="89"/>
        <v>-656148.09472717938</v>
      </c>
      <c r="K53">
        <f t="shared" si="89"/>
        <v>-656148.09472717938</v>
      </c>
      <c r="L53">
        <f t="shared" si="89"/>
        <v>-656148.09472717938</v>
      </c>
      <c r="M53">
        <f t="shared" si="89"/>
        <v>-656148.09472717938</v>
      </c>
      <c r="N53">
        <f t="shared" si="89"/>
        <v>-656148.09472717938</v>
      </c>
      <c r="O53">
        <f t="shared" si="89"/>
        <v>-656148.09472717938</v>
      </c>
      <c r="P53">
        <f t="shared" si="89"/>
        <v>-656148.09472717938</v>
      </c>
      <c r="Q53">
        <f t="shared" si="89"/>
        <v>-656148.09472717938</v>
      </c>
      <c r="R53">
        <f t="shared" si="89"/>
        <v>-656148.09472717938</v>
      </c>
      <c r="S53">
        <f t="shared" si="89"/>
        <v>-656148.09472717938</v>
      </c>
      <c r="T53">
        <f t="shared" si="89"/>
        <v>-656148.09472717938</v>
      </c>
      <c r="U53">
        <f t="shared" si="89"/>
        <v>-656148.09472717938</v>
      </c>
      <c r="V53">
        <f t="shared" si="89"/>
        <v>-656148.09472717938</v>
      </c>
      <c r="W53">
        <f t="shared" si="89"/>
        <v>-656148.09472717938</v>
      </c>
      <c r="X53">
        <f t="shared" si="89"/>
        <v>-656148.09472717938</v>
      </c>
      <c r="Y53">
        <f t="shared" si="89"/>
        <v>-656148.09472717938</v>
      </c>
      <c r="Z53">
        <f t="shared" si="89"/>
        <v>-656148.09472717938</v>
      </c>
      <c r="AA53">
        <f t="shared" si="89"/>
        <v>-656148.09472717938</v>
      </c>
      <c r="AB53">
        <f t="shared" si="89"/>
        <v>-656148.09472717938</v>
      </c>
      <c r="AC53">
        <f t="shared" si="89"/>
        <v>-656148.09472717938</v>
      </c>
      <c r="AD53">
        <f t="shared" si="89"/>
        <v>-656148.09472717938</v>
      </c>
      <c r="AE53">
        <f t="shared" si="89"/>
        <v>-656148.09472717938</v>
      </c>
      <c r="AF53">
        <f t="shared" si="89"/>
        <v>-656148.09472717938</v>
      </c>
      <c r="AG53">
        <v>0</v>
      </c>
    </row>
    <row r="54" spans="1:72" x14ac:dyDescent="0.2">
      <c r="A54" t="s">
        <v>71</v>
      </c>
      <c r="C54">
        <f>-40000*6</f>
        <v>-240000</v>
      </c>
      <c r="D54">
        <f>C54*(1+0.02)</f>
        <v>-244800</v>
      </c>
      <c r="E54">
        <f t="shared" ref="E54:AG54" si="90">D54*(1+0.02)</f>
        <v>-249696</v>
      </c>
      <c r="F54">
        <f t="shared" si="90"/>
        <v>-254689.92000000001</v>
      </c>
      <c r="G54">
        <f t="shared" si="90"/>
        <v>-259783.71840000001</v>
      </c>
      <c r="H54">
        <f t="shared" si="90"/>
        <v>-264979.39276800002</v>
      </c>
      <c r="I54">
        <f t="shared" si="90"/>
        <v>-270278.98062336002</v>
      </c>
      <c r="J54">
        <f t="shared" si="90"/>
        <v>-275684.56023582723</v>
      </c>
      <c r="K54">
        <f t="shared" si="90"/>
        <v>-281198.2514405438</v>
      </c>
      <c r="L54">
        <f t="shared" si="90"/>
        <v>-286822.21646935469</v>
      </c>
      <c r="M54">
        <f t="shared" si="90"/>
        <v>-292558.6607987418</v>
      </c>
      <c r="N54">
        <f t="shared" si="90"/>
        <v>-298409.83401471662</v>
      </c>
      <c r="O54">
        <f t="shared" si="90"/>
        <v>-304378.03069501097</v>
      </c>
      <c r="P54">
        <f t="shared" si="90"/>
        <v>-310465.59130891121</v>
      </c>
      <c r="Q54">
        <f t="shared" si="90"/>
        <v>-316674.90313508944</v>
      </c>
      <c r="R54">
        <f t="shared" si="90"/>
        <v>-323008.40119779122</v>
      </c>
      <c r="S54">
        <f t="shared" si="90"/>
        <v>-329468.56922174705</v>
      </c>
      <c r="T54">
        <f t="shared" si="90"/>
        <v>-336057.94060618198</v>
      </c>
      <c r="U54">
        <f t="shared" si="90"/>
        <v>-342779.09941830562</v>
      </c>
      <c r="V54">
        <f t="shared" si="90"/>
        <v>-349634.68140667176</v>
      </c>
      <c r="W54">
        <f t="shared" si="90"/>
        <v>-356627.37503480521</v>
      </c>
      <c r="X54">
        <f t="shared" si="90"/>
        <v>-363759.9225355013</v>
      </c>
      <c r="Y54">
        <f t="shared" si="90"/>
        <v>-371035.12098621135</v>
      </c>
      <c r="Z54">
        <f t="shared" si="90"/>
        <v>-378455.8234059356</v>
      </c>
      <c r="AA54">
        <f t="shared" si="90"/>
        <v>-386024.93987405434</v>
      </c>
      <c r="AB54">
        <f t="shared" si="90"/>
        <v>-393745.4386715354</v>
      </c>
      <c r="AC54">
        <f t="shared" si="90"/>
        <v>-401620.34744496614</v>
      </c>
      <c r="AD54">
        <f t="shared" si="90"/>
        <v>-409652.75439386547</v>
      </c>
      <c r="AE54">
        <f t="shared" si="90"/>
        <v>-417845.80948174279</v>
      </c>
      <c r="AF54">
        <f t="shared" si="90"/>
        <v>-426202.72567137767</v>
      </c>
      <c r="AG54">
        <f t="shared" si="90"/>
        <v>-434726.78018480522</v>
      </c>
    </row>
    <row r="55" spans="1:72" ht="17" thickBot="1" x14ac:dyDescent="0.25">
      <c r="A55" s="4" t="s">
        <v>48</v>
      </c>
      <c r="B55" s="4">
        <f>B51*-$B$34</f>
        <v>0</v>
      </c>
      <c r="C55" s="4">
        <f t="shared" ref="C55:AG55" si="91">C51*-$B$34</f>
        <v>-18880.824000000001</v>
      </c>
      <c r="D55" s="4">
        <f t="shared" si="91"/>
        <v>-19690.116600000005</v>
      </c>
      <c r="E55" s="4">
        <f t="shared" si="91"/>
        <v>-22303.118766000007</v>
      </c>
      <c r="F55" s="4">
        <f t="shared" si="91"/>
        <v>-25190.584863780008</v>
      </c>
      <c r="G55" s="4">
        <f t="shared" si="91"/>
        <v>-28380.356197973408</v>
      </c>
      <c r="H55" s="4">
        <f t="shared" si="91"/>
        <v>-31186.006183912621</v>
      </c>
      <c r="I55" s="4">
        <f t="shared" si="91"/>
        <v>-31946.333599430014</v>
      </c>
      <c r="J55" s="4">
        <f t="shared" si="91"/>
        <v>-32711.945560412907</v>
      </c>
      <c r="K55" s="4">
        <f t="shared" si="91"/>
        <v>-33481.248075525284</v>
      </c>
      <c r="L55" s="4">
        <f t="shared" si="91"/>
        <v>-34252.424080921061</v>
      </c>
      <c r="M55" s="4">
        <f t="shared" si="91"/>
        <v>-35023.409222791684</v>
      </c>
      <c r="N55" s="4">
        <f t="shared" si="91"/>
        <v>-35791.865160862733</v>
      </c>
      <c r="O55" s="4">
        <f t="shared" si="91"/>
        <v>-36555.150143214654</v>
      </c>
      <c r="P55" s="4">
        <f t="shared" si="91"/>
        <v>-37310.286577789724</v>
      </c>
      <c r="Q55" s="4">
        <f t="shared" si="91"/>
        <v>-38053.925298429916</v>
      </c>
      <c r="R55" s="4">
        <f t="shared" si="91"/>
        <v>-38782.306193019955</v>
      </c>
      <c r="S55" s="4">
        <f t="shared" si="91"/>
        <v>-39491.214828011427</v>
      </c>
      <c r="T55" s="4">
        <f t="shared" si="91"/>
        <v>-40175.934666972717</v>
      </c>
      <c r="U55" s="4">
        <f t="shared" si="91"/>
        <v>-40831.194440514926</v>
      </c>
      <c r="V55" s="4">
        <f t="shared" si="91"/>
        <v>-41451.110180616728</v>
      </c>
      <c r="W55" s="4">
        <f t="shared" si="91"/>
        <v>-42029.121383610218</v>
      </c>
      <c r="X55" s="4">
        <f t="shared" si="91"/>
        <v>-42557.920712450985</v>
      </c>
      <c r="Y55" s="4">
        <f t="shared" si="91"/>
        <v>-43029.376589890249</v>
      </c>
      <c r="Z55" s="4">
        <f t="shared" si="91"/>
        <v>-43434.447969259243</v>
      </c>
      <c r="AA55" s="4">
        <f t="shared" si="91"/>
        <v>-43763.090498176542</v>
      </c>
      <c r="AB55" s="4">
        <f t="shared" si="91"/>
        <v>-44004.153211945326</v>
      </c>
      <c r="AC55" s="4">
        <f t="shared" si="91"/>
        <v>-44145.264807009509</v>
      </c>
      <c r="AD55" s="4">
        <f t="shared" si="91"/>
        <v>-44172.708449796221</v>
      </c>
      <c r="AE55" s="4">
        <f t="shared" si="91"/>
        <v>-44071.283971724151</v>
      </c>
      <c r="AF55" s="4">
        <f t="shared" si="91"/>
        <v>-43824.156186153326</v>
      </c>
      <c r="AG55" s="4">
        <f t="shared" si="91"/>
        <v>-43412.687936543138</v>
      </c>
      <c r="AL55" s="17" t="s">
        <v>26</v>
      </c>
      <c r="AN55">
        <f>AK7</f>
        <v>4000</v>
      </c>
    </row>
    <row r="56" spans="1:72" s="20" customFormat="1" ht="17" thickBot="1" x14ac:dyDescent="0.25">
      <c r="A56" s="20" t="s">
        <v>75</v>
      </c>
      <c r="C56" s="20">
        <f>C43+C44+C45+C46+C47+C48+C49+C50+C54+C55</f>
        <v>-573029.62400000007</v>
      </c>
      <c r="D56" s="20">
        <f t="shared" ref="D56:AG56" si="92">D43+D44+D45+D46+D47+D48+D49+D50+D54+D55</f>
        <v>-646013.45660000003</v>
      </c>
      <c r="E56" s="20">
        <f t="shared" si="92"/>
        <v>-670208.44256600016</v>
      </c>
      <c r="F56" s="20">
        <f t="shared" si="92"/>
        <v>-696005.6203377801</v>
      </c>
      <c r="G56" s="20">
        <f t="shared" si="92"/>
        <v>-723544.60669219354</v>
      </c>
      <c r="H56" s="20">
        <f t="shared" si="92"/>
        <v>-679466.03700895933</v>
      </c>
      <c r="I56" s="20">
        <f t="shared" si="92"/>
        <v>-702866.73042154824</v>
      </c>
      <c r="J56" s="20">
        <f t="shared" si="92"/>
        <v>-727483.09938096115</v>
      </c>
      <c r="K56" s="20">
        <f t="shared" si="92"/>
        <v>-753407.21929833153</v>
      </c>
      <c r="L56" s="20">
        <f t="shared" si="92"/>
        <v>-780739.57315500628</v>
      </c>
      <c r="M56" s="20">
        <f t="shared" si="92"/>
        <v>-809589.86995630572</v>
      </c>
      <c r="N56" s="20">
        <f t="shared" si="92"/>
        <v>-840077.94439548487</v>
      </c>
      <c r="O56" s="20">
        <f t="shared" si="92"/>
        <v>-872334.74583052739</v>
      </c>
      <c r="P56" s="20">
        <f t="shared" si="92"/>
        <v>-906503.42548615066</v>
      </c>
      <c r="Q56" s="20">
        <f t="shared" si="92"/>
        <v>-942740.53168406943</v>
      </c>
      <c r="R56" s="20">
        <f t="shared" si="92"/>
        <v>-981217.32388430624</v>
      </c>
      <c r="S56" s="20">
        <f t="shared" si="92"/>
        <v>-1022121.2173980299</v>
      </c>
      <c r="T56" s="20">
        <f t="shared" si="92"/>
        <v>-1065657.3718178426</v>
      </c>
      <c r="U56" s="20">
        <f t="shared" si="92"/>
        <v>-1112050.4375154143</v>
      </c>
      <c r="V56" s="20">
        <f t="shared" si="92"/>
        <v>-1161546.4759907019</v>
      </c>
      <c r="W56" s="20">
        <f t="shared" si="92"/>
        <v>-1214415.0714347654</v>
      </c>
      <c r="X56" s="20">
        <f t="shared" si="92"/>
        <v>-1270951.6526037103</v>
      </c>
      <c r="Y56" s="20">
        <f t="shared" si="92"/>
        <v>-1331480.0460103417</v>
      </c>
      <c r="Z56" s="20">
        <f t="shared" si="92"/>
        <v>-1396355.2835400524</v>
      </c>
      <c r="AA56" s="20">
        <f t="shared" si="92"/>
        <v>-1465966.6899073832</v>
      </c>
      <c r="AB56" s="20">
        <f t="shared" si="92"/>
        <v>-1540741.2779105718</v>
      </c>
      <c r="AC56" s="20">
        <f t="shared" si="92"/>
        <v>-1621147.4822363521</v>
      </c>
      <c r="AD56" s="20">
        <f t="shared" si="92"/>
        <v>-1707699.2656416893</v>
      </c>
      <c r="AE56" s="20">
        <f t="shared" si="92"/>
        <v>-1800960.6347209667</v>
      </c>
      <c r="AF56" s="20">
        <f t="shared" si="92"/>
        <v>-1901550.6061871406</v>
      </c>
      <c r="AG56" s="20">
        <f t="shared" si="92"/>
        <v>-2010148.6686873394</v>
      </c>
      <c r="AH56"/>
      <c r="AI56"/>
      <c r="AJ56"/>
      <c r="AK56"/>
      <c r="AL56" s="17"/>
      <c r="AM56"/>
      <c r="AN56"/>
      <c r="AO56"/>
      <c r="AP56"/>
    </row>
    <row r="57" spans="1:72" x14ac:dyDescent="0.2">
      <c r="A57" s="6" t="s">
        <v>39</v>
      </c>
      <c r="B57" s="6">
        <f>B51+B52+B53+B54+B55</f>
        <v>-2280000</v>
      </c>
      <c r="C57" s="6">
        <f t="shared" ref="C57:AG57" si="93">C51+C52+C53+C54+C55</f>
        <v>-285668.11872717936</v>
      </c>
      <c r="D57" s="6">
        <f t="shared" si="93"/>
        <v>-264300.99132717919</v>
      </c>
      <c r="E57" s="6">
        <f t="shared" si="93"/>
        <v>-184709.92129317913</v>
      </c>
      <c r="F57" s="6">
        <f t="shared" si="93"/>
        <v>-96342.437464959134</v>
      </c>
      <c r="G57" s="23">
        <f t="shared" si="93"/>
        <v>1699.7039406274707</v>
      </c>
      <c r="H57" s="6">
        <f t="shared" si="93"/>
        <v>87220.045784662012</v>
      </c>
      <c r="I57" s="6">
        <f t="shared" si="93"/>
        <v>106504.37769769775</v>
      </c>
      <c r="J57" s="6">
        <f t="shared" si="93"/>
        <v>125853.58482367748</v>
      </c>
      <c r="K57" s="6">
        <f t="shared" si="93"/>
        <v>145214.00827426114</v>
      </c>
      <c r="L57" s="6">
        <f t="shared" si="93"/>
        <v>164524.73408658028</v>
      </c>
      <c r="M57" s="6">
        <f t="shared" si="93"/>
        <v>183716.80934434343</v>
      </c>
      <c r="N57" s="6">
        <f t="shared" si="93"/>
        <v>202712.37812599912</v>
      </c>
      <c r="O57" s="6">
        <f t="shared" si="93"/>
        <v>221423.72920841692</v>
      </c>
      <c r="P57" s="6">
        <f t="shared" si="93"/>
        <v>239752.24664577711</v>
      </c>
      <c r="Q57" s="6">
        <f t="shared" si="93"/>
        <v>257587.25345363189</v>
      </c>
      <c r="R57" s="6">
        <f t="shared" si="93"/>
        <v>274804.73764934135</v>
      </c>
      <c r="S57" s="6">
        <f t="shared" si="93"/>
        <v>291265.94882344303</v>
      </c>
      <c r="T57" s="6">
        <f t="shared" si="93"/>
        <v>306815.85223208973</v>
      </c>
      <c r="U57" s="6">
        <f t="shared" si="93"/>
        <v>321281.42609783087</v>
      </c>
      <c r="V57" s="6">
        <f t="shared" si="93"/>
        <v>334469.78637275647</v>
      </c>
      <c r="W57" s="6">
        <f t="shared" si="93"/>
        <v>346166.12164141238</v>
      </c>
      <c r="X57" s="6">
        <f t="shared" si="93"/>
        <v>356131.41910656798</v>
      </c>
      <c r="Y57" s="6">
        <f t="shared" si="93"/>
        <v>364099.96069306065</v>
      </c>
      <c r="Z57" s="6">
        <f t="shared" si="93"/>
        <v>369776.56620626728</v>
      </c>
      <c r="AA57" s="6">
        <f t="shared" si="93"/>
        <v>372833.55817314127</v>
      </c>
      <c r="AB57" s="6">
        <f t="shared" si="93"/>
        <v>372907.42045418423</v>
      </c>
      <c r="AC57" s="6">
        <f t="shared" si="93"/>
        <v>369595.11992116208</v>
      </c>
      <c r="AD57" s="6">
        <f t="shared" si="93"/>
        <v>362450.05742236634</v>
      </c>
      <c r="AE57" s="6">
        <f t="shared" si="93"/>
        <v>350977.61087682546</v>
      </c>
      <c r="AF57" s="6">
        <f t="shared" si="93"/>
        <v>334630.22962040058</v>
      </c>
      <c r="AG57" s="6">
        <f t="shared" si="93"/>
        <v>968950.12976342312</v>
      </c>
    </row>
    <row r="58" spans="1:72" x14ac:dyDescent="0.2">
      <c r="A58" t="s">
        <v>54</v>
      </c>
      <c r="C58">
        <f>IF(C57&lt;0, -C57*$B$33, 0)</f>
        <v>85700.435618153802</v>
      </c>
      <c r="D58">
        <f t="shared" ref="D58:AG58" si="94">IF(D57&lt;0, -D57*$B$33, 0)</f>
        <v>79290.297398153751</v>
      </c>
      <c r="E58">
        <f t="shared" si="94"/>
        <v>55412.976387953735</v>
      </c>
      <c r="F58">
        <f t="shared" si="94"/>
        <v>28902.731239487741</v>
      </c>
      <c r="G58">
        <f t="shared" si="94"/>
        <v>0</v>
      </c>
      <c r="H58">
        <f t="shared" si="94"/>
        <v>0</v>
      </c>
      <c r="I58">
        <f t="shared" si="94"/>
        <v>0</v>
      </c>
      <c r="J58">
        <f t="shared" si="94"/>
        <v>0</v>
      </c>
      <c r="K58">
        <f t="shared" si="94"/>
        <v>0</v>
      </c>
      <c r="L58">
        <f t="shared" si="94"/>
        <v>0</v>
      </c>
      <c r="M58">
        <f t="shared" si="94"/>
        <v>0</v>
      </c>
      <c r="N58">
        <f t="shared" si="94"/>
        <v>0</v>
      </c>
      <c r="O58">
        <f t="shared" si="94"/>
        <v>0</v>
      </c>
      <c r="P58">
        <f t="shared" si="94"/>
        <v>0</v>
      </c>
      <c r="Q58">
        <f t="shared" si="94"/>
        <v>0</v>
      </c>
      <c r="R58">
        <f t="shared" si="94"/>
        <v>0</v>
      </c>
      <c r="S58">
        <f t="shared" si="94"/>
        <v>0</v>
      </c>
      <c r="T58">
        <f t="shared" si="94"/>
        <v>0</v>
      </c>
      <c r="U58">
        <f t="shared" si="94"/>
        <v>0</v>
      </c>
      <c r="V58">
        <f t="shared" si="94"/>
        <v>0</v>
      </c>
      <c r="W58">
        <f t="shared" si="94"/>
        <v>0</v>
      </c>
      <c r="X58">
        <f t="shared" si="94"/>
        <v>0</v>
      </c>
      <c r="Y58">
        <f t="shared" si="94"/>
        <v>0</v>
      </c>
      <c r="Z58">
        <f t="shared" si="94"/>
        <v>0</v>
      </c>
      <c r="AA58">
        <f t="shared" si="94"/>
        <v>0</v>
      </c>
      <c r="AB58">
        <f t="shared" si="94"/>
        <v>0</v>
      </c>
      <c r="AC58">
        <f t="shared" si="94"/>
        <v>0</v>
      </c>
      <c r="AD58">
        <f t="shared" si="94"/>
        <v>0</v>
      </c>
      <c r="AE58">
        <f t="shared" si="94"/>
        <v>0</v>
      </c>
      <c r="AF58">
        <f t="shared" si="94"/>
        <v>0</v>
      </c>
      <c r="AG58">
        <f t="shared" si="94"/>
        <v>0</v>
      </c>
    </row>
    <row r="59" spans="1:72" x14ac:dyDescent="0.2">
      <c r="A59" t="s">
        <v>53</v>
      </c>
      <c r="B59">
        <f>SUM(C58:AG58)</f>
        <v>249306.44064374903</v>
      </c>
    </row>
    <row r="60" spans="1:72" x14ac:dyDescent="0.2">
      <c r="A60" t="s">
        <v>55</v>
      </c>
      <c r="C60">
        <f>IF(C57&gt;=0,C57*$B$33, 0)</f>
        <v>0</v>
      </c>
      <c r="D60">
        <f t="shared" ref="D60:AG60" si="95">IF(D57&gt;=0,D57*$B$33, 0)</f>
        <v>0</v>
      </c>
      <c r="E60">
        <f t="shared" si="95"/>
        <v>0</v>
      </c>
      <c r="F60">
        <f t="shared" si="95"/>
        <v>0</v>
      </c>
      <c r="G60">
        <f t="shared" si="95"/>
        <v>509.91118218824118</v>
      </c>
      <c r="H60">
        <f t="shared" si="95"/>
        <v>26166.013735398603</v>
      </c>
      <c r="I60">
        <f t="shared" si="95"/>
        <v>31951.313309309324</v>
      </c>
      <c r="J60">
        <f t="shared" si="95"/>
        <v>37756.075447103241</v>
      </c>
      <c r="K60">
        <f t="shared" si="95"/>
        <v>43564.202482278342</v>
      </c>
      <c r="L60">
        <f t="shared" si="95"/>
        <v>49357.420225974085</v>
      </c>
      <c r="M60">
        <f t="shared" si="95"/>
        <v>55115.042803303026</v>
      </c>
      <c r="N60">
        <f t="shared" si="95"/>
        <v>60813.713437799735</v>
      </c>
      <c r="O60">
        <f t="shared" si="95"/>
        <v>66427.118762525075</v>
      </c>
      <c r="P60">
        <f t="shared" si="95"/>
        <v>71925.673993733129</v>
      </c>
      <c r="Q60">
        <f t="shared" si="95"/>
        <v>77276.176036089557</v>
      </c>
      <c r="R60">
        <f t="shared" si="95"/>
        <v>82441.421294802407</v>
      </c>
      <c r="S60">
        <f t="shared" si="95"/>
        <v>87379.78464703291</v>
      </c>
      <c r="T60">
        <f t="shared" si="95"/>
        <v>92044.755669626917</v>
      </c>
      <c r="U60">
        <f t="shared" si="95"/>
        <v>96384.427829349253</v>
      </c>
      <c r="V60">
        <f t="shared" si="95"/>
        <v>100340.93591182693</v>
      </c>
      <c r="W60">
        <f t="shared" si="95"/>
        <v>103849.83649242371</v>
      </c>
      <c r="X60">
        <f t="shared" si="95"/>
        <v>106839.42573197039</v>
      </c>
      <c r="Y60">
        <f t="shared" si="95"/>
        <v>109229.9882079182</v>
      </c>
      <c r="Z60">
        <f t="shared" si="95"/>
        <v>110932.96986188018</v>
      </c>
      <c r="AA60">
        <f t="shared" si="95"/>
        <v>111850.06745194238</v>
      </c>
      <c r="AB60">
        <f t="shared" si="95"/>
        <v>111872.22613625527</v>
      </c>
      <c r="AC60">
        <f t="shared" si="95"/>
        <v>110878.53597634862</v>
      </c>
      <c r="AD60">
        <f t="shared" si="95"/>
        <v>108735.0172267099</v>
      </c>
      <c r="AE60">
        <f t="shared" si="95"/>
        <v>105293.28326304763</v>
      </c>
      <c r="AF60">
        <f t="shared" si="95"/>
        <v>100389.06888612018</v>
      </c>
      <c r="AG60">
        <f t="shared" si="95"/>
        <v>290685.03892902692</v>
      </c>
    </row>
    <row r="61" spans="1:72" x14ac:dyDescent="0.2">
      <c r="A61" t="s">
        <v>77</v>
      </c>
      <c r="C61">
        <f>B59-C60</f>
        <v>249306.44064374903</v>
      </c>
      <c r="D61">
        <f>IF(C61-D60&gt;0,C61-D60,0)</f>
        <v>249306.44064374903</v>
      </c>
      <c r="E61">
        <f t="shared" ref="E61:J61" si="96">IF(D61-E60&gt;0,D61-E60,0)</f>
        <v>249306.44064374903</v>
      </c>
      <c r="F61">
        <f t="shared" si="96"/>
        <v>249306.44064374903</v>
      </c>
      <c r="G61">
        <f t="shared" si="96"/>
        <v>248796.52946156077</v>
      </c>
      <c r="H61">
        <f t="shared" si="96"/>
        <v>222630.51572616218</v>
      </c>
      <c r="I61">
        <f t="shared" si="96"/>
        <v>190679.20241685284</v>
      </c>
      <c r="J61">
        <f t="shared" si="96"/>
        <v>152923.1269697496</v>
      </c>
      <c r="K61">
        <f>IF(J61-K60&gt;0,J61-K60,0)</f>
        <v>109358.92448747126</v>
      </c>
      <c r="L61">
        <f t="shared" ref="L61:M61" si="97">IF(K61-L60&gt;0,K61-L60,0)</f>
        <v>60001.504261497175</v>
      </c>
      <c r="M61">
        <f t="shared" si="97"/>
        <v>4886.4614581941496</v>
      </c>
      <c r="N61">
        <f t="shared" ref="N61" si="98">IF(M61-N60&gt;0,M61-N60,0)</f>
        <v>0</v>
      </c>
      <c r="O61">
        <f t="shared" ref="O61" si="99">IF(N61-O60&gt;0,N61-O60,0)</f>
        <v>0</v>
      </c>
      <c r="P61">
        <f t="shared" ref="P61" si="100">IF(O61-P60&gt;0,O61-P60,0)</f>
        <v>0</v>
      </c>
      <c r="Q61">
        <f t="shared" ref="Q61" si="101">IF(P61-Q60&gt;0,P61-Q60,0)</f>
        <v>0</v>
      </c>
      <c r="R61">
        <f t="shared" ref="R61" si="102">IF(Q61-R60&gt;0,Q61-R60,0)</f>
        <v>0</v>
      </c>
      <c r="S61">
        <f t="shared" ref="S61:T61" si="103">IF(R61-S60&gt;0,R61-S60,0)</f>
        <v>0</v>
      </c>
      <c r="T61">
        <f t="shared" si="103"/>
        <v>0</v>
      </c>
      <c r="U61">
        <f t="shared" ref="U61:V61" si="104">IF(T61-U60&gt;0,T61-U60,0)</f>
        <v>0</v>
      </c>
      <c r="V61">
        <f t="shared" si="104"/>
        <v>0</v>
      </c>
      <c r="W61">
        <f t="shared" ref="W61" si="105">IF(V61-W60&gt;0,V61-W60,0)</f>
        <v>0</v>
      </c>
      <c r="X61">
        <f t="shared" ref="X61" si="106">IF(W61-X60&gt;0,W61-X60,0)</f>
        <v>0</v>
      </c>
      <c r="Y61">
        <f t="shared" ref="Y61" si="107">IF(X61-Y60&gt;0,X61-Y60,0)</f>
        <v>0</v>
      </c>
      <c r="Z61">
        <f t="shared" ref="Z61" si="108">IF(Y61-Z60&gt;0,Y61-Z60,0)</f>
        <v>0</v>
      </c>
      <c r="AA61">
        <f t="shared" ref="AA61" si="109">IF(Z61-AA60&gt;0,Z61-AA60,0)</f>
        <v>0</v>
      </c>
      <c r="AB61">
        <f t="shared" ref="AB61:AC61" si="110">IF(AA61-AB60&gt;0,AA61-AB60,0)</f>
        <v>0</v>
      </c>
      <c r="AC61">
        <f t="shared" si="110"/>
        <v>0</v>
      </c>
      <c r="AD61">
        <f t="shared" ref="AD61:AE61" si="111">IF(AC61-AD60&gt;0,AC61-AD60,0)</f>
        <v>0</v>
      </c>
      <c r="AE61">
        <f t="shared" si="111"/>
        <v>0</v>
      </c>
      <c r="AF61">
        <f t="shared" ref="AF61" si="112">IF(AE61-AF60&gt;0,AE61-AF60,0)</f>
        <v>0</v>
      </c>
      <c r="AG61">
        <f t="shared" ref="AG61" si="113">IF(AF61-AG60&gt;0,AF61-AG60,0)</f>
        <v>0</v>
      </c>
    </row>
    <row r="62" spans="1:72" x14ac:dyDescent="0.2">
      <c r="C62">
        <f>IF(AND(B61&lt;C60, B61&gt;0),B61,0)</f>
        <v>0</v>
      </c>
      <c r="D62">
        <f t="shared" ref="D62:AG62" si="114">IF(AND(C61&lt;D60, C61&gt;0),C61,0)</f>
        <v>0</v>
      </c>
      <c r="E62">
        <f t="shared" si="114"/>
        <v>0</v>
      </c>
      <c r="F62">
        <f t="shared" si="114"/>
        <v>0</v>
      </c>
      <c r="G62">
        <f t="shared" si="114"/>
        <v>0</v>
      </c>
      <c r="H62">
        <f t="shared" si="114"/>
        <v>0</v>
      </c>
      <c r="I62">
        <f t="shared" si="114"/>
        <v>0</v>
      </c>
      <c r="J62">
        <f t="shared" si="114"/>
        <v>0</v>
      </c>
      <c r="K62">
        <f t="shared" si="114"/>
        <v>0</v>
      </c>
      <c r="L62">
        <f t="shared" si="114"/>
        <v>0</v>
      </c>
      <c r="M62">
        <f t="shared" si="114"/>
        <v>0</v>
      </c>
      <c r="N62">
        <f t="shared" si="114"/>
        <v>4886.4614581941496</v>
      </c>
      <c r="O62">
        <f t="shared" si="114"/>
        <v>0</v>
      </c>
      <c r="P62">
        <f t="shared" si="114"/>
        <v>0</v>
      </c>
      <c r="Q62">
        <f t="shared" si="114"/>
        <v>0</v>
      </c>
      <c r="R62">
        <f t="shared" si="114"/>
        <v>0</v>
      </c>
      <c r="S62">
        <f t="shared" si="114"/>
        <v>0</v>
      </c>
      <c r="T62">
        <f t="shared" si="114"/>
        <v>0</v>
      </c>
      <c r="U62">
        <f t="shared" si="114"/>
        <v>0</v>
      </c>
      <c r="V62">
        <f t="shared" si="114"/>
        <v>0</v>
      </c>
      <c r="W62">
        <f t="shared" si="114"/>
        <v>0</v>
      </c>
      <c r="X62">
        <f t="shared" si="114"/>
        <v>0</v>
      </c>
      <c r="Y62">
        <f t="shared" si="114"/>
        <v>0</v>
      </c>
      <c r="Z62">
        <f t="shared" si="114"/>
        <v>0</v>
      </c>
      <c r="AA62">
        <f t="shared" si="114"/>
        <v>0</v>
      </c>
      <c r="AB62">
        <f t="shared" si="114"/>
        <v>0</v>
      </c>
      <c r="AC62">
        <f t="shared" si="114"/>
        <v>0</v>
      </c>
      <c r="AD62">
        <f t="shared" si="114"/>
        <v>0</v>
      </c>
      <c r="AE62">
        <f t="shared" si="114"/>
        <v>0</v>
      </c>
      <c r="AF62">
        <f t="shared" si="114"/>
        <v>0</v>
      </c>
      <c r="AG62">
        <f t="shared" si="114"/>
        <v>0</v>
      </c>
    </row>
    <row r="63" spans="1:72" ht="17" thickBot="1" x14ac:dyDescent="0.25">
      <c r="A63" s="4" t="s">
        <v>40</v>
      </c>
      <c r="B63" s="4">
        <v>0</v>
      </c>
      <c r="C63" s="4">
        <f>IF(C61&gt;0,0,(IF(C62&gt;0,C60-C62,C60)))</f>
        <v>0</v>
      </c>
      <c r="D63" s="4">
        <f t="shared" ref="D63:AG63" si="115">IF(D61&gt;0,0,(IF(D62&gt;0,D60-D62,D60)))</f>
        <v>0</v>
      </c>
      <c r="E63" s="4">
        <f t="shared" si="115"/>
        <v>0</v>
      </c>
      <c r="F63" s="4">
        <f t="shared" si="115"/>
        <v>0</v>
      </c>
      <c r="G63" s="4">
        <f t="shared" si="115"/>
        <v>0</v>
      </c>
      <c r="H63" s="4">
        <f t="shared" si="115"/>
        <v>0</v>
      </c>
      <c r="I63" s="4">
        <f t="shared" si="115"/>
        <v>0</v>
      </c>
      <c r="J63" s="4">
        <f t="shared" si="115"/>
        <v>0</v>
      </c>
      <c r="K63" s="4">
        <f t="shared" si="115"/>
        <v>0</v>
      </c>
      <c r="L63" s="4">
        <f t="shared" si="115"/>
        <v>0</v>
      </c>
      <c r="M63" s="4">
        <f t="shared" si="115"/>
        <v>0</v>
      </c>
      <c r="N63" s="4">
        <f t="shared" si="115"/>
        <v>55927.251979605586</v>
      </c>
      <c r="O63" s="4">
        <f t="shared" si="115"/>
        <v>66427.118762525075</v>
      </c>
      <c r="P63" s="4">
        <f t="shared" si="115"/>
        <v>71925.673993733129</v>
      </c>
      <c r="Q63" s="4">
        <f t="shared" si="115"/>
        <v>77276.176036089557</v>
      </c>
      <c r="R63" s="4">
        <f t="shared" si="115"/>
        <v>82441.421294802407</v>
      </c>
      <c r="S63" s="4">
        <f t="shared" si="115"/>
        <v>87379.78464703291</v>
      </c>
      <c r="T63" s="4">
        <f t="shared" si="115"/>
        <v>92044.755669626917</v>
      </c>
      <c r="U63" s="4">
        <f t="shared" si="115"/>
        <v>96384.427829349253</v>
      </c>
      <c r="V63" s="4">
        <f t="shared" si="115"/>
        <v>100340.93591182693</v>
      </c>
      <c r="W63" s="4">
        <f t="shared" si="115"/>
        <v>103849.83649242371</v>
      </c>
      <c r="X63" s="4">
        <f t="shared" si="115"/>
        <v>106839.42573197039</v>
      </c>
      <c r="Y63" s="4">
        <f t="shared" si="115"/>
        <v>109229.9882079182</v>
      </c>
      <c r="Z63" s="4">
        <f t="shared" si="115"/>
        <v>110932.96986188018</v>
      </c>
      <c r="AA63" s="4">
        <f t="shared" si="115"/>
        <v>111850.06745194238</v>
      </c>
      <c r="AB63" s="4">
        <f t="shared" si="115"/>
        <v>111872.22613625527</v>
      </c>
      <c r="AC63" s="4">
        <f t="shared" si="115"/>
        <v>110878.53597634862</v>
      </c>
      <c r="AD63" s="4">
        <f t="shared" si="115"/>
        <v>108735.0172267099</v>
      </c>
      <c r="AE63" s="4">
        <f t="shared" si="115"/>
        <v>105293.28326304763</v>
      </c>
      <c r="AF63" s="4">
        <f t="shared" si="115"/>
        <v>100389.06888612018</v>
      </c>
      <c r="AG63" s="4">
        <f t="shared" si="115"/>
        <v>290685.03892902692</v>
      </c>
      <c r="AL63" s="17" t="s">
        <v>33</v>
      </c>
      <c r="AN63">
        <f>AK17</f>
        <v>400</v>
      </c>
    </row>
    <row r="64" spans="1:72" x14ac:dyDescent="0.2">
      <c r="A64" s="22" t="s">
        <v>37</v>
      </c>
      <c r="B64" s="22">
        <f t="shared" ref="B64:AG64" si="116">B57-B63</f>
        <v>-2280000</v>
      </c>
      <c r="C64" s="22">
        <f t="shared" si="116"/>
        <v>-285668.11872717936</v>
      </c>
      <c r="D64" s="22">
        <f t="shared" si="116"/>
        <v>-264300.99132717919</v>
      </c>
      <c r="E64" s="22">
        <f t="shared" si="116"/>
        <v>-184709.92129317913</v>
      </c>
      <c r="F64" s="22">
        <f t="shared" si="116"/>
        <v>-96342.437464959134</v>
      </c>
      <c r="G64" s="22">
        <f t="shared" si="116"/>
        <v>1699.7039406274707</v>
      </c>
      <c r="H64" s="22">
        <f t="shared" si="116"/>
        <v>87220.045784662012</v>
      </c>
      <c r="I64" s="22">
        <f t="shared" si="116"/>
        <v>106504.37769769775</v>
      </c>
      <c r="J64" s="22">
        <f t="shared" si="116"/>
        <v>125853.58482367748</v>
      </c>
      <c r="K64" s="22">
        <f t="shared" si="116"/>
        <v>145214.00827426114</v>
      </c>
      <c r="L64" s="22">
        <f t="shared" si="116"/>
        <v>164524.73408658028</v>
      </c>
      <c r="M64" s="22">
        <f t="shared" si="116"/>
        <v>183716.80934434343</v>
      </c>
      <c r="N64" s="22">
        <f t="shared" si="116"/>
        <v>146785.12614639354</v>
      </c>
      <c r="O64" s="22">
        <f t="shared" si="116"/>
        <v>154996.61044589186</v>
      </c>
      <c r="P64" s="22">
        <f t="shared" si="116"/>
        <v>167826.57265204398</v>
      </c>
      <c r="Q64" s="22">
        <f t="shared" si="116"/>
        <v>180311.07741754234</v>
      </c>
      <c r="R64" s="22">
        <f t="shared" si="116"/>
        <v>192363.31635453895</v>
      </c>
      <c r="S64" s="22">
        <f t="shared" si="116"/>
        <v>203886.16417641012</v>
      </c>
      <c r="T64" s="22">
        <f t="shared" si="116"/>
        <v>214771.0965624628</v>
      </c>
      <c r="U64" s="22">
        <f t="shared" si="116"/>
        <v>224896.99826848164</v>
      </c>
      <c r="V64" s="22">
        <f t="shared" si="116"/>
        <v>234128.85046092953</v>
      </c>
      <c r="W64" s="22">
        <f t="shared" si="116"/>
        <v>242316.28514898865</v>
      </c>
      <c r="X64" s="22">
        <f t="shared" si="116"/>
        <v>249291.99337459757</v>
      </c>
      <c r="Y64" s="22">
        <f t="shared" si="116"/>
        <v>254869.97248514247</v>
      </c>
      <c r="Z64" s="22">
        <f t="shared" si="116"/>
        <v>258843.5963443871</v>
      </c>
      <c r="AA64" s="22">
        <f t="shared" si="116"/>
        <v>260983.4907211989</v>
      </c>
      <c r="AB64" s="22">
        <f t="shared" si="116"/>
        <v>261035.19431792898</v>
      </c>
      <c r="AC64" s="22">
        <f t="shared" si="116"/>
        <v>258716.58394481346</v>
      </c>
      <c r="AD64" s="22">
        <f t="shared" si="116"/>
        <v>253715.04019565645</v>
      </c>
      <c r="AE64" s="22">
        <f t="shared" si="116"/>
        <v>245684.32761377783</v>
      </c>
      <c r="AF64" s="22">
        <f t="shared" si="116"/>
        <v>234241.16073428042</v>
      </c>
      <c r="AG64" s="22">
        <f t="shared" si="116"/>
        <v>678265.09083439619</v>
      </c>
    </row>
    <row r="65" spans="1:33" ht="17" thickBot="1" x14ac:dyDescent="0.25">
      <c r="A65" s="4" t="s">
        <v>43</v>
      </c>
      <c r="B65" s="4"/>
      <c r="C65" s="4">
        <f>-C46</f>
        <v>68400</v>
      </c>
      <c r="D65" s="4">
        <f t="shared" ref="D65:AG65" si="117">-D46</f>
        <v>68400</v>
      </c>
      <c r="E65" s="4">
        <f t="shared" si="117"/>
        <v>68400</v>
      </c>
      <c r="F65" s="4">
        <f t="shared" si="117"/>
        <v>68400</v>
      </c>
      <c r="G65" s="4">
        <f t="shared" si="117"/>
        <v>68400</v>
      </c>
      <c r="H65" s="4">
        <f t="shared" si="117"/>
        <v>0</v>
      </c>
      <c r="I65" s="4">
        <f t="shared" si="117"/>
        <v>0</v>
      </c>
      <c r="J65" s="4">
        <f t="shared" si="117"/>
        <v>0</v>
      </c>
      <c r="K65" s="4">
        <f t="shared" si="117"/>
        <v>0</v>
      </c>
      <c r="L65" s="4">
        <f t="shared" si="117"/>
        <v>0</v>
      </c>
      <c r="M65" s="4">
        <f t="shared" si="117"/>
        <v>0</v>
      </c>
      <c r="N65" s="4">
        <f t="shared" si="117"/>
        <v>0</v>
      </c>
      <c r="O65" s="4">
        <f t="shared" si="117"/>
        <v>0</v>
      </c>
      <c r="P65" s="4">
        <f t="shared" si="117"/>
        <v>0</v>
      </c>
      <c r="Q65" s="4">
        <f t="shared" si="117"/>
        <v>0</v>
      </c>
      <c r="R65" s="4">
        <f t="shared" si="117"/>
        <v>0</v>
      </c>
      <c r="S65" s="4">
        <f t="shared" si="117"/>
        <v>0</v>
      </c>
      <c r="T65" s="4">
        <f t="shared" si="117"/>
        <v>0</v>
      </c>
      <c r="U65" s="4">
        <f t="shared" si="117"/>
        <v>0</v>
      </c>
      <c r="V65" s="4">
        <f t="shared" si="117"/>
        <v>0</v>
      </c>
      <c r="W65" s="4">
        <f t="shared" si="117"/>
        <v>0</v>
      </c>
      <c r="X65" s="4">
        <f t="shared" si="117"/>
        <v>0</v>
      </c>
      <c r="Y65" s="4">
        <f t="shared" si="117"/>
        <v>0</v>
      </c>
      <c r="Z65" s="4">
        <f t="shared" si="117"/>
        <v>0</v>
      </c>
      <c r="AA65" s="4">
        <f t="shared" si="117"/>
        <v>0</v>
      </c>
      <c r="AB65" s="4">
        <f t="shared" si="117"/>
        <v>0</v>
      </c>
      <c r="AC65" s="4">
        <f t="shared" si="117"/>
        <v>0</v>
      </c>
      <c r="AD65" s="4">
        <f t="shared" si="117"/>
        <v>0</v>
      </c>
      <c r="AE65" s="4">
        <f t="shared" si="117"/>
        <v>0</v>
      </c>
      <c r="AF65" s="4">
        <f t="shared" si="117"/>
        <v>0</v>
      </c>
      <c r="AG65" s="4">
        <f t="shared" si="117"/>
        <v>0</v>
      </c>
    </row>
    <row r="66" spans="1:33" x14ac:dyDescent="0.2">
      <c r="A66" t="s">
        <v>58</v>
      </c>
      <c r="B66">
        <f>B64+B65</f>
        <v>-2280000</v>
      </c>
      <c r="C66">
        <f t="shared" ref="C66:AG66" si="118">C64+C65</f>
        <v>-217268.11872717936</v>
      </c>
      <c r="D66">
        <f t="shared" si="118"/>
        <v>-195900.99132717919</v>
      </c>
      <c r="E66">
        <f t="shared" si="118"/>
        <v>-116309.92129317913</v>
      </c>
      <c r="F66">
        <f t="shared" si="118"/>
        <v>-27942.437464959134</v>
      </c>
      <c r="G66">
        <f t="shared" si="118"/>
        <v>70099.703940627471</v>
      </c>
      <c r="H66">
        <f t="shared" si="118"/>
        <v>87220.045784662012</v>
      </c>
      <c r="I66">
        <f t="shared" si="118"/>
        <v>106504.37769769775</v>
      </c>
      <c r="J66">
        <f t="shared" si="118"/>
        <v>125853.58482367748</v>
      </c>
      <c r="K66">
        <f t="shared" si="118"/>
        <v>145214.00827426114</v>
      </c>
      <c r="L66">
        <f t="shared" si="118"/>
        <v>164524.73408658028</v>
      </c>
      <c r="M66">
        <f t="shared" si="118"/>
        <v>183716.80934434343</v>
      </c>
      <c r="N66">
        <f t="shared" si="118"/>
        <v>146785.12614639354</v>
      </c>
      <c r="O66">
        <f t="shared" si="118"/>
        <v>154996.61044589186</v>
      </c>
      <c r="P66">
        <f t="shared" si="118"/>
        <v>167826.57265204398</v>
      </c>
      <c r="Q66">
        <f t="shared" si="118"/>
        <v>180311.07741754234</v>
      </c>
      <c r="R66">
        <f t="shared" si="118"/>
        <v>192363.31635453895</v>
      </c>
      <c r="S66">
        <f t="shared" si="118"/>
        <v>203886.16417641012</v>
      </c>
      <c r="T66">
        <f t="shared" si="118"/>
        <v>214771.0965624628</v>
      </c>
      <c r="U66">
        <f t="shared" si="118"/>
        <v>224896.99826848164</v>
      </c>
      <c r="V66">
        <f t="shared" si="118"/>
        <v>234128.85046092953</v>
      </c>
      <c r="W66">
        <f t="shared" si="118"/>
        <v>242316.28514898865</v>
      </c>
      <c r="X66">
        <f t="shared" si="118"/>
        <v>249291.99337459757</v>
      </c>
      <c r="Y66">
        <f t="shared" si="118"/>
        <v>254869.97248514247</v>
      </c>
      <c r="Z66">
        <f t="shared" si="118"/>
        <v>258843.5963443871</v>
      </c>
      <c r="AA66">
        <f t="shared" si="118"/>
        <v>260983.4907211989</v>
      </c>
      <c r="AB66">
        <f t="shared" si="118"/>
        <v>261035.19431792898</v>
      </c>
      <c r="AC66">
        <f t="shared" si="118"/>
        <v>258716.58394481346</v>
      </c>
      <c r="AD66">
        <f t="shared" si="118"/>
        <v>253715.04019565645</v>
      </c>
      <c r="AE66">
        <f t="shared" si="118"/>
        <v>245684.32761377783</v>
      </c>
      <c r="AF66">
        <f t="shared" si="118"/>
        <v>234241.16073428042</v>
      </c>
      <c r="AG66">
        <f t="shared" si="118"/>
        <v>678265.09083439619</v>
      </c>
    </row>
    <row r="67" spans="1:33" x14ac:dyDescent="0.2">
      <c r="AG67">
        <f>AG66*(1+E31)/((B35+0.04)-E31)</f>
        <v>9980186.3365632575</v>
      </c>
    </row>
    <row r="68" spans="1:33" x14ac:dyDescent="0.2">
      <c r="A68" t="s">
        <v>67</v>
      </c>
      <c r="B68">
        <f t="shared" ref="B68:AG68" si="119">(B66+B67)/(1+B35)^B40</f>
        <v>-2280000</v>
      </c>
      <c r="C68">
        <f t="shared" si="119"/>
        <v>-217268.11872717936</v>
      </c>
      <c r="D68">
        <f t="shared" si="119"/>
        <v>-195900.99132717919</v>
      </c>
      <c r="E68">
        <f t="shared" si="119"/>
        <v>-116309.92129317913</v>
      </c>
      <c r="F68">
        <f t="shared" si="119"/>
        <v>-27942.437464959134</v>
      </c>
      <c r="G68">
        <f t="shared" si="119"/>
        <v>70099.703940627471</v>
      </c>
      <c r="H68">
        <f t="shared" si="119"/>
        <v>87220.045784662012</v>
      </c>
      <c r="I68">
        <f t="shared" si="119"/>
        <v>106504.37769769775</v>
      </c>
      <c r="J68">
        <f t="shared" si="119"/>
        <v>125853.58482367748</v>
      </c>
      <c r="K68">
        <f t="shared" si="119"/>
        <v>145214.00827426114</v>
      </c>
      <c r="L68">
        <f t="shared" si="119"/>
        <v>164524.73408658028</v>
      </c>
      <c r="M68">
        <f t="shared" si="119"/>
        <v>183716.80934434343</v>
      </c>
      <c r="N68">
        <f t="shared" si="119"/>
        <v>146785.12614639354</v>
      </c>
      <c r="O68">
        <f t="shared" si="119"/>
        <v>154996.61044589186</v>
      </c>
      <c r="P68">
        <f t="shared" si="119"/>
        <v>167826.57265204398</v>
      </c>
      <c r="Q68">
        <f t="shared" si="119"/>
        <v>180311.07741754234</v>
      </c>
      <c r="R68">
        <f t="shared" si="119"/>
        <v>192363.31635453895</v>
      </c>
      <c r="S68">
        <f t="shared" si="119"/>
        <v>203886.16417641012</v>
      </c>
      <c r="T68">
        <f t="shared" si="119"/>
        <v>214771.0965624628</v>
      </c>
      <c r="U68">
        <f t="shared" si="119"/>
        <v>224896.99826848164</v>
      </c>
      <c r="V68">
        <f t="shared" si="119"/>
        <v>234128.85046092953</v>
      </c>
      <c r="W68">
        <f t="shared" si="119"/>
        <v>242316.28514898865</v>
      </c>
      <c r="X68">
        <f t="shared" si="119"/>
        <v>249291.99337459757</v>
      </c>
      <c r="Y68">
        <f t="shared" si="119"/>
        <v>254869.97248514247</v>
      </c>
      <c r="Z68">
        <f t="shared" si="119"/>
        <v>258843.5963443871</v>
      </c>
      <c r="AA68">
        <f t="shared" si="119"/>
        <v>260983.4907211989</v>
      </c>
      <c r="AB68">
        <f t="shared" si="119"/>
        <v>261035.19431792898</v>
      </c>
      <c r="AC68">
        <f t="shared" si="119"/>
        <v>258716.58394481346</v>
      </c>
      <c r="AD68">
        <f t="shared" si="119"/>
        <v>253715.04019565645</v>
      </c>
      <c r="AE68">
        <f t="shared" si="119"/>
        <v>245684.32761377783</v>
      </c>
      <c r="AF68">
        <f t="shared" si="119"/>
        <v>234241.16073428042</v>
      </c>
      <c r="AG68">
        <f t="shared" si="119"/>
        <v>10658451.427397653</v>
      </c>
    </row>
    <row r="69" spans="1:33" x14ac:dyDescent="0.2">
      <c r="A69" s="24" t="s">
        <v>45</v>
      </c>
      <c r="B69" s="24">
        <f>SUM(B68:AG68)</f>
        <v>12943826.679902473</v>
      </c>
    </row>
    <row r="70" spans="1:33" x14ac:dyDescent="0.2">
      <c r="A70" t="s">
        <v>60</v>
      </c>
      <c r="B70">
        <f>IF(B66&lt;0, B66, 0)</f>
        <v>-2280000</v>
      </c>
      <c r="C70">
        <f t="shared" ref="C70:AG70" si="120">IF(C66&lt;0, C66, 0)</f>
        <v>-217268.11872717936</v>
      </c>
      <c r="D70">
        <f t="shared" si="120"/>
        <v>-195900.99132717919</v>
      </c>
      <c r="E70">
        <f t="shared" si="120"/>
        <v>-116309.92129317913</v>
      </c>
      <c r="F70">
        <f t="shared" si="120"/>
        <v>-27942.437464959134</v>
      </c>
      <c r="G70">
        <f t="shared" si="120"/>
        <v>0</v>
      </c>
      <c r="H70">
        <f t="shared" si="120"/>
        <v>0</v>
      </c>
      <c r="I70">
        <f t="shared" si="120"/>
        <v>0</v>
      </c>
      <c r="J70">
        <f t="shared" si="120"/>
        <v>0</v>
      </c>
      <c r="K70">
        <f t="shared" si="120"/>
        <v>0</v>
      </c>
      <c r="L70">
        <f t="shared" si="120"/>
        <v>0</v>
      </c>
      <c r="M70">
        <f t="shared" si="120"/>
        <v>0</v>
      </c>
      <c r="N70">
        <f t="shared" si="120"/>
        <v>0</v>
      </c>
      <c r="O70">
        <f t="shared" si="120"/>
        <v>0</v>
      </c>
      <c r="P70">
        <f t="shared" si="120"/>
        <v>0</v>
      </c>
      <c r="Q70">
        <f t="shared" si="120"/>
        <v>0</v>
      </c>
      <c r="R70">
        <f t="shared" si="120"/>
        <v>0</v>
      </c>
      <c r="S70">
        <f t="shared" si="120"/>
        <v>0</v>
      </c>
      <c r="T70">
        <f t="shared" si="120"/>
        <v>0</v>
      </c>
      <c r="U70">
        <f t="shared" si="120"/>
        <v>0</v>
      </c>
      <c r="V70">
        <f t="shared" si="120"/>
        <v>0</v>
      </c>
      <c r="W70">
        <f t="shared" si="120"/>
        <v>0</v>
      </c>
      <c r="X70">
        <f t="shared" si="120"/>
        <v>0</v>
      </c>
      <c r="Y70">
        <f t="shared" si="120"/>
        <v>0</v>
      </c>
      <c r="Z70">
        <f t="shared" si="120"/>
        <v>0</v>
      </c>
      <c r="AA70">
        <f t="shared" si="120"/>
        <v>0</v>
      </c>
      <c r="AB70">
        <f t="shared" si="120"/>
        <v>0</v>
      </c>
      <c r="AC70">
        <f t="shared" si="120"/>
        <v>0</v>
      </c>
      <c r="AD70">
        <f t="shared" si="120"/>
        <v>0</v>
      </c>
      <c r="AE70">
        <f t="shared" si="120"/>
        <v>0</v>
      </c>
      <c r="AF70">
        <f t="shared" si="120"/>
        <v>0</v>
      </c>
      <c r="AG70">
        <f t="shared" si="120"/>
        <v>0</v>
      </c>
    </row>
    <row r="71" spans="1:33" x14ac:dyDescent="0.2">
      <c r="A71" t="s">
        <v>59</v>
      </c>
      <c r="B71">
        <f>SUM(B70:AG70)</f>
        <v>-2837421.4688124964</v>
      </c>
    </row>
    <row r="72" spans="1:33" x14ac:dyDescent="0.2">
      <c r="A72" t="s">
        <v>69</v>
      </c>
      <c r="B72">
        <f>B68</f>
        <v>-2280000</v>
      </c>
      <c r="C72">
        <f>B72+C68</f>
        <v>-2497268.1187271792</v>
      </c>
      <c r="D72">
        <f t="shared" ref="D72:AG72" si="121">C72+D68</f>
        <v>-2693169.1100543584</v>
      </c>
      <c r="E72">
        <f t="shared" si="121"/>
        <v>-2809479.0313475374</v>
      </c>
      <c r="F72">
        <f t="shared" si="121"/>
        <v>-2837421.4688124964</v>
      </c>
      <c r="G72">
        <f t="shared" si="121"/>
        <v>-2767321.7648718688</v>
      </c>
      <c r="H72">
        <f t="shared" si="121"/>
        <v>-2680101.7190872068</v>
      </c>
      <c r="I72">
        <f t="shared" si="121"/>
        <v>-2573597.3413895089</v>
      </c>
      <c r="J72">
        <f t="shared" si="121"/>
        <v>-2447743.7565658316</v>
      </c>
      <c r="K72">
        <f t="shared" si="121"/>
        <v>-2302529.7482915707</v>
      </c>
      <c r="L72">
        <f t="shared" si="121"/>
        <v>-2138005.0142049906</v>
      </c>
      <c r="M72">
        <f t="shared" si="121"/>
        <v>-1954288.2048606472</v>
      </c>
      <c r="N72">
        <f t="shared" si="121"/>
        <v>-1807503.0787142536</v>
      </c>
      <c r="O72">
        <f t="shared" si="121"/>
        <v>-1652506.4682683619</v>
      </c>
      <c r="P72">
        <f t="shared" si="121"/>
        <v>-1484679.8956163179</v>
      </c>
      <c r="Q72">
        <f t="shared" si="121"/>
        <v>-1304368.8181987754</v>
      </c>
      <c r="R72">
        <f t="shared" si="121"/>
        <v>-1112005.5018442364</v>
      </c>
      <c r="S72">
        <f t="shared" si="121"/>
        <v>-908119.33766782633</v>
      </c>
      <c r="T72">
        <f t="shared" si="121"/>
        <v>-693348.24110536347</v>
      </c>
      <c r="U72">
        <f t="shared" si="121"/>
        <v>-468451.24283688184</v>
      </c>
      <c r="V72">
        <f t="shared" si="121"/>
        <v>-234322.3923759523</v>
      </c>
      <c r="W72">
        <f t="shared" si="121"/>
        <v>7993.8927730363503</v>
      </c>
      <c r="X72">
        <f t="shared" si="121"/>
        <v>257285.88614763392</v>
      </c>
      <c r="Y72">
        <f t="shared" si="121"/>
        <v>512155.85863277642</v>
      </c>
      <c r="Z72">
        <f t="shared" si="121"/>
        <v>770999.45497716358</v>
      </c>
      <c r="AA72">
        <f t="shared" si="121"/>
        <v>1031982.9456983625</v>
      </c>
      <c r="AB72">
        <f t="shared" si="121"/>
        <v>1293018.1400162915</v>
      </c>
      <c r="AC72">
        <f t="shared" si="121"/>
        <v>1551734.7239611051</v>
      </c>
      <c r="AD72">
        <f t="shared" si="121"/>
        <v>1805449.7641567616</v>
      </c>
      <c r="AE72">
        <f t="shared" si="121"/>
        <v>2051134.0917705395</v>
      </c>
      <c r="AF72">
        <f t="shared" si="121"/>
        <v>2285375.25250482</v>
      </c>
      <c r="AG72">
        <f t="shared" si="121"/>
        <v>12943826.679902473</v>
      </c>
    </row>
    <row r="73" spans="1:33" x14ac:dyDescent="0.2">
      <c r="A73" t="s">
        <v>80</v>
      </c>
      <c r="C73">
        <f>IF(AND(C72&gt;0, B72&lt;0),1, 0)</f>
        <v>0</v>
      </c>
      <c r="D73">
        <f t="shared" ref="D73:AG73" si="122">IF(AND(D72&gt;0, C72&lt;0),1, 0)</f>
        <v>0</v>
      </c>
      <c r="E73">
        <f t="shared" si="122"/>
        <v>0</v>
      </c>
      <c r="F73">
        <f t="shared" si="122"/>
        <v>0</v>
      </c>
      <c r="G73">
        <f t="shared" si="122"/>
        <v>0</v>
      </c>
      <c r="H73">
        <f t="shared" si="122"/>
        <v>0</v>
      </c>
      <c r="I73">
        <f t="shared" si="122"/>
        <v>0</v>
      </c>
      <c r="J73">
        <f t="shared" si="122"/>
        <v>0</v>
      </c>
      <c r="K73">
        <f t="shared" si="122"/>
        <v>0</v>
      </c>
      <c r="L73">
        <f t="shared" si="122"/>
        <v>0</v>
      </c>
      <c r="M73">
        <f t="shared" si="122"/>
        <v>0</v>
      </c>
      <c r="N73">
        <f t="shared" si="122"/>
        <v>0</v>
      </c>
      <c r="O73">
        <f t="shared" si="122"/>
        <v>0</v>
      </c>
      <c r="P73">
        <f t="shared" si="122"/>
        <v>0</v>
      </c>
      <c r="Q73">
        <f t="shared" si="122"/>
        <v>0</v>
      </c>
      <c r="R73" s="7">
        <f t="shared" si="122"/>
        <v>0</v>
      </c>
      <c r="S73">
        <f t="shared" si="122"/>
        <v>0</v>
      </c>
      <c r="T73">
        <f t="shared" si="122"/>
        <v>0</v>
      </c>
      <c r="U73">
        <f t="shared" si="122"/>
        <v>0</v>
      </c>
      <c r="V73">
        <f t="shared" si="122"/>
        <v>0</v>
      </c>
      <c r="W73">
        <f t="shared" si="122"/>
        <v>1</v>
      </c>
      <c r="X73">
        <f t="shared" si="122"/>
        <v>0</v>
      </c>
      <c r="Y73">
        <f t="shared" si="122"/>
        <v>0</v>
      </c>
      <c r="Z73">
        <f t="shared" si="122"/>
        <v>0</v>
      </c>
      <c r="AA73">
        <f t="shared" si="122"/>
        <v>0</v>
      </c>
      <c r="AB73">
        <f t="shared" si="122"/>
        <v>0</v>
      </c>
      <c r="AC73">
        <f t="shared" si="122"/>
        <v>0</v>
      </c>
      <c r="AD73">
        <f t="shared" si="122"/>
        <v>0</v>
      </c>
      <c r="AE73">
        <f t="shared" si="122"/>
        <v>0</v>
      </c>
      <c r="AF73">
        <f t="shared" si="122"/>
        <v>0</v>
      </c>
      <c r="AG73">
        <f t="shared" si="122"/>
        <v>0</v>
      </c>
    </row>
    <row r="74" spans="1:33" x14ac:dyDescent="0.2">
      <c r="A74" t="s">
        <v>70</v>
      </c>
      <c r="G74">
        <f t="shared" ref="G74:AF74" si="123">G53/(1+$B$35)^(G40-5)</f>
        <v>-656148.09472717938</v>
      </c>
      <c r="H74">
        <f t="shared" si="123"/>
        <v>-619007.63653507491</v>
      </c>
      <c r="I74">
        <f t="shared" si="123"/>
        <v>-583969.46842931584</v>
      </c>
      <c r="J74">
        <f t="shared" si="123"/>
        <v>-550914.59285784513</v>
      </c>
      <c r="K74">
        <f t="shared" si="123"/>
        <v>-519730.74797909916</v>
      </c>
      <c r="L74">
        <f t="shared" si="123"/>
        <v>-490312.02639537648</v>
      </c>
      <c r="M74">
        <f t="shared" si="123"/>
        <v>-462558.51546733628</v>
      </c>
      <c r="N74">
        <f t="shared" si="123"/>
        <v>-436375.95798805304</v>
      </c>
      <c r="O74">
        <f t="shared" si="123"/>
        <v>-411675.43206420104</v>
      </c>
      <c r="P74">
        <f t="shared" si="123"/>
        <v>-388373.0491171708</v>
      </c>
      <c r="Q74">
        <f t="shared" si="123"/>
        <v>-366389.66897846299</v>
      </c>
      <c r="R74">
        <f t="shared" si="123"/>
        <v>-345650.63111175748</v>
      </c>
      <c r="S74">
        <f t="shared" si="123"/>
        <v>-326085.50104882778</v>
      </c>
      <c r="T74">
        <f t="shared" si="123"/>
        <v>-307627.83117813937</v>
      </c>
      <c r="U74">
        <f t="shared" si="123"/>
        <v>-290214.93507371639</v>
      </c>
      <c r="V74">
        <f t="shared" si="123"/>
        <v>-273787.67459784559</v>
      </c>
      <c r="W74">
        <f t="shared" si="123"/>
        <v>-258290.25905457139</v>
      </c>
      <c r="X74">
        <f t="shared" si="123"/>
        <v>-243670.05571185975</v>
      </c>
      <c r="Y74">
        <f t="shared" si="123"/>
        <v>-229877.41104892432</v>
      </c>
      <c r="Z74">
        <f t="shared" si="123"/>
        <v>-216865.48212162667</v>
      </c>
      <c r="AA74">
        <f t="shared" si="123"/>
        <v>-204590.07747323273</v>
      </c>
      <c r="AB74">
        <f t="shared" si="123"/>
        <v>-193009.50705021952</v>
      </c>
      <c r="AC74">
        <f t="shared" si="123"/>
        <v>-182084.44061341463</v>
      </c>
      <c r="AD74">
        <f t="shared" si="123"/>
        <v>-171777.77416359869</v>
      </c>
      <c r="AE74">
        <f t="shared" si="123"/>
        <v>-162054.5039279233</v>
      </c>
      <c r="AF74">
        <f t="shared" si="123"/>
        <v>-152881.60747917293</v>
      </c>
    </row>
    <row r="77" spans="1:33" x14ac:dyDescent="0.2">
      <c r="F77" s="7"/>
      <c r="G77" s="7"/>
    </row>
    <row r="78" spans="1:33" x14ac:dyDescent="0.2">
      <c r="B78" t="s">
        <v>87</v>
      </c>
    </row>
    <row r="79" spans="1:33" x14ac:dyDescent="0.2">
      <c r="B79" t="s">
        <v>83</v>
      </c>
    </row>
    <row r="80" spans="1:33" x14ac:dyDescent="0.2">
      <c r="B80" t="s">
        <v>82</v>
      </c>
    </row>
    <row r="81" spans="1:7" x14ac:dyDescent="0.2">
      <c r="B81" t="s">
        <v>81</v>
      </c>
    </row>
    <row r="82" spans="1:7" x14ac:dyDescent="0.2">
      <c r="B82" t="s">
        <v>84</v>
      </c>
    </row>
    <row r="84" spans="1:7" x14ac:dyDescent="0.2">
      <c r="B84" t="s">
        <v>85</v>
      </c>
      <c r="C84" t="s">
        <v>86</v>
      </c>
    </row>
    <row r="85" spans="1:7" x14ac:dyDescent="0.2">
      <c r="A85" s="25" t="s">
        <v>45</v>
      </c>
      <c r="B85">
        <f>B69</f>
        <v>12943826.679902473</v>
      </c>
      <c r="C85">
        <v>0.01</v>
      </c>
      <c r="D85">
        <f>C85+0.01</f>
        <v>0.02</v>
      </c>
      <c r="E85">
        <f>D85+0.01</f>
        <v>0.03</v>
      </c>
      <c r="F85">
        <f t="shared" ref="F85:G85" si="124">E85+0.01</f>
        <v>0.04</v>
      </c>
      <c r="G85">
        <f t="shared" si="124"/>
        <v>0.05</v>
      </c>
    </row>
    <row r="86" spans="1:7" x14ac:dyDescent="0.2">
      <c r="B86">
        <v>0.01</v>
      </c>
      <c r="C86">
        <f t="dataTable" ref="C86:G95" dt2D="1" dtr="1" r1="E31" r2="B31"/>
        <v>-12594994.58017379</v>
      </c>
      <c r="D86">
        <v>-4589897.8199259592</v>
      </c>
      <c r="E86">
        <v>6706240.0550693125</v>
      </c>
      <c r="F86">
        <v>15638871.642167263</v>
      </c>
      <c r="G86">
        <v>33189500.398441888</v>
      </c>
    </row>
    <row r="87" spans="1:7" x14ac:dyDescent="0.2">
      <c r="B87">
        <f>B86+0.01</f>
        <v>0.02</v>
      </c>
      <c r="C87">
        <v>-11333247.1022224</v>
      </c>
      <c r="D87">
        <v>-2894786.0212003952</v>
      </c>
      <c r="E87">
        <v>9009224.9990692884</v>
      </c>
      <c r="F87">
        <v>17867937.958403386</v>
      </c>
      <c r="G87">
        <v>36353752.608720623</v>
      </c>
    </row>
    <row r="88" spans="1:7" x14ac:dyDescent="0.2">
      <c r="B88">
        <f t="shared" ref="B88:B95" si="125">B87+0.01</f>
        <v>0.03</v>
      </c>
      <c r="C88">
        <v>-10147572.127838299</v>
      </c>
      <c r="D88">
        <v>-1268431.9395623021</v>
      </c>
      <c r="E88">
        <v>11254884.271216601</v>
      </c>
      <c r="F88">
        <v>20069531.064809319</v>
      </c>
      <c r="G88">
        <v>39511104.585648775</v>
      </c>
    </row>
    <row r="89" spans="1:7" x14ac:dyDescent="0.2">
      <c r="B89">
        <f t="shared" si="125"/>
        <v>0.04</v>
      </c>
      <c r="C89">
        <v>-9077098.0372665655</v>
      </c>
      <c r="D89">
        <v>247056.45135234483</v>
      </c>
      <c r="E89">
        <v>12208582.74226479</v>
      </c>
      <c r="F89">
        <v>22208075.529629957</v>
      </c>
      <c r="G89">
        <v>42621221.220230438</v>
      </c>
    </row>
    <row r="90" spans="1:7" x14ac:dyDescent="0.2">
      <c r="B90">
        <f t="shared" si="125"/>
        <v>0.05</v>
      </c>
      <c r="C90">
        <v>-8171931.6703774519</v>
      </c>
      <c r="D90">
        <v>1597586.1344885575</v>
      </c>
      <c r="E90">
        <v>10182803.160653159</v>
      </c>
      <c r="F90">
        <v>24237495.648836471</v>
      </c>
      <c r="G90">
        <v>45631580.894499689</v>
      </c>
    </row>
    <row r="91" spans="1:7" x14ac:dyDescent="0.2">
      <c r="B91">
        <f t="shared" si="125"/>
        <v>6.0000000000000005E-2</v>
      </c>
      <c r="C91">
        <v>-7496009.9204596747</v>
      </c>
      <c r="D91">
        <v>2713949.7426109985</v>
      </c>
      <c r="E91">
        <v>11402071.369380388</v>
      </c>
      <c r="F91">
        <v>26098441.764103651</v>
      </c>
      <c r="G91">
        <v>48474235.288547471</v>
      </c>
    </row>
    <row r="92" spans="1:7" x14ac:dyDescent="0.2">
      <c r="B92">
        <f t="shared" si="125"/>
        <v>7.0000000000000007E-2</v>
      </c>
      <c r="C92">
        <v>-7130661.7813112577</v>
      </c>
      <c r="D92">
        <v>3507913.7554348139</v>
      </c>
      <c r="E92">
        <v>12386609.182101646</v>
      </c>
      <c r="F92">
        <v>27714817.543608636</v>
      </c>
      <c r="G92">
        <v>51061749.118448257</v>
      </c>
    </row>
    <row r="93" spans="1:7" x14ac:dyDescent="0.2">
      <c r="B93">
        <f t="shared" si="125"/>
        <v>0.08</v>
      </c>
      <c r="C93">
        <v>-7179050.1931246649</v>
      </c>
      <c r="D93">
        <v>3867337.138201308</v>
      </c>
      <c r="E93">
        <v>13049883.091215352</v>
      </c>
      <c r="F93">
        <v>28989440.076345049</v>
      </c>
      <c r="G93">
        <v>53282121.891304269</v>
      </c>
    </row>
    <row r="94" spans="1:7" x14ac:dyDescent="0.2">
      <c r="B94">
        <f t="shared" si="125"/>
        <v>0.09</v>
      </c>
      <c r="C94">
        <v>-7771701.4847229468</v>
      </c>
      <c r="D94">
        <v>3650090.7825736427</v>
      </c>
      <c r="E94">
        <v>13282006.579649774</v>
      </c>
      <c r="F94">
        <v>29798626.165268943</v>
      </c>
      <c r="G94">
        <v>54992448.368888095</v>
      </c>
    </row>
    <row r="95" spans="1:7" x14ac:dyDescent="0.2">
      <c r="B95">
        <f t="shared" si="125"/>
        <v>9.9999999999999992E-2</v>
      </c>
      <c r="C95">
        <v>-9073376.9483880997</v>
      </c>
      <c r="D95">
        <v>2099502.3485502945</v>
      </c>
      <c r="E95">
        <v>12943826.679902473</v>
      </c>
      <c r="F95">
        <v>29985451.398304511</v>
      </c>
      <c r="G95">
        <v>56011019.171550736</v>
      </c>
    </row>
  </sheetData>
  <conditionalFormatting sqref="C86:G95">
    <cfRule type="colorScale" priority="2">
      <colorScale>
        <cfvo type="min"/>
        <cfvo type="percentile" val="50"/>
        <cfvo type="max"/>
        <color rgb="FFF8696B"/>
        <color rgb="FFFFEB84"/>
        <color rgb="FF63BE7B"/>
      </colorScale>
    </cfRule>
    <cfRule type="colorScale" priority="1">
      <colorScale>
        <cfvo type="min"/>
        <cfvo type="percentile" val="50"/>
        <cfvo type="max"/>
        <color rgb="FFFF7128"/>
        <color rgb="FFFFEB84"/>
        <color rgb="FF00B05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Zian He</dc:creator>
  <cp:lastModifiedBy>Zian He</cp:lastModifiedBy>
  <dcterms:created xsi:type="dcterms:W3CDTF">2023-04-19T18:05:53Z</dcterms:created>
  <dcterms:modified xsi:type="dcterms:W3CDTF">2023-04-26T04:24:34Z</dcterms:modified>
</cp:coreProperties>
</file>