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d0-my.sharepoint.com/personal/zhe25_umd_edu/Documents/Course Documents/Spring 2023/Datathon/"/>
    </mc:Choice>
  </mc:AlternateContent>
  <xr:revisionPtr revIDLastSave="0" documentId="8_{87D12D7A-1C15-0E41-B030-B50595D4F104}" xr6:coauthVersionLast="47" xr6:coauthVersionMax="47" xr10:uidLastSave="{00000000-0000-0000-0000-000000000000}"/>
  <bookViews>
    <workbookView xWindow="1100" yWindow="820" windowWidth="28040" windowHeight="17380" xr2:uid="{AC10186E-C39F-DF44-8DC1-1823EF192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0" i="1" l="1"/>
  <c r="B20" i="1" s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B19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D18" i="1"/>
  <c r="E18" i="1"/>
  <c r="F18" i="1"/>
  <c r="G18" i="1"/>
  <c r="H18" i="1"/>
  <c r="I18" i="1"/>
  <c r="J18" i="1"/>
  <c r="C18" i="1"/>
  <c r="D8" i="1"/>
  <c r="E8" i="1"/>
  <c r="F8" i="1"/>
  <c r="G8" i="1"/>
  <c r="C8" i="1"/>
  <c r="B9" i="1"/>
  <c r="C9" i="1" s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J10" i="1"/>
  <c r="B10" i="1" s="1"/>
  <c r="C10" i="1" s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J16" i="1"/>
  <c r="AK7" i="1"/>
  <c r="AN26" i="1" s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N2" i="1"/>
  <c r="AK17" i="1" s="1"/>
  <c r="AN28" i="1" s="1"/>
  <c r="C12" i="1" s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B7" i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K5" i="1"/>
  <c r="AN24" i="1" s="1"/>
  <c r="B6" i="1" s="1"/>
  <c r="C6" i="1" s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N6" i="1"/>
  <c r="AN19" i="1" s="1"/>
  <c r="AO21" i="1" s="1"/>
  <c r="AN2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AQ2" i="1"/>
  <c r="AQ3" i="1" s="1"/>
  <c r="AR1" i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AN7" i="1"/>
  <c r="AN20" i="1" s="1"/>
  <c r="B2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C2" i="1" l="1"/>
  <c r="B3" i="1"/>
  <c r="B5" i="1"/>
  <c r="C5" i="1" s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U3" i="1"/>
  <c r="BJ3" i="1"/>
  <c r="AY3" i="1"/>
  <c r="BP3" i="1"/>
  <c r="BE3" i="1"/>
  <c r="BD3" i="1"/>
  <c r="AN12" i="1"/>
  <c r="AQ5" i="1" s="1"/>
  <c r="BC3" i="1"/>
  <c r="BL3" i="1"/>
  <c r="AR3" i="1"/>
  <c r="BK3" i="1"/>
  <c r="BS3" i="1"/>
  <c r="BR3" i="1"/>
  <c r="AX3" i="1"/>
  <c r="BF3" i="1"/>
  <c r="AV3" i="1"/>
  <c r="BO3" i="1"/>
  <c r="BN3" i="1"/>
  <c r="AT3" i="1"/>
  <c r="BM3" i="1"/>
  <c r="AS3" i="1"/>
  <c r="BB3" i="1"/>
  <c r="BA3" i="1"/>
  <c r="BT3" i="1"/>
  <c r="AZ3" i="1"/>
  <c r="BI3" i="1"/>
  <c r="BH3" i="1"/>
  <c r="BQ3" i="1"/>
  <c r="BG3" i="1"/>
  <c r="AW3" i="1"/>
  <c r="B13" i="1" l="1"/>
  <c r="B15" i="1" s="1"/>
  <c r="B17" i="1" s="1"/>
  <c r="D2" i="1"/>
  <c r="C13" i="1"/>
  <c r="C15" i="1" s="1"/>
  <c r="AQ4" i="1"/>
  <c r="C16" i="1" l="1"/>
  <c r="C17" i="1" s="1"/>
  <c r="E2" i="1"/>
  <c r="D13" i="1"/>
  <c r="D15" i="1" s="1"/>
  <c r="D16" i="1" l="1"/>
  <c r="D17" i="1" s="1"/>
  <c r="F2" i="1"/>
  <c r="E13" i="1"/>
  <c r="E15" i="1" s="1"/>
  <c r="E16" i="1" l="1"/>
  <c r="E17" i="1" s="1"/>
  <c r="G2" i="1"/>
  <c r="F13" i="1"/>
  <c r="F15" i="1" s="1"/>
  <c r="F16" i="1" l="1"/>
  <c r="F17" i="1" s="1"/>
  <c r="H2" i="1"/>
  <c r="G13" i="1"/>
  <c r="G15" i="1" s="1"/>
  <c r="G16" i="1" l="1"/>
  <c r="G17" i="1"/>
  <c r="I2" i="1"/>
  <c r="H13" i="1"/>
  <c r="H15" i="1" s="1"/>
  <c r="H16" i="1" l="1"/>
  <c r="H17" i="1" s="1"/>
  <c r="J2" i="1"/>
  <c r="I13" i="1"/>
  <c r="I15" i="1" s="1"/>
  <c r="I16" i="1" l="1"/>
  <c r="I17" i="1" s="1"/>
  <c r="K2" i="1"/>
  <c r="J13" i="1"/>
  <c r="J15" i="1" s="1"/>
  <c r="J16" i="1" l="1"/>
  <c r="J17" i="1" s="1"/>
  <c r="L2" i="1"/>
  <c r="K13" i="1"/>
  <c r="K15" i="1" s="1"/>
  <c r="K16" i="1" l="1"/>
  <c r="K17" i="1" s="1"/>
  <c r="M2" i="1"/>
  <c r="L13" i="1"/>
  <c r="L15" i="1" s="1"/>
  <c r="L16" i="1" l="1"/>
  <c r="L17" i="1" s="1"/>
  <c r="N2" i="1"/>
  <c r="M13" i="1"/>
  <c r="M15" i="1" s="1"/>
  <c r="M16" i="1" l="1"/>
  <c r="M17" i="1" s="1"/>
  <c r="O2" i="1"/>
  <c r="N13" i="1"/>
  <c r="N15" i="1" s="1"/>
  <c r="N16" i="1" l="1"/>
  <c r="N17" i="1" s="1"/>
  <c r="P2" i="1"/>
  <c r="O13" i="1"/>
  <c r="O15" i="1" s="1"/>
  <c r="O16" i="1" l="1"/>
  <c r="O17" i="1" s="1"/>
  <c r="Q2" i="1"/>
  <c r="P13" i="1"/>
  <c r="P15" i="1" s="1"/>
  <c r="P16" i="1" l="1"/>
  <c r="P17" i="1" s="1"/>
  <c r="R2" i="1"/>
  <c r="Q13" i="1"/>
  <c r="Q15" i="1" s="1"/>
  <c r="Q16" i="1" l="1"/>
  <c r="Q17" i="1"/>
  <c r="S2" i="1"/>
  <c r="R13" i="1"/>
  <c r="R15" i="1" s="1"/>
  <c r="R16" i="1" l="1"/>
  <c r="R17" i="1" s="1"/>
  <c r="T2" i="1"/>
  <c r="S13" i="1"/>
  <c r="S15" i="1" s="1"/>
  <c r="S16" i="1" l="1"/>
  <c r="S17" i="1" s="1"/>
  <c r="U2" i="1"/>
  <c r="T13" i="1"/>
  <c r="T15" i="1" s="1"/>
  <c r="T16" i="1" l="1"/>
  <c r="T17" i="1" s="1"/>
  <c r="V2" i="1"/>
  <c r="U13" i="1"/>
  <c r="U15" i="1" s="1"/>
  <c r="U16" i="1" l="1"/>
  <c r="U17" i="1" s="1"/>
  <c r="W2" i="1"/>
  <c r="V13" i="1"/>
  <c r="V15" i="1" s="1"/>
  <c r="V16" i="1" l="1"/>
  <c r="V17" i="1" s="1"/>
  <c r="X2" i="1"/>
  <c r="W13" i="1"/>
  <c r="W15" i="1" s="1"/>
  <c r="W16" i="1" l="1"/>
  <c r="W17" i="1" s="1"/>
  <c r="Y2" i="1"/>
  <c r="X13" i="1"/>
  <c r="X15" i="1" s="1"/>
  <c r="X16" i="1" l="1"/>
  <c r="X17" i="1" s="1"/>
  <c r="Z2" i="1"/>
  <c r="Y13" i="1"/>
  <c r="Y15" i="1" s="1"/>
  <c r="Y16" i="1" l="1"/>
  <c r="Y17" i="1" s="1"/>
  <c r="AA2" i="1"/>
  <c r="Z13" i="1"/>
  <c r="Z15" i="1" s="1"/>
  <c r="Z16" i="1" l="1"/>
  <c r="Z17" i="1" s="1"/>
  <c r="AB2" i="1"/>
  <c r="AA13" i="1"/>
  <c r="AA15" i="1" s="1"/>
  <c r="AA16" i="1" l="1"/>
  <c r="AA17" i="1" s="1"/>
  <c r="AC2" i="1"/>
  <c r="AB13" i="1"/>
  <c r="AB15" i="1" s="1"/>
  <c r="AB16" i="1" l="1"/>
  <c r="AB17" i="1" s="1"/>
  <c r="AD2" i="1"/>
  <c r="AC13" i="1"/>
  <c r="AC15" i="1" s="1"/>
  <c r="AC16" i="1" l="1"/>
  <c r="AC17" i="1" s="1"/>
  <c r="AE2" i="1"/>
  <c r="AD13" i="1"/>
  <c r="AD15" i="1" s="1"/>
  <c r="AD16" i="1" l="1"/>
  <c r="AD17" i="1"/>
  <c r="AF2" i="1"/>
  <c r="AE13" i="1"/>
  <c r="AE15" i="1" s="1"/>
  <c r="AE16" i="1" l="1"/>
  <c r="AE17" i="1" s="1"/>
  <c r="AG2" i="1"/>
  <c r="AG13" i="1" s="1"/>
  <c r="AG15" i="1" s="1"/>
  <c r="AF13" i="1"/>
  <c r="AF15" i="1" s="1"/>
  <c r="AG16" i="1" l="1"/>
  <c r="AG17" i="1"/>
  <c r="AF16" i="1"/>
  <c r="AF17" i="1"/>
</calcChain>
</file>

<file path=xl/sharedStrings.xml><?xml version="1.0" encoding="utf-8"?>
<sst xmlns="http://schemas.openxmlformats.org/spreadsheetml/2006/main" count="58" uniqueCount="47">
  <si>
    <t>Terms</t>
  </si>
  <si>
    <t>Rent</t>
  </si>
  <si>
    <t>Unit</t>
  </si>
  <si>
    <t>Rent Annual Growth</t>
  </si>
  <si>
    <t>Rental Revenue</t>
  </si>
  <si>
    <t>Down Payment</t>
  </si>
  <si>
    <t>Property Value</t>
  </si>
  <si>
    <t>Down Payment Rate</t>
  </si>
  <si>
    <t>Loan Payment (EMI)</t>
  </si>
  <si>
    <t>Loan Payment (EMI)*12</t>
  </si>
  <si>
    <t>Monthly Loan Pay</t>
  </si>
  <si>
    <t>Mortgage Interest rate (APY)</t>
  </si>
  <si>
    <t>Balance</t>
  </si>
  <si>
    <t>PV(Loan Pay)</t>
  </si>
  <si>
    <t>SUM(PV(Loan Pay))</t>
  </si>
  <si>
    <t>Monthly Loan Pay*12</t>
  </si>
  <si>
    <t>Target Sum PV</t>
  </si>
  <si>
    <t>Insurance Premium</t>
  </si>
  <si>
    <t>Premium for each unit per year</t>
  </si>
  <si>
    <t>Premium Annual Growth</t>
  </si>
  <si>
    <t>HOA Fee</t>
  </si>
  <si>
    <t>Property Assessment Value</t>
  </si>
  <si>
    <t>Property Tax Ratio</t>
  </si>
  <si>
    <t>HOA Fee Ratio</t>
  </si>
  <si>
    <t>Property Value Growth</t>
  </si>
  <si>
    <t>Renovation Expenditure</t>
  </si>
  <si>
    <t>Maintenence Expenditure</t>
  </si>
  <si>
    <t>Renovation Expense Rate</t>
  </si>
  <si>
    <t>Maintenence Expenditure Rate</t>
  </si>
  <si>
    <t>Vacancy Rate in NYC</t>
  </si>
  <si>
    <t>Vacancy Rate weighted by popularity of review</t>
  </si>
  <si>
    <t>Vacancy Rate of Property</t>
  </si>
  <si>
    <t>Popularity Index ((popularity - median popularity )/ median popularity)</t>
  </si>
  <si>
    <t>Management Expenditure</t>
  </si>
  <si>
    <t>Management Expenditure Rate</t>
  </si>
  <si>
    <t>Income Tax Rate (Federal + NY)</t>
  </si>
  <si>
    <t>Utility Expense</t>
  </si>
  <si>
    <t>Net Income</t>
  </si>
  <si>
    <t>Property Tax</t>
  </si>
  <si>
    <t>EBIT</t>
  </si>
  <si>
    <t>Income Tax</t>
  </si>
  <si>
    <t xml:space="preserve">Mortgage Interest </t>
  </si>
  <si>
    <t>EBT</t>
  </si>
  <si>
    <t>Depreciation of Renovation</t>
  </si>
  <si>
    <t>Cash Flow</t>
  </si>
  <si>
    <t>NPV</t>
  </si>
  <si>
    <t>TV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</si>
</sst>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9" fontId="0" fillId="0" borderId="0" xfId="0" applyNumberFormat="1"/>
    <xf numFmtId="0" fontId="0" fillId="0" borderId="0" xfId="0" applyNumberFormat="1"/>
    <xf numFmtId="166" fontId="0" fillId="0" borderId="0" xfId="0" applyNumberFormat="1"/>
    <xf numFmtId="10" fontId="0" fillId="0" borderId="0" xfId="0" applyNumberFormat="1"/>
    <xf numFmtId="9" fontId="0" fillId="0" borderId="0" xfId="1" applyFont="1"/>
    <xf numFmtId="166" fontId="0" fillId="0" borderId="0" xfId="1" applyNumberFormat="1" applyFont="1"/>
    <xf numFmtId="0" fontId="0" fillId="0" borderId="0" xfId="0" applyFont="1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Border="1"/>
    <xf numFmtId="0" fontId="0" fillId="0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5EA2-9524-6F4B-B293-ED62F1410E15}">
  <dimension ref="A1:BT28"/>
  <sheetViews>
    <sheetView tabSelected="1" workbookViewId="0">
      <selection activeCell="E22" sqref="E22"/>
    </sheetView>
  </sheetViews>
  <sheetFormatPr baseColWidth="10" defaultRowHeight="16" x14ac:dyDescent="0.2"/>
  <cols>
    <col min="1" max="1" width="23.1640625" customWidth="1"/>
    <col min="2" max="2" width="20.33203125" bestFit="1" customWidth="1"/>
    <col min="34" max="34" width="19.6640625" customWidth="1"/>
    <col min="35" max="35" width="40.5" customWidth="1"/>
    <col min="36" max="36" width="23.6640625" customWidth="1"/>
    <col min="37" max="38" width="22.83203125" customWidth="1"/>
    <col min="39" max="39" width="29.5" customWidth="1"/>
    <col min="40" max="40" width="11.6640625" bestFit="1" customWidth="1"/>
    <col min="42" max="42" width="17.33203125" customWidth="1"/>
  </cols>
  <sheetData>
    <row r="1" spans="1:72" ht="17" thickBot="1" x14ac:dyDescent="0.25">
      <c r="A1" s="10" t="s">
        <v>0</v>
      </c>
      <c r="B1" s="11">
        <v>0</v>
      </c>
      <c r="C1" s="11">
        <f>B1+1</f>
        <v>1</v>
      </c>
      <c r="D1" s="11">
        <f t="shared" ref="D1:K1" si="0">C1+1</f>
        <v>2</v>
      </c>
      <c r="E1" s="11">
        <f t="shared" si="0"/>
        <v>3</v>
      </c>
      <c r="F1" s="11">
        <f t="shared" si="0"/>
        <v>4</v>
      </c>
      <c r="G1" s="11">
        <f t="shared" si="0"/>
        <v>5</v>
      </c>
      <c r="H1" s="10">
        <f t="shared" si="0"/>
        <v>6</v>
      </c>
      <c r="I1" s="10">
        <f t="shared" si="0"/>
        <v>7</v>
      </c>
      <c r="J1" s="10">
        <f t="shared" si="0"/>
        <v>8</v>
      </c>
      <c r="K1" s="10">
        <f t="shared" si="0"/>
        <v>9</v>
      </c>
      <c r="L1" s="10">
        <f>K1+1</f>
        <v>10</v>
      </c>
      <c r="M1" s="10">
        <f t="shared" ref="M1:AG1" si="1">L1+1</f>
        <v>11</v>
      </c>
      <c r="N1" s="10">
        <f t="shared" si="1"/>
        <v>12</v>
      </c>
      <c r="O1" s="10">
        <f t="shared" si="1"/>
        <v>13</v>
      </c>
      <c r="P1" s="10">
        <f t="shared" si="1"/>
        <v>14</v>
      </c>
      <c r="Q1" s="10">
        <f t="shared" si="1"/>
        <v>15</v>
      </c>
      <c r="R1" s="10">
        <f t="shared" si="1"/>
        <v>16</v>
      </c>
      <c r="S1" s="10">
        <f t="shared" si="1"/>
        <v>17</v>
      </c>
      <c r="T1" s="10">
        <f t="shared" si="1"/>
        <v>18</v>
      </c>
      <c r="U1" s="10">
        <f t="shared" si="1"/>
        <v>19</v>
      </c>
      <c r="V1" s="10">
        <f t="shared" si="1"/>
        <v>20</v>
      </c>
      <c r="W1" s="10">
        <f t="shared" si="1"/>
        <v>21</v>
      </c>
      <c r="X1" s="10">
        <f t="shared" si="1"/>
        <v>22</v>
      </c>
      <c r="Y1" s="10">
        <f t="shared" si="1"/>
        <v>23</v>
      </c>
      <c r="Z1" s="10">
        <f t="shared" si="1"/>
        <v>24</v>
      </c>
      <c r="AA1" s="10">
        <f t="shared" si="1"/>
        <v>25</v>
      </c>
      <c r="AB1" s="10">
        <f t="shared" si="1"/>
        <v>26</v>
      </c>
      <c r="AC1" s="10">
        <f t="shared" si="1"/>
        <v>27</v>
      </c>
      <c r="AD1" s="10">
        <f t="shared" si="1"/>
        <v>28</v>
      </c>
      <c r="AE1" s="10">
        <f t="shared" si="1"/>
        <v>29</v>
      </c>
      <c r="AF1" s="10">
        <f t="shared" si="1"/>
        <v>30</v>
      </c>
      <c r="AG1" s="10">
        <f t="shared" si="1"/>
        <v>31</v>
      </c>
      <c r="AI1" t="s">
        <v>35</v>
      </c>
      <c r="AJ1" s="2">
        <v>0.3</v>
      </c>
      <c r="AQ1">
        <v>1</v>
      </c>
      <c r="AR1">
        <f>AQ1+1</f>
        <v>2</v>
      </c>
      <c r="AS1">
        <f t="shared" ref="AS1:BS1" si="2">AR1+1</f>
        <v>3</v>
      </c>
      <c r="AT1">
        <f t="shared" si="2"/>
        <v>4</v>
      </c>
      <c r="AU1">
        <f t="shared" si="2"/>
        <v>5</v>
      </c>
      <c r="AV1">
        <f t="shared" si="2"/>
        <v>6</v>
      </c>
      <c r="AW1">
        <f t="shared" si="2"/>
        <v>7</v>
      </c>
      <c r="AX1">
        <f t="shared" si="2"/>
        <v>8</v>
      </c>
      <c r="AY1">
        <f t="shared" si="2"/>
        <v>9</v>
      </c>
      <c r="AZ1">
        <f t="shared" si="2"/>
        <v>10</v>
      </c>
      <c r="BA1">
        <f t="shared" si="2"/>
        <v>11</v>
      </c>
      <c r="BB1">
        <f t="shared" si="2"/>
        <v>12</v>
      </c>
      <c r="BC1">
        <f t="shared" si="2"/>
        <v>13</v>
      </c>
      <c r="BD1">
        <f t="shared" si="2"/>
        <v>14</v>
      </c>
      <c r="BE1">
        <f t="shared" si="2"/>
        <v>15</v>
      </c>
      <c r="BF1">
        <f t="shared" si="2"/>
        <v>16</v>
      </c>
      <c r="BG1">
        <f>BF1+1</f>
        <v>17</v>
      </c>
      <c r="BH1">
        <f t="shared" si="2"/>
        <v>18</v>
      </c>
      <c r="BI1">
        <f t="shared" si="2"/>
        <v>19</v>
      </c>
      <c r="BJ1">
        <f t="shared" si="2"/>
        <v>20</v>
      </c>
      <c r="BK1">
        <f t="shared" si="2"/>
        <v>21</v>
      </c>
      <c r="BL1">
        <f t="shared" si="2"/>
        <v>22</v>
      </c>
      <c r="BM1">
        <f t="shared" si="2"/>
        <v>23</v>
      </c>
      <c r="BN1">
        <f>BM1+1</f>
        <v>24</v>
      </c>
      <c r="BO1">
        <f t="shared" si="2"/>
        <v>25</v>
      </c>
      <c r="BP1">
        <f t="shared" si="2"/>
        <v>26</v>
      </c>
      <c r="BQ1">
        <f t="shared" si="2"/>
        <v>27</v>
      </c>
      <c r="BR1">
        <f t="shared" si="2"/>
        <v>28</v>
      </c>
      <c r="BS1">
        <f t="shared" si="2"/>
        <v>29</v>
      </c>
      <c r="BT1">
        <f>BS1+1</f>
        <v>30</v>
      </c>
    </row>
    <row r="2" spans="1:72" x14ac:dyDescent="0.2">
      <c r="A2" s="9" t="s">
        <v>4</v>
      </c>
      <c r="B2" s="9">
        <f>0</f>
        <v>0</v>
      </c>
      <c r="C2" s="9">
        <f>AN2*AN3*(1-AJ16)*12</f>
        <v>45068.633380415587</v>
      </c>
      <c r="D2" s="9">
        <f>C2*(1+$AN$4)</f>
        <v>46195.349214925976</v>
      </c>
      <c r="E2" s="9">
        <f>D2*(1+$AN$4)</f>
        <v>47350.232945299125</v>
      </c>
      <c r="F2" s="9">
        <f>E2*(1+$AN$4)</f>
        <v>48533.988768931602</v>
      </c>
      <c r="G2" s="9">
        <f>F2*(1+$AN$4)</f>
        <v>49747.338488154885</v>
      </c>
      <c r="H2" s="9">
        <f>G2*(1+$AN$4)</f>
        <v>50991.02195035875</v>
      </c>
      <c r="I2" s="9">
        <f>H2*(1+$AN$4)</f>
        <v>52265.797499117718</v>
      </c>
      <c r="J2" s="9">
        <f>I2*(1+$AN$4)</f>
        <v>53572.442436595658</v>
      </c>
      <c r="K2" s="9">
        <f>J2*(1+$AN$4)</f>
        <v>54911.753497510545</v>
      </c>
      <c r="L2" s="9">
        <f>K2*(1+$AN$4)</f>
        <v>56284.5473349483</v>
      </c>
      <c r="M2" s="9">
        <f>L2*(1+$AN$4)</f>
        <v>57691.661018322004</v>
      </c>
      <c r="N2" s="9">
        <f>M2*(1+$AN$4)</f>
        <v>59133.952543780048</v>
      </c>
      <c r="O2" s="9">
        <f>N2*(1+$AN$4)</f>
        <v>60612.301357374541</v>
      </c>
      <c r="P2" s="9">
        <f>O2*(1+$AN$4)</f>
        <v>62127.608891308897</v>
      </c>
      <c r="Q2" s="9">
        <f>P2*(1+$AN$4)</f>
        <v>63680.799113591616</v>
      </c>
      <c r="R2" s="9">
        <f>Q2*(1+$AN$4)</f>
        <v>65272.819091431404</v>
      </c>
      <c r="S2" s="9">
        <f>R2*(1+$AN$4)</f>
        <v>66904.63956871719</v>
      </c>
      <c r="T2" s="9">
        <f>S2*(1+$AN$4)</f>
        <v>68577.255557935117</v>
      </c>
      <c r="U2" s="9">
        <f>T2*(1+$AN$4)</f>
        <v>70291.686946883492</v>
      </c>
      <c r="V2" s="9">
        <f>U2*(1+$AN$4)</f>
        <v>72048.979120555567</v>
      </c>
      <c r="W2" s="9">
        <f>V2*(1+$AN$4)</f>
        <v>73850.203598569453</v>
      </c>
      <c r="X2" s="9">
        <f>W2*(1+$AN$4)</f>
        <v>75696.458688533676</v>
      </c>
      <c r="Y2" s="9">
        <f>X2*(1+$AN$4)</f>
        <v>77588.870155747005</v>
      </c>
      <c r="Z2" s="9">
        <f>Y2*(1+$AN$4)</f>
        <v>79528.591909640672</v>
      </c>
      <c r="AA2" s="9">
        <f>Z2*(1+$AN$4)</f>
        <v>81516.806707381678</v>
      </c>
      <c r="AB2" s="9">
        <f>AA2*(1+$AN$4)</f>
        <v>83554.726875066219</v>
      </c>
      <c r="AC2" s="9">
        <f>AB2*(1+$AN$4)</f>
        <v>85643.595046942864</v>
      </c>
      <c r="AD2" s="9">
        <f>AC2*(1+$AN$4)</f>
        <v>87784.684923116423</v>
      </c>
      <c r="AE2" s="9">
        <f>AD2*(1+$AN$4)</f>
        <v>89979.302046194323</v>
      </c>
      <c r="AF2" s="9">
        <f>AE2*(1+$AN$4)</f>
        <v>92228.784597349179</v>
      </c>
      <c r="AG2" s="9">
        <f>AF2*(1+$AN$4)</f>
        <v>94534.504212282904</v>
      </c>
      <c r="AI2" t="s">
        <v>21</v>
      </c>
      <c r="AJ2">
        <v>400000</v>
      </c>
      <c r="AL2" s="1" t="s">
        <v>4</v>
      </c>
      <c r="AM2" t="s">
        <v>1</v>
      </c>
      <c r="AN2">
        <f>AJ2*0.01</f>
        <v>4000</v>
      </c>
      <c r="AP2" t="s">
        <v>15</v>
      </c>
      <c r="AQ2">
        <f>$AN$16*12</f>
        <v>20816.45922568853</v>
      </c>
      <c r="AR2">
        <f>$AN$16*12</f>
        <v>20816.45922568853</v>
      </c>
      <c r="AS2">
        <f>$AN$16*12</f>
        <v>20816.45922568853</v>
      </c>
      <c r="AT2">
        <f>$AN$16*12</f>
        <v>20816.45922568853</v>
      </c>
      <c r="AU2">
        <f>$AN$16*12</f>
        <v>20816.45922568853</v>
      </c>
      <c r="AV2">
        <f>$AN$16*12</f>
        <v>20816.45922568853</v>
      </c>
      <c r="AW2">
        <f>$AN$16*12</f>
        <v>20816.45922568853</v>
      </c>
      <c r="AX2">
        <f>$AN$16*12</f>
        <v>20816.45922568853</v>
      </c>
      <c r="AY2">
        <f>$AN$16*12</f>
        <v>20816.45922568853</v>
      </c>
      <c r="AZ2">
        <f>$AN$16*12</f>
        <v>20816.45922568853</v>
      </c>
      <c r="BA2">
        <f>$AN$16*12</f>
        <v>20816.45922568853</v>
      </c>
      <c r="BB2">
        <f>$AN$16*12</f>
        <v>20816.45922568853</v>
      </c>
      <c r="BC2">
        <f>$AN$16*12</f>
        <v>20816.45922568853</v>
      </c>
      <c r="BD2">
        <f>$AN$16*12</f>
        <v>20816.45922568853</v>
      </c>
      <c r="BE2">
        <f>$AN$16*12</f>
        <v>20816.45922568853</v>
      </c>
      <c r="BF2">
        <f>$AN$16*12</f>
        <v>20816.45922568853</v>
      </c>
      <c r="BG2">
        <f>$AN$16*12</f>
        <v>20816.45922568853</v>
      </c>
      <c r="BH2">
        <f>$AN$16*12</f>
        <v>20816.45922568853</v>
      </c>
      <c r="BI2">
        <f>$AN$16*12</f>
        <v>20816.45922568853</v>
      </c>
      <c r="BJ2">
        <f>$AN$16*12</f>
        <v>20816.45922568853</v>
      </c>
      <c r="BK2">
        <f>$AN$16*12</f>
        <v>20816.45922568853</v>
      </c>
      <c r="BL2">
        <f>$AN$16*12</f>
        <v>20816.45922568853</v>
      </c>
      <c r="BM2">
        <f>$AN$16*12</f>
        <v>20816.45922568853</v>
      </c>
      <c r="BN2">
        <f>$AN$16*12</f>
        <v>20816.45922568853</v>
      </c>
      <c r="BO2">
        <f>$AN$16*12</f>
        <v>20816.45922568853</v>
      </c>
      <c r="BP2">
        <f>$AN$16*12</f>
        <v>20816.45922568853</v>
      </c>
      <c r="BQ2">
        <f>$AN$16*12</f>
        <v>20816.45922568853</v>
      </c>
      <c r="BR2">
        <f>$AN$16*12</f>
        <v>20816.45922568853</v>
      </c>
      <c r="BS2">
        <f>$AN$16*12</f>
        <v>20816.45922568853</v>
      </c>
      <c r="BT2">
        <f>$AN$16*12</f>
        <v>20816.45922568853</v>
      </c>
    </row>
    <row r="3" spans="1:72" x14ac:dyDescent="0.2">
      <c r="A3" s="9" t="s">
        <v>5</v>
      </c>
      <c r="B3" s="9">
        <f>-AN6*AN7*AN11</f>
        <v>-80000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I3" t="s">
        <v>22</v>
      </c>
      <c r="AJ3" s="2">
        <v>0.01</v>
      </c>
      <c r="AM3" t="s">
        <v>2</v>
      </c>
      <c r="AN3">
        <v>1</v>
      </c>
      <c r="AP3" t="s">
        <v>13</v>
      </c>
      <c r="AQ3">
        <f>AQ2/(1+$AN$17)^AQ1</f>
        <v>19825.199262560505</v>
      </c>
      <c r="AR3">
        <f>AR2/(1+$AN$17)^AR1</f>
        <v>18881.142154819529</v>
      </c>
      <c r="AS3">
        <f>AS2/(1+$AN$17)^AS1</f>
        <v>17982.040147447169</v>
      </c>
      <c r="AT3">
        <f>AT2/(1+$AN$17)^AT1</f>
        <v>17125.752521378257</v>
      </c>
      <c r="AU3">
        <f>AU2/(1+$AN$17)^AU1</f>
        <v>16310.240496550719</v>
      </c>
      <c r="AV3">
        <f>AV2/(1+$AN$17)^AV1</f>
        <v>15533.562377667353</v>
      </c>
      <c r="AW3">
        <f>AW2/(1+$AN$17)^AW1</f>
        <v>14793.868931111763</v>
      </c>
      <c r="AX3">
        <f>AX2/(1+$AN$17)^AX1</f>
        <v>14089.398982011204</v>
      </c>
      <c r="AY3">
        <f>AY2/(1+$AN$17)^AY1</f>
        <v>13418.475220963051</v>
      </c>
      <c r="AZ3">
        <f>AZ2/(1+$AN$17)^AZ1</f>
        <v>12779.500210441001</v>
      </c>
      <c r="BA3">
        <f>BA2/(1+$AN$17)^BA1</f>
        <v>12170.952581372381</v>
      </c>
      <c r="BB3">
        <f>BB2/(1+$AN$17)^BB1</f>
        <v>11591.38341083084</v>
      </c>
      <c r="BC3">
        <f>BC2/(1+$AN$17)^BC1</f>
        <v>11039.412772219846</v>
      </c>
      <c r="BD3">
        <f>BD2/(1+$AN$17)^BD1</f>
        <v>10513.726449733189</v>
      </c>
      <c r="BE3">
        <f>BE2/(1+$AN$17)^BE1</f>
        <v>10013.072809269701</v>
      </c>
      <c r="BF3">
        <f>BF2/(1+$AN$17)^BF1</f>
        <v>9536.2598183520968</v>
      </c>
      <c r="BG3">
        <f>BG2/(1+$AN$17)^BG1</f>
        <v>9082.1522079543774</v>
      </c>
      <c r="BH3">
        <f>BH2/(1+$AN$17)^BH1</f>
        <v>8649.6687694803586</v>
      </c>
      <c r="BI3">
        <f>BI2/(1+$AN$17)^BI1</f>
        <v>8237.7797804574839</v>
      </c>
      <c r="BJ3">
        <f>BJ2/(1+$AN$17)^BJ1</f>
        <v>7845.5045528166529</v>
      </c>
      <c r="BK3">
        <f>BK2/(1+$AN$17)^BK1</f>
        <v>7471.9090979206212</v>
      </c>
      <c r="BL3">
        <f>BL2/(1+$AN$17)^BL1</f>
        <v>7116.103902781545</v>
      </c>
      <c r="BM3">
        <f>BM2/(1+$AN$17)^BM1</f>
        <v>6777.2418121728988</v>
      </c>
      <c r="BN3">
        <f>BN2/(1+$AN$17)^BN1</f>
        <v>6454.5160115932376</v>
      </c>
      <c r="BO3">
        <f>BO2/(1+$AN$17)^BO1</f>
        <v>6147.1581062792739</v>
      </c>
      <c r="BP3">
        <f>BP2/(1+$AN$17)^BP1</f>
        <v>5854.4362916945465</v>
      </c>
      <c r="BQ3">
        <f>BQ2/(1+$AN$17)^BQ1</f>
        <v>5575.6536111376627</v>
      </c>
      <c r="BR3">
        <f>BR2/(1+$AN$17)^BR1</f>
        <v>5310.1462963215836</v>
      </c>
      <c r="BS3">
        <f>BS2/(1+$AN$17)^BS1</f>
        <v>5057.282186972936</v>
      </c>
      <c r="BT3">
        <f>BT2/(1+$AN$17)^BT1</f>
        <v>4816.4592256885126</v>
      </c>
    </row>
    <row r="4" spans="1:72" x14ac:dyDescent="0.2">
      <c r="A4" s="9" t="s">
        <v>9</v>
      </c>
      <c r="B4" s="9">
        <v>0</v>
      </c>
      <c r="C4" s="9">
        <f>-AN16*12</f>
        <v>-20816.45922568853</v>
      </c>
      <c r="D4" s="9">
        <f>C4</f>
        <v>-20816.45922568853</v>
      </c>
      <c r="E4" s="9">
        <f t="shared" ref="E4:K4" si="3">D4</f>
        <v>-20816.45922568853</v>
      </c>
      <c r="F4" s="9">
        <f t="shared" si="3"/>
        <v>-20816.45922568853</v>
      </c>
      <c r="G4" s="9">
        <f t="shared" si="3"/>
        <v>-20816.45922568853</v>
      </c>
      <c r="H4" s="9">
        <f t="shared" si="3"/>
        <v>-20816.45922568853</v>
      </c>
      <c r="I4" s="9">
        <f t="shared" si="3"/>
        <v>-20816.45922568853</v>
      </c>
      <c r="J4" s="9">
        <f t="shared" si="3"/>
        <v>-20816.45922568853</v>
      </c>
      <c r="K4" s="9">
        <f t="shared" si="3"/>
        <v>-20816.45922568853</v>
      </c>
      <c r="L4" s="9">
        <f>K4</f>
        <v>-20816.45922568853</v>
      </c>
      <c r="M4" s="9">
        <f t="shared" ref="M4:AF4" si="4">L4</f>
        <v>-20816.45922568853</v>
      </c>
      <c r="N4" s="9">
        <f t="shared" si="4"/>
        <v>-20816.45922568853</v>
      </c>
      <c r="O4" s="9">
        <f t="shared" si="4"/>
        <v>-20816.45922568853</v>
      </c>
      <c r="P4" s="9">
        <f t="shared" si="4"/>
        <v>-20816.45922568853</v>
      </c>
      <c r="Q4" s="9">
        <f t="shared" si="4"/>
        <v>-20816.45922568853</v>
      </c>
      <c r="R4" s="9">
        <f t="shared" si="4"/>
        <v>-20816.45922568853</v>
      </c>
      <c r="S4" s="9">
        <f t="shared" si="4"/>
        <v>-20816.45922568853</v>
      </c>
      <c r="T4" s="9">
        <f t="shared" si="4"/>
        <v>-20816.45922568853</v>
      </c>
      <c r="U4" s="9">
        <f t="shared" si="4"/>
        <v>-20816.45922568853</v>
      </c>
      <c r="V4" s="9">
        <f t="shared" si="4"/>
        <v>-20816.45922568853</v>
      </c>
      <c r="W4" s="9">
        <f t="shared" si="4"/>
        <v>-20816.45922568853</v>
      </c>
      <c r="X4" s="9">
        <f t="shared" si="4"/>
        <v>-20816.45922568853</v>
      </c>
      <c r="Y4" s="9">
        <f t="shared" si="4"/>
        <v>-20816.45922568853</v>
      </c>
      <c r="Z4" s="9">
        <f t="shared" si="4"/>
        <v>-20816.45922568853</v>
      </c>
      <c r="AA4" s="9">
        <f t="shared" si="4"/>
        <v>-20816.45922568853</v>
      </c>
      <c r="AB4" s="9">
        <f t="shared" si="4"/>
        <v>-20816.45922568853</v>
      </c>
      <c r="AC4" s="9">
        <f t="shared" si="4"/>
        <v>-20816.45922568853</v>
      </c>
      <c r="AD4" s="9">
        <f t="shared" si="4"/>
        <v>-20816.45922568853</v>
      </c>
      <c r="AE4" s="9">
        <f t="shared" si="4"/>
        <v>-20816.45922568853</v>
      </c>
      <c r="AF4" s="9">
        <f t="shared" si="4"/>
        <v>-20816.45922568853</v>
      </c>
      <c r="AG4" s="9">
        <v>0</v>
      </c>
      <c r="AI4" t="s">
        <v>24</v>
      </c>
      <c r="AJ4" s="2">
        <v>0.01</v>
      </c>
      <c r="AM4" t="s">
        <v>3</v>
      </c>
      <c r="AN4" s="2">
        <v>2.5000000000000001E-2</v>
      </c>
      <c r="AP4" t="s">
        <v>14</v>
      </c>
      <c r="AQ4">
        <f>SUM(AQ3:BT3)</f>
        <v>320000.00000000023</v>
      </c>
    </row>
    <row r="5" spans="1:72" x14ac:dyDescent="0.2">
      <c r="A5" s="9" t="s">
        <v>17</v>
      </c>
      <c r="B5" s="9">
        <f>-AO21*AN20</f>
        <v>-1200</v>
      </c>
      <c r="C5" s="9">
        <f>B5*(1+$AN$22)</f>
        <v>-1236</v>
      </c>
      <c r="D5" s="9">
        <f>C5*(1+$AN$22)</f>
        <v>-1273.08</v>
      </c>
      <c r="E5" s="9">
        <f>D5*(1+$AN$22)</f>
        <v>-1311.2724000000001</v>
      </c>
      <c r="F5" s="9">
        <f>E5*(1+$AN$22)</f>
        <v>-1350.610572</v>
      </c>
      <c r="G5" s="9">
        <f>F5*(1+$AN$22)</f>
        <v>-1391.12888916</v>
      </c>
      <c r="H5" s="9">
        <f>G5*(1+$AN$22)</f>
        <v>-1432.8627558348001</v>
      </c>
      <c r="I5" s="9">
        <f>H5*(1+$AN$22)</f>
        <v>-1475.848638509844</v>
      </c>
      <c r="J5" s="9">
        <f>I5*(1+$AN$22)</f>
        <v>-1520.1240976651393</v>
      </c>
      <c r="K5" s="9">
        <f>J5*(1+$AN$22)</f>
        <v>-1565.7278205950936</v>
      </c>
      <c r="L5" s="9">
        <f>K5*(1+$AN$22)</f>
        <v>-1612.6996552129465</v>
      </c>
      <c r="M5" s="9">
        <f>L5*(1+$AN$22)</f>
        <v>-1661.0806448693349</v>
      </c>
      <c r="N5" s="9">
        <f>M5*(1+$AN$22)</f>
        <v>-1710.913064215415</v>
      </c>
      <c r="O5" s="9">
        <f>N5*(1+$AN$22)</f>
        <v>-1762.2404561418775</v>
      </c>
      <c r="P5" s="9">
        <f>O5*(1+$AN$22)</f>
        <v>-1815.1076698261338</v>
      </c>
      <c r="Q5" s="9">
        <f>P5*(1+$AN$22)</f>
        <v>-1869.5608999209178</v>
      </c>
      <c r="R5" s="9">
        <f>Q5*(1+$AN$22)</f>
        <v>-1925.6477269185455</v>
      </c>
      <c r="S5" s="9">
        <f>R5*(1+$AN$22)</f>
        <v>-1983.4171587261019</v>
      </c>
      <c r="T5" s="9">
        <f>S5*(1+$AN$22)</f>
        <v>-2042.9196734878849</v>
      </c>
      <c r="U5" s="9">
        <f>T5*(1+$AN$22)</f>
        <v>-2104.2072636925213</v>
      </c>
      <c r="V5" s="9">
        <f>U5*(1+$AN$22)</f>
        <v>-2167.3334816032971</v>
      </c>
      <c r="W5" s="9">
        <f>V5*(1+$AN$22)</f>
        <v>-2232.353486051396</v>
      </c>
      <c r="X5" s="9">
        <f>W5*(1+$AN$22)</f>
        <v>-2299.3240906329379</v>
      </c>
      <c r="Y5" s="9">
        <f>X5*(1+$AN$22)</f>
        <v>-2368.3038133519262</v>
      </c>
      <c r="Z5" s="9">
        <f>Y5*(1+$AN$22)</f>
        <v>-2439.352927752484</v>
      </c>
      <c r="AA5" s="9">
        <f>Z5*(1+$AN$22)</f>
        <v>-2512.5335155850585</v>
      </c>
      <c r="AB5" s="9">
        <f>AA5*(1+$AN$22)</f>
        <v>-2587.9095210526102</v>
      </c>
      <c r="AC5" s="9">
        <f>AB5*(1+$AN$22)</f>
        <v>-2665.5468066841886</v>
      </c>
      <c r="AD5" s="9">
        <f>AC5*(1+$AN$22)</f>
        <v>-2745.5132108847142</v>
      </c>
      <c r="AE5" s="9">
        <f>AD5*(1+$AN$22)</f>
        <v>-2827.8786072112557</v>
      </c>
      <c r="AF5" s="9">
        <f>AE5*(1+$AN$22)</f>
        <v>-2912.7149654275936</v>
      </c>
      <c r="AG5" s="9">
        <f>AF5*(1+$AN$22)</f>
        <v>-3000.0964143904216</v>
      </c>
      <c r="AI5" t="s">
        <v>23</v>
      </c>
      <c r="AJ5" s="4">
        <v>2E-3</v>
      </c>
      <c r="AK5">
        <f>AJ2*AJ5</f>
        <v>800</v>
      </c>
      <c r="AP5" t="s">
        <v>16</v>
      </c>
      <c r="AQ5">
        <f>AN12</f>
        <v>320000</v>
      </c>
    </row>
    <row r="6" spans="1:72" x14ac:dyDescent="0.2">
      <c r="A6" s="9" t="s">
        <v>20</v>
      </c>
      <c r="B6" s="9">
        <f>-AN24*AN3</f>
        <v>-800</v>
      </c>
      <c r="C6" s="9">
        <f>B6*(1+$AJ$4)</f>
        <v>-808</v>
      </c>
      <c r="D6" s="9">
        <f t="shared" ref="D6:AG6" si="5">C6*(1+$AJ$4)</f>
        <v>-816.08</v>
      </c>
      <c r="E6" s="9">
        <f t="shared" si="5"/>
        <v>-824.24080000000004</v>
      </c>
      <c r="F6" s="9">
        <f t="shared" si="5"/>
        <v>-832.48320799999999</v>
      </c>
      <c r="G6" s="9">
        <f t="shared" si="5"/>
        <v>-840.80804007999996</v>
      </c>
      <c r="H6" s="9">
        <f t="shared" si="5"/>
        <v>-849.21612048079999</v>
      </c>
      <c r="I6" s="9">
        <f t="shared" si="5"/>
        <v>-857.70828168560797</v>
      </c>
      <c r="J6" s="9">
        <f t="shared" si="5"/>
        <v>-866.28536450246406</v>
      </c>
      <c r="K6" s="9">
        <f t="shared" si="5"/>
        <v>-874.94821814748866</v>
      </c>
      <c r="L6" s="9">
        <f t="shared" si="5"/>
        <v>-883.69770032896361</v>
      </c>
      <c r="M6" s="9">
        <f t="shared" si="5"/>
        <v>-892.5346773322533</v>
      </c>
      <c r="N6" s="9">
        <f t="shared" si="5"/>
        <v>-901.46002410557583</v>
      </c>
      <c r="O6" s="9">
        <f t="shared" si="5"/>
        <v>-910.47462434663157</v>
      </c>
      <c r="P6" s="9">
        <f t="shared" si="5"/>
        <v>-919.57937059009794</v>
      </c>
      <c r="Q6" s="9">
        <f t="shared" si="5"/>
        <v>-928.77516429599893</v>
      </c>
      <c r="R6" s="9">
        <f t="shared" si="5"/>
        <v>-938.06291593895889</v>
      </c>
      <c r="S6" s="9">
        <f t="shared" si="5"/>
        <v>-947.44354509834852</v>
      </c>
      <c r="T6" s="9">
        <f t="shared" si="5"/>
        <v>-956.91798054933201</v>
      </c>
      <c r="U6" s="9">
        <f t="shared" si="5"/>
        <v>-966.48716035482539</v>
      </c>
      <c r="V6" s="9">
        <f t="shared" si="5"/>
        <v>-976.15203195837364</v>
      </c>
      <c r="W6" s="9">
        <f t="shared" si="5"/>
        <v>-985.91355227795736</v>
      </c>
      <c r="X6" s="9">
        <f t="shared" si="5"/>
        <v>-995.772687800737</v>
      </c>
      <c r="Y6" s="9">
        <f t="shared" si="5"/>
        <v>-1005.7304146787444</v>
      </c>
      <c r="Z6" s="9">
        <f t="shared" si="5"/>
        <v>-1015.7877188255319</v>
      </c>
      <c r="AA6" s="9">
        <f t="shared" si="5"/>
        <v>-1025.9455960137873</v>
      </c>
      <c r="AB6" s="9">
        <f t="shared" si="5"/>
        <v>-1036.2050519739253</v>
      </c>
      <c r="AC6" s="9">
        <f t="shared" si="5"/>
        <v>-1046.5671024936646</v>
      </c>
      <c r="AD6" s="9">
        <f t="shared" si="5"/>
        <v>-1057.0327735186013</v>
      </c>
      <c r="AE6" s="9">
        <f t="shared" si="5"/>
        <v>-1067.6031012537874</v>
      </c>
      <c r="AF6" s="9">
        <f t="shared" si="5"/>
        <v>-1078.2791322663252</v>
      </c>
      <c r="AG6" s="9">
        <f t="shared" si="5"/>
        <v>-1089.0619235889885</v>
      </c>
      <c r="AI6" t="s">
        <v>27</v>
      </c>
      <c r="AJ6" s="2">
        <v>0.05</v>
      </c>
      <c r="AL6" s="1" t="s">
        <v>5</v>
      </c>
      <c r="AM6" t="s">
        <v>6</v>
      </c>
      <c r="AN6">
        <f>AJ2</f>
        <v>400000</v>
      </c>
    </row>
    <row r="7" spans="1:72" x14ac:dyDescent="0.2">
      <c r="A7" s="9" t="s">
        <v>25</v>
      </c>
      <c r="B7" s="9">
        <f>-AJ2*AJ6*AN3</f>
        <v>-20000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I7" t="s">
        <v>28</v>
      </c>
      <c r="AJ7" s="5">
        <v>0.01</v>
      </c>
      <c r="AK7">
        <f>AJ2*AJ7</f>
        <v>4000</v>
      </c>
      <c r="AM7" t="s">
        <v>2</v>
      </c>
      <c r="AN7">
        <f>AN3</f>
        <v>1</v>
      </c>
    </row>
    <row r="8" spans="1:72" x14ac:dyDescent="0.2">
      <c r="A8" s="12" t="s">
        <v>43</v>
      </c>
      <c r="B8" s="9">
        <v>0</v>
      </c>
      <c r="C8" s="9">
        <f>$B$7/5</f>
        <v>-4000</v>
      </c>
      <c r="D8" s="9">
        <f t="shared" ref="D8:G8" si="6">$B$7/5</f>
        <v>-4000</v>
      </c>
      <c r="E8" s="9">
        <f t="shared" si="6"/>
        <v>-4000</v>
      </c>
      <c r="F8" s="9">
        <f t="shared" si="6"/>
        <v>-4000</v>
      </c>
      <c r="G8" s="9">
        <f t="shared" si="6"/>
        <v>-4000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J8" s="5"/>
    </row>
    <row r="9" spans="1:72" x14ac:dyDescent="0.2">
      <c r="A9" s="12" t="s">
        <v>38</v>
      </c>
      <c r="B9" s="9">
        <f>-AJ2*AJ3</f>
        <v>-4000</v>
      </c>
      <c r="C9" s="9">
        <f>B9*(1+$AJ$4)</f>
        <v>-4040</v>
      </c>
      <c r="D9" s="9">
        <f t="shared" ref="D9:AG9" si="7">C9*(1+$AJ$4)</f>
        <v>-4080.4</v>
      </c>
      <c r="E9" s="9">
        <f t="shared" si="7"/>
        <v>-4121.2039999999997</v>
      </c>
      <c r="F9" s="9">
        <f t="shared" si="7"/>
        <v>-4162.4160400000001</v>
      </c>
      <c r="G9" s="9">
        <f t="shared" si="7"/>
        <v>-4204.0402003999998</v>
      </c>
      <c r="H9" s="9">
        <f t="shared" si="7"/>
        <v>-4246.0806024039994</v>
      </c>
      <c r="I9" s="9">
        <f t="shared" si="7"/>
        <v>-4288.5414084280392</v>
      </c>
      <c r="J9" s="9">
        <f t="shared" si="7"/>
        <v>-4331.4268225123196</v>
      </c>
      <c r="K9" s="9">
        <f t="shared" si="7"/>
        <v>-4374.7410907374433</v>
      </c>
      <c r="L9" s="9">
        <f t="shared" si="7"/>
        <v>-4418.4885016448179</v>
      </c>
      <c r="M9" s="9">
        <f t="shared" si="7"/>
        <v>-4462.6733866612658</v>
      </c>
      <c r="N9" s="9">
        <f t="shared" si="7"/>
        <v>-4507.3001205278788</v>
      </c>
      <c r="O9" s="9">
        <f t="shared" si="7"/>
        <v>-4552.3731217331579</v>
      </c>
      <c r="P9" s="9">
        <f t="shared" si="7"/>
        <v>-4597.8968529504891</v>
      </c>
      <c r="Q9" s="9">
        <f t="shared" si="7"/>
        <v>-4643.8758214799936</v>
      </c>
      <c r="R9" s="9">
        <f t="shared" si="7"/>
        <v>-4690.3145796947938</v>
      </c>
      <c r="S9" s="9">
        <f t="shared" si="7"/>
        <v>-4737.2177254917415</v>
      </c>
      <c r="T9" s="9">
        <f t="shared" si="7"/>
        <v>-4784.5899027466585</v>
      </c>
      <c r="U9" s="9">
        <f t="shared" si="7"/>
        <v>-4832.4358017741251</v>
      </c>
      <c r="V9" s="9">
        <f t="shared" si="7"/>
        <v>-4880.7601597918665</v>
      </c>
      <c r="W9" s="9">
        <f t="shared" si="7"/>
        <v>-4929.5677613897851</v>
      </c>
      <c r="X9" s="9">
        <f t="shared" si="7"/>
        <v>-4978.8634390036832</v>
      </c>
      <c r="Y9" s="9">
        <f t="shared" si="7"/>
        <v>-5028.6520733937205</v>
      </c>
      <c r="Z9" s="9">
        <f t="shared" si="7"/>
        <v>-5078.9385941276578</v>
      </c>
      <c r="AA9" s="9">
        <f t="shared" si="7"/>
        <v>-5129.7279800689348</v>
      </c>
      <c r="AB9" s="9">
        <f t="shared" si="7"/>
        <v>-5181.0252598696243</v>
      </c>
      <c r="AC9" s="9">
        <f t="shared" si="7"/>
        <v>-5232.8355124683203</v>
      </c>
      <c r="AD9" s="9">
        <f t="shared" si="7"/>
        <v>-5285.1638675930035</v>
      </c>
      <c r="AE9" s="9">
        <f t="shared" si="7"/>
        <v>-5338.0155062689337</v>
      </c>
      <c r="AF9" s="9">
        <f t="shared" si="7"/>
        <v>-5391.3956613316232</v>
      </c>
      <c r="AG9" s="9">
        <f t="shared" si="7"/>
        <v>-5445.3096179449394</v>
      </c>
      <c r="AJ9" s="5"/>
    </row>
    <row r="10" spans="1:72" x14ac:dyDescent="0.2">
      <c r="A10" s="9" t="s">
        <v>36</v>
      </c>
      <c r="B10" s="9">
        <f>-$AJ$10</f>
        <v>-200</v>
      </c>
      <c r="C10" s="9">
        <f>B10*(1+$AN$4)</f>
        <v>-204.99999999999997</v>
      </c>
      <c r="D10" s="9">
        <f t="shared" ref="D10:AG10" si="8">C10*(1+$AN$4)</f>
        <v>-210.12499999999994</v>
      </c>
      <c r="E10" s="9">
        <f t="shared" si="8"/>
        <v>-215.37812499999993</v>
      </c>
      <c r="F10" s="9">
        <f t="shared" si="8"/>
        <v>-220.76257812499992</v>
      </c>
      <c r="G10" s="9">
        <f t="shared" si="8"/>
        <v>-226.28164257812489</v>
      </c>
      <c r="H10" s="9">
        <f t="shared" si="8"/>
        <v>-231.93868364257798</v>
      </c>
      <c r="I10" s="9">
        <f t="shared" si="8"/>
        <v>-237.73715073364241</v>
      </c>
      <c r="J10" s="9">
        <f t="shared" si="8"/>
        <v>-243.68057950198346</v>
      </c>
      <c r="K10" s="9">
        <f t="shared" si="8"/>
        <v>-249.77259398953302</v>
      </c>
      <c r="L10" s="9">
        <f t="shared" si="8"/>
        <v>-256.01690883927131</v>
      </c>
      <c r="M10" s="9">
        <f t="shared" si="8"/>
        <v>-262.41733156025305</v>
      </c>
      <c r="N10" s="9">
        <f t="shared" si="8"/>
        <v>-268.97776484925936</v>
      </c>
      <c r="O10" s="9">
        <f t="shared" si="8"/>
        <v>-275.7022089704908</v>
      </c>
      <c r="P10" s="9">
        <f t="shared" si="8"/>
        <v>-282.59476419475305</v>
      </c>
      <c r="Q10" s="9">
        <f t="shared" si="8"/>
        <v>-289.65963329962187</v>
      </c>
      <c r="R10" s="9">
        <f t="shared" si="8"/>
        <v>-296.90112413211239</v>
      </c>
      <c r="S10" s="9">
        <f t="shared" si="8"/>
        <v>-304.32365223541518</v>
      </c>
      <c r="T10" s="9">
        <f t="shared" si="8"/>
        <v>-311.93174354130053</v>
      </c>
      <c r="U10" s="9">
        <f t="shared" si="8"/>
        <v>-319.73003712983302</v>
      </c>
      <c r="V10" s="9">
        <f t="shared" si="8"/>
        <v>-327.72328805807882</v>
      </c>
      <c r="W10" s="9">
        <f t="shared" si="8"/>
        <v>-335.91637025953077</v>
      </c>
      <c r="X10" s="9">
        <f t="shared" si="8"/>
        <v>-344.31427951601898</v>
      </c>
      <c r="Y10" s="9">
        <f t="shared" si="8"/>
        <v>-352.92213650391943</v>
      </c>
      <c r="Z10" s="9">
        <f t="shared" si="8"/>
        <v>-361.7451899165174</v>
      </c>
      <c r="AA10" s="9">
        <f t="shared" si="8"/>
        <v>-370.78881966443032</v>
      </c>
      <c r="AB10" s="9">
        <f t="shared" si="8"/>
        <v>-380.05854015604103</v>
      </c>
      <c r="AC10" s="9">
        <f t="shared" si="8"/>
        <v>-389.56000365994203</v>
      </c>
      <c r="AD10" s="9">
        <f t="shared" si="8"/>
        <v>-399.29900375144052</v>
      </c>
      <c r="AE10" s="9">
        <f t="shared" si="8"/>
        <v>-409.2814788452265</v>
      </c>
      <c r="AF10" s="9">
        <f t="shared" si="8"/>
        <v>-419.51351581635714</v>
      </c>
      <c r="AG10" s="9">
        <f t="shared" si="8"/>
        <v>-430.00135371176606</v>
      </c>
      <c r="AI10" t="s">
        <v>36</v>
      </c>
      <c r="AJ10" s="3">
        <f>200</f>
        <v>200</v>
      </c>
    </row>
    <row r="11" spans="1:72" x14ac:dyDescent="0.2">
      <c r="A11" s="9" t="s">
        <v>26</v>
      </c>
      <c r="B11" s="9">
        <v>0</v>
      </c>
      <c r="C11" s="9">
        <v>0</v>
      </c>
      <c r="D11" s="9">
        <f>-AN26</f>
        <v>-4000</v>
      </c>
      <c r="E11" s="9">
        <f>D11*(1+$AN$4)</f>
        <v>-4100</v>
      </c>
      <c r="F11" s="9">
        <f t="shared" ref="F11:AG11" si="9">E11*(1+$AN$4)</f>
        <v>-4202.5</v>
      </c>
      <c r="G11" s="9">
        <f t="shared" si="9"/>
        <v>-4307.5625</v>
      </c>
      <c r="H11" s="9">
        <f t="shared" si="9"/>
        <v>-4415.2515624999996</v>
      </c>
      <c r="I11" s="9">
        <f t="shared" si="9"/>
        <v>-4525.6328515624991</v>
      </c>
      <c r="J11" s="9">
        <f t="shared" si="9"/>
        <v>-4638.7736728515611</v>
      </c>
      <c r="K11" s="9">
        <f t="shared" si="9"/>
        <v>-4754.7430146728493</v>
      </c>
      <c r="L11" s="9">
        <f t="shared" si="9"/>
        <v>-4873.6115900396699</v>
      </c>
      <c r="M11" s="9">
        <f t="shared" si="9"/>
        <v>-4995.4518797906612</v>
      </c>
      <c r="N11" s="9">
        <f t="shared" si="9"/>
        <v>-5120.3381767854271</v>
      </c>
      <c r="O11" s="9">
        <f t="shared" si="9"/>
        <v>-5248.3466312050623</v>
      </c>
      <c r="P11" s="9">
        <f t="shared" si="9"/>
        <v>-5379.5552969851888</v>
      </c>
      <c r="Q11" s="9">
        <f t="shared" si="9"/>
        <v>-5514.0441794098178</v>
      </c>
      <c r="R11" s="9">
        <f t="shared" si="9"/>
        <v>-5651.8952838950627</v>
      </c>
      <c r="S11" s="9">
        <f t="shared" si="9"/>
        <v>-5793.1926659924384</v>
      </c>
      <c r="T11" s="9">
        <f t="shared" si="9"/>
        <v>-5938.0224826422491</v>
      </c>
      <c r="U11" s="9">
        <f t="shared" si="9"/>
        <v>-6086.4730447083048</v>
      </c>
      <c r="V11" s="9">
        <f t="shared" si="9"/>
        <v>-6238.634870826012</v>
      </c>
      <c r="W11" s="9">
        <f t="shared" si="9"/>
        <v>-6394.6007425966618</v>
      </c>
      <c r="X11" s="9">
        <f t="shared" si="9"/>
        <v>-6554.4657611615776</v>
      </c>
      <c r="Y11" s="9">
        <f t="shared" si="9"/>
        <v>-6718.3274051906164</v>
      </c>
      <c r="Z11" s="9">
        <f t="shared" si="9"/>
        <v>-6886.2855903203808</v>
      </c>
      <c r="AA11" s="9">
        <f t="shared" si="9"/>
        <v>-7058.44273007839</v>
      </c>
      <c r="AB11" s="9">
        <f t="shared" si="9"/>
        <v>-7234.9037983303488</v>
      </c>
      <c r="AC11" s="9">
        <f t="shared" si="9"/>
        <v>-7415.7763932886064</v>
      </c>
      <c r="AD11" s="9">
        <f t="shared" si="9"/>
        <v>-7601.1708031208209</v>
      </c>
      <c r="AE11" s="9">
        <f t="shared" si="9"/>
        <v>-7791.200073198841</v>
      </c>
      <c r="AF11" s="9">
        <f t="shared" si="9"/>
        <v>-7985.9800750288114</v>
      </c>
      <c r="AG11" s="9">
        <f t="shared" si="9"/>
        <v>-8185.6295769045309</v>
      </c>
      <c r="AI11" t="s">
        <v>29</v>
      </c>
      <c r="AJ11" s="2">
        <v>0.05</v>
      </c>
      <c r="AM11" t="s">
        <v>7</v>
      </c>
      <c r="AN11" s="2">
        <v>0.2</v>
      </c>
    </row>
    <row r="12" spans="1:72" ht="17" thickBot="1" x14ac:dyDescent="0.25">
      <c r="A12" s="10" t="s">
        <v>33</v>
      </c>
      <c r="B12" s="10">
        <v>0</v>
      </c>
      <c r="C12" s="10">
        <f>-AN28*12</f>
        <v>-9600</v>
      </c>
      <c r="D12" s="10">
        <f>C12*(1+$AN$4)</f>
        <v>-9840</v>
      </c>
      <c r="E12" s="10">
        <f t="shared" ref="E12:AG12" si="10">D12*(1+$AN$4)</f>
        <v>-10086</v>
      </c>
      <c r="F12" s="10">
        <f t="shared" si="10"/>
        <v>-10338.15</v>
      </c>
      <c r="G12" s="10">
        <f t="shared" si="10"/>
        <v>-10596.603749999998</v>
      </c>
      <c r="H12" s="10">
        <f t="shared" si="10"/>
        <v>-10861.518843749998</v>
      </c>
      <c r="I12" s="10">
        <f t="shared" si="10"/>
        <v>-11133.056814843747</v>
      </c>
      <c r="J12" s="10">
        <f t="shared" si="10"/>
        <v>-11411.38323521484</v>
      </c>
      <c r="K12" s="10">
        <f t="shared" si="10"/>
        <v>-11696.667816095211</v>
      </c>
      <c r="L12" s="10">
        <f t="shared" si="10"/>
        <v>-11989.084511497589</v>
      </c>
      <c r="M12" s="10">
        <f t="shared" si="10"/>
        <v>-12288.811624285028</v>
      </c>
      <c r="N12" s="10">
        <f t="shared" si="10"/>
        <v>-12596.031914892154</v>
      </c>
      <c r="O12" s="10">
        <f t="shared" si="10"/>
        <v>-12910.932712764456</v>
      </c>
      <c r="P12" s="10">
        <f t="shared" si="10"/>
        <v>-13233.706030583566</v>
      </c>
      <c r="Q12" s="10">
        <f t="shared" si="10"/>
        <v>-13564.548681348153</v>
      </c>
      <c r="R12" s="10">
        <f t="shared" si="10"/>
        <v>-13903.662398381855</v>
      </c>
      <c r="S12" s="10">
        <f t="shared" si="10"/>
        <v>-14251.2539583414</v>
      </c>
      <c r="T12" s="10">
        <f t="shared" si="10"/>
        <v>-14607.535307299933</v>
      </c>
      <c r="U12" s="10">
        <f t="shared" si="10"/>
        <v>-14972.723689982431</v>
      </c>
      <c r="V12" s="10">
        <f t="shared" si="10"/>
        <v>-15347.041782231991</v>
      </c>
      <c r="W12" s="10">
        <f t="shared" si="10"/>
        <v>-15730.71782678779</v>
      </c>
      <c r="X12" s="10">
        <f t="shared" si="10"/>
        <v>-16123.985772457483</v>
      </c>
      <c r="Y12" s="10">
        <f t="shared" si="10"/>
        <v>-16527.085416768918</v>
      </c>
      <c r="Z12" s="10">
        <f t="shared" si="10"/>
        <v>-16940.262552188138</v>
      </c>
      <c r="AA12" s="10">
        <f t="shared" si="10"/>
        <v>-17363.76911599284</v>
      </c>
      <c r="AB12" s="10">
        <f t="shared" si="10"/>
        <v>-17797.863343892659</v>
      </c>
      <c r="AC12" s="10">
        <f t="shared" si="10"/>
        <v>-18242.809927489972</v>
      </c>
      <c r="AD12" s="10">
        <f t="shared" si="10"/>
        <v>-18698.880175677219</v>
      </c>
      <c r="AE12" s="10">
        <f t="shared" si="10"/>
        <v>-19166.352180069149</v>
      </c>
      <c r="AF12" s="10">
        <f t="shared" si="10"/>
        <v>-19645.510984570876</v>
      </c>
      <c r="AG12" s="10">
        <f t="shared" si="10"/>
        <v>-20136.648759185147</v>
      </c>
      <c r="AI12" t="s">
        <v>30</v>
      </c>
      <c r="AM12" t="s">
        <v>12</v>
      </c>
      <c r="AN12" s="3">
        <f>AN6*AN7*(1-AN11)</f>
        <v>320000</v>
      </c>
    </row>
    <row r="13" spans="1:72" x14ac:dyDescent="0.2">
      <c r="A13" s="13" t="s">
        <v>39</v>
      </c>
      <c r="B13" s="13">
        <f>SUM(B2:B12)</f>
        <v>-106200</v>
      </c>
      <c r="C13" s="13">
        <f>SUM(C2:C12)</f>
        <v>4363.1741547270576</v>
      </c>
      <c r="D13" s="13">
        <f>SUM(D2:D12)</f>
        <v>1159.2049892374434</v>
      </c>
      <c r="E13" s="13">
        <f>SUM(E2:E12)</f>
        <v>1875.6783946105952</v>
      </c>
      <c r="F13" s="13">
        <f>SUM(F2:F12)</f>
        <v>2610.6071451180705</v>
      </c>
      <c r="G13" s="13">
        <f>SUM(G2:G12)</f>
        <v>3364.454240248233</v>
      </c>
      <c r="H13" s="13">
        <f>SUM(H2:H12)</f>
        <v>8137.6941560580435</v>
      </c>
      <c r="I13" s="13">
        <f>SUM(I2:I12)</f>
        <v>8930.8131276658078</v>
      </c>
      <c r="J13" s="13">
        <f>SUM(J2:J12)</f>
        <v>9744.3094386588255</v>
      </c>
      <c r="K13" s="13">
        <f>SUM(K2:K12)</f>
        <v>10578.693717584396</v>
      </c>
      <c r="L13" s="13">
        <f>SUM(L2:L12)</f>
        <v>11434.489241696509</v>
      </c>
      <c r="M13" s="13">
        <f>SUM(M2:M12)</f>
        <v>12312.23224813468</v>
      </c>
      <c r="N13" s="13">
        <f>SUM(N2:N12)</f>
        <v>13212.472252715814</v>
      </c>
      <c r="O13" s="13">
        <f>SUM(O2:O12)</f>
        <v>14135.772376524334</v>
      </c>
      <c r="P13" s="13">
        <f>SUM(P2:P12)</f>
        <v>15082.709680490138</v>
      </c>
      <c r="Q13" s="13">
        <f>SUM(Q2:Q12)</f>
        <v>16053.875508148585</v>
      </c>
      <c r="R13" s="13">
        <f>SUM(R2:R12)</f>
        <v>17049.875836781539</v>
      </c>
      <c r="S13" s="13">
        <f>SUM(S2:S12)</f>
        <v>18071.331637143216</v>
      </c>
      <c r="T13" s="13">
        <f>SUM(T2:T12)</f>
        <v>19118.879241979223</v>
      </c>
      <c r="U13" s="13">
        <f>SUM(U2:U12)</f>
        <v>20193.170723552921</v>
      </c>
      <c r="V13" s="13">
        <f>SUM(V2:V12)</f>
        <v>21294.87428039742</v>
      </c>
      <c r="W13" s="13">
        <f>SUM(W2:W12)</f>
        <v>22424.674633517803</v>
      </c>
      <c r="X13" s="13">
        <f>SUM(X2:X12)</f>
        <v>23583.273432272712</v>
      </c>
      <c r="Y13" s="13">
        <f>SUM(Y2:Y12)</f>
        <v>24771.389670170625</v>
      </c>
      <c r="Z13" s="13">
        <f>SUM(Z2:Z12)</f>
        <v>25989.760110821433</v>
      </c>
      <c r="AA13" s="13">
        <f>SUM(AA2:AA12)</f>
        <v>27239.139724289718</v>
      </c>
      <c r="AB13" s="13">
        <f>SUM(AB2:AB12)</f>
        <v>28520.302134102483</v>
      </c>
      <c r="AC13" s="13">
        <f>SUM(AC2:AC12)</f>
        <v>29834.040075169636</v>
      </c>
      <c r="AD13" s="13">
        <f>SUM(AD2:AD12)</f>
        <v>31181.165862882106</v>
      </c>
      <c r="AE13" s="13">
        <f>SUM(AE2:AE12)</f>
        <v>32562.511873658605</v>
      </c>
      <c r="AF13" s="13">
        <f>SUM(AF2:AF12)</f>
        <v>33978.931037219052</v>
      </c>
      <c r="AG13" s="13">
        <f>SUM(AG2:AG12)</f>
        <v>56247.756566557116</v>
      </c>
      <c r="AI13" t="s">
        <v>32</v>
      </c>
      <c r="AJ13">
        <v>-0.2</v>
      </c>
    </row>
    <row r="14" spans="1:72" x14ac:dyDescent="0.2">
      <c r="A14" s="12" t="s">
        <v>41</v>
      </c>
      <c r="B14" s="9">
        <v>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>
        <v>0</v>
      </c>
    </row>
    <row r="15" spans="1:72" x14ac:dyDescent="0.2">
      <c r="A15" s="12" t="s">
        <v>42</v>
      </c>
      <c r="B15" s="9">
        <f>B13-B14</f>
        <v>-106200</v>
      </c>
      <c r="C15" s="9">
        <f>C13-C14</f>
        <v>4363.1741547270576</v>
      </c>
      <c r="D15" s="9">
        <f t="shared" ref="D15:AG15" si="11">D13-D14</f>
        <v>1159.2049892374434</v>
      </c>
      <c r="E15" s="9">
        <f t="shared" si="11"/>
        <v>1875.6783946105952</v>
      </c>
      <c r="F15" s="9">
        <f t="shared" si="11"/>
        <v>2610.6071451180705</v>
      </c>
      <c r="G15" s="9">
        <f t="shared" si="11"/>
        <v>3364.454240248233</v>
      </c>
      <c r="H15" s="9">
        <f t="shared" si="11"/>
        <v>8137.6941560580435</v>
      </c>
      <c r="I15" s="9">
        <f t="shared" si="11"/>
        <v>8930.8131276658078</v>
      </c>
      <c r="J15" s="9">
        <f t="shared" si="11"/>
        <v>9744.3094386588255</v>
      </c>
      <c r="K15" s="9">
        <f t="shared" si="11"/>
        <v>10578.693717584396</v>
      </c>
      <c r="L15" s="9">
        <f t="shared" si="11"/>
        <v>11434.489241696509</v>
      </c>
      <c r="M15" s="9">
        <f t="shared" si="11"/>
        <v>12312.23224813468</v>
      </c>
      <c r="N15" s="9">
        <f t="shared" si="11"/>
        <v>13212.472252715814</v>
      </c>
      <c r="O15" s="9">
        <f t="shared" si="11"/>
        <v>14135.772376524334</v>
      </c>
      <c r="P15" s="9">
        <f t="shared" si="11"/>
        <v>15082.709680490138</v>
      </c>
      <c r="Q15" s="9">
        <f t="shared" si="11"/>
        <v>16053.875508148585</v>
      </c>
      <c r="R15" s="9">
        <f t="shared" si="11"/>
        <v>17049.875836781539</v>
      </c>
      <c r="S15" s="9">
        <f t="shared" si="11"/>
        <v>18071.331637143216</v>
      </c>
      <c r="T15" s="9">
        <f t="shared" si="11"/>
        <v>19118.879241979223</v>
      </c>
      <c r="U15" s="9">
        <f t="shared" si="11"/>
        <v>20193.170723552921</v>
      </c>
      <c r="V15" s="9">
        <f t="shared" si="11"/>
        <v>21294.87428039742</v>
      </c>
      <c r="W15" s="9">
        <f t="shared" si="11"/>
        <v>22424.674633517803</v>
      </c>
      <c r="X15" s="9">
        <f t="shared" si="11"/>
        <v>23583.273432272712</v>
      </c>
      <c r="Y15" s="9">
        <f t="shared" si="11"/>
        <v>24771.389670170625</v>
      </c>
      <c r="Z15" s="9">
        <f t="shared" si="11"/>
        <v>25989.760110821433</v>
      </c>
      <c r="AA15" s="9">
        <f t="shared" si="11"/>
        <v>27239.139724289718</v>
      </c>
      <c r="AB15" s="9">
        <f t="shared" si="11"/>
        <v>28520.302134102483</v>
      </c>
      <c r="AC15" s="9">
        <f t="shared" si="11"/>
        <v>29834.040075169636</v>
      </c>
      <c r="AD15" s="9">
        <f t="shared" si="11"/>
        <v>31181.165862882106</v>
      </c>
      <c r="AE15" s="9">
        <f t="shared" si="11"/>
        <v>32562.511873658605</v>
      </c>
      <c r="AF15" s="9">
        <f t="shared" si="11"/>
        <v>33978.931037219052</v>
      </c>
      <c r="AG15" s="9">
        <f t="shared" si="11"/>
        <v>56247.756566557116</v>
      </c>
    </row>
    <row r="16" spans="1:72" ht="17" thickBot="1" x14ac:dyDescent="0.25">
      <c r="A16" s="14" t="s">
        <v>40</v>
      </c>
      <c r="B16" s="10"/>
      <c r="C16" s="10">
        <f>C15*$AJ$1</f>
        <v>1308.9522464181173</v>
      </c>
      <c r="D16" s="10">
        <f t="shared" ref="D16:AG16" si="12">D15*$AJ$1</f>
        <v>347.761496771233</v>
      </c>
      <c r="E16" s="10">
        <f t="shared" si="12"/>
        <v>562.70351838317856</v>
      </c>
      <c r="F16" s="10">
        <f t="shared" si="12"/>
        <v>783.18214353542112</v>
      </c>
      <c r="G16" s="10">
        <f t="shared" si="12"/>
        <v>1009.3362720744699</v>
      </c>
      <c r="H16" s="10">
        <f t="shared" si="12"/>
        <v>2441.308246817413</v>
      </c>
      <c r="I16" s="10">
        <f t="shared" si="12"/>
        <v>2679.2439382997422</v>
      </c>
      <c r="J16" s="10">
        <f t="shared" si="12"/>
        <v>2923.2928315976474</v>
      </c>
      <c r="K16" s="10">
        <f t="shared" si="12"/>
        <v>3173.6081152753186</v>
      </c>
      <c r="L16" s="10">
        <f t="shared" si="12"/>
        <v>3430.3467725089527</v>
      </c>
      <c r="M16" s="10">
        <f t="shared" si="12"/>
        <v>3693.6696744404039</v>
      </c>
      <c r="N16" s="10">
        <f t="shared" si="12"/>
        <v>3963.7416758147438</v>
      </c>
      <c r="O16" s="10">
        <f t="shared" si="12"/>
        <v>4240.7317129573003</v>
      </c>
      <c r="P16" s="10">
        <f t="shared" si="12"/>
        <v>4524.8129041470411</v>
      </c>
      <c r="Q16" s="10">
        <f t="shared" si="12"/>
        <v>4816.1626524445755</v>
      </c>
      <c r="R16" s="10">
        <f t="shared" si="12"/>
        <v>5114.9627510344617</v>
      </c>
      <c r="S16" s="10">
        <f t="shared" si="12"/>
        <v>5421.3994911429645</v>
      </c>
      <c r="T16" s="10">
        <f t="shared" si="12"/>
        <v>5735.6637725937662</v>
      </c>
      <c r="U16" s="10">
        <f t="shared" si="12"/>
        <v>6057.9512170658763</v>
      </c>
      <c r="V16" s="10">
        <f t="shared" si="12"/>
        <v>6388.4622841192258</v>
      </c>
      <c r="W16" s="10">
        <f t="shared" si="12"/>
        <v>6727.4023900553411</v>
      </c>
      <c r="X16" s="10">
        <f t="shared" si="12"/>
        <v>7074.9820296818134</v>
      </c>
      <c r="Y16" s="10">
        <f t="shared" si="12"/>
        <v>7431.4169010511869</v>
      </c>
      <c r="Z16" s="10">
        <f t="shared" si="12"/>
        <v>7796.9280332464295</v>
      </c>
      <c r="AA16" s="10">
        <f t="shared" si="12"/>
        <v>8171.7419172869149</v>
      </c>
      <c r="AB16" s="10">
        <f t="shared" si="12"/>
        <v>8556.0906402307446</v>
      </c>
      <c r="AC16" s="10">
        <f t="shared" si="12"/>
        <v>8950.2120225508897</v>
      </c>
      <c r="AD16" s="10">
        <f t="shared" si="12"/>
        <v>9354.3497588646314</v>
      </c>
      <c r="AE16" s="10">
        <f t="shared" si="12"/>
        <v>9768.7535620975814</v>
      </c>
      <c r="AF16" s="10">
        <f t="shared" si="12"/>
        <v>10193.679311165715</v>
      </c>
      <c r="AG16" s="10">
        <f t="shared" si="12"/>
        <v>16874.326969967133</v>
      </c>
      <c r="AI16" t="s">
        <v>31</v>
      </c>
      <c r="AJ16" s="7">
        <f>AJ11*EXP(-AJ13)</f>
        <v>6.1070137908008498E-2</v>
      </c>
      <c r="AL16" s="1" t="s">
        <v>8</v>
      </c>
      <c r="AM16" t="s">
        <v>10</v>
      </c>
      <c r="AN16">
        <v>1734.7049354740443</v>
      </c>
    </row>
    <row r="17" spans="1:41" x14ac:dyDescent="0.2">
      <c r="A17" s="12" t="s">
        <v>37</v>
      </c>
      <c r="B17">
        <f>B15-B16</f>
        <v>-106200</v>
      </c>
      <c r="C17">
        <f t="shared" ref="C17:E17" si="13">C15-C16</f>
        <v>3054.2219083089403</v>
      </c>
      <c r="D17">
        <f t="shared" si="13"/>
        <v>811.4434924662105</v>
      </c>
      <c r="E17">
        <f t="shared" si="13"/>
        <v>1312.9748762274166</v>
      </c>
      <c r="F17">
        <f t="shared" ref="F17" si="14">F15-F16</f>
        <v>1827.4250015826494</v>
      </c>
      <c r="G17">
        <f t="shared" ref="G17" si="15">G15-G16</f>
        <v>2355.1179681737631</v>
      </c>
      <c r="H17">
        <f t="shared" ref="H17" si="16">H15-H16</f>
        <v>5696.385909240631</v>
      </c>
      <c r="I17">
        <f t="shared" ref="I17" si="17">I15-I16</f>
        <v>6251.569189366066</v>
      </c>
      <c r="J17">
        <f t="shared" ref="J17" si="18">J15-J16</f>
        <v>6821.0166070611776</v>
      </c>
      <c r="K17">
        <f t="shared" ref="K17" si="19">K15-K16</f>
        <v>7405.0856023090773</v>
      </c>
      <c r="L17">
        <f t="shared" ref="L17" si="20">L15-L16</f>
        <v>8004.1424691875563</v>
      </c>
      <c r="M17">
        <f t="shared" ref="M17" si="21">M15-M16</f>
        <v>8618.5625736942766</v>
      </c>
      <c r="N17">
        <f t="shared" ref="N17" si="22">N15-N16</f>
        <v>9248.7305769010709</v>
      </c>
      <c r="O17">
        <f t="shared" ref="O17" si="23">O15-O16</f>
        <v>9895.0406635670333</v>
      </c>
      <c r="P17">
        <f t="shared" ref="P17" si="24">P15-P16</f>
        <v>10557.896776343096</v>
      </c>
      <c r="Q17">
        <f t="shared" ref="Q17" si="25">Q15-Q16</f>
        <v>11237.712855704009</v>
      </c>
      <c r="R17">
        <f t="shared" ref="R17" si="26">R15-R16</f>
        <v>11934.913085747077</v>
      </c>
      <c r="S17">
        <f t="shared" ref="S17" si="27">S15-S16</f>
        <v>12649.93214600025</v>
      </c>
      <c r="T17">
        <f t="shared" ref="T17" si="28">T15-T16</f>
        <v>13383.215469385457</v>
      </c>
      <c r="U17">
        <f t="shared" ref="U17" si="29">U15-U16</f>
        <v>14135.219506487045</v>
      </c>
      <c r="V17">
        <f t="shared" ref="V17" si="30">V15-V16</f>
        <v>14906.411996278195</v>
      </c>
      <c r="W17">
        <f t="shared" ref="W17" si="31">W15-W16</f>
        <v>15697.272243462463</v>
      </c>
      <c r="X17">
        <f t="shared" ref="X17" si="32">X15-X16</f>
        <v>16508.291402590898</v>
      </c>
      <c r="Y17">
        <f t="shared" ref="Y17" si="33">Y15-Y16</f>
        <v>17339.972769119438</v>
      </c>
      <c r="Z17">
        <f t="shared" ref="Z17" si="34">Z15-Z16</f>
        <v>18192.832077575003</v>
      </c>
      <c r="AA17">
        <f t="shared" ref="AA17" si="35">AA15-AA16</f>
        <v>19067.397807002802</v>
      </c>
      <c r="AB17">
        <f t="shared" ref="AB17" si="36">AB15-AB16</f>
        <v>19964.211493871739</v>
      </c>
      <c r="AC17">
        <f t="shared" ref="AC17" si="37">AC15-AC16</f>
        <v>20883.828052618745</v>
      </c>
      <c r="AD17">
        <f t="shared" ref="AD17" si="38">AD15-AD16</f>
        <v>21826.816104017475</v>
      </c>
      <c r="AE17">
        <f t="shared" ref="AE17" si="39">AE15-AE16</f>
        <v>22793.758311561025</v>
      </c>
      <c r="AF17">
        <f t="shared" ref="AF17" si="40">AF15-AF16</f>
        <v>23785.251726053335</v>
      </c>
      <c r="AG17">
        <f t="shared" ref="AG17" si="41">AG15-AG16</f>
        <v>39373.42959658998</v>
      </c>
      <c r="AI17" s="8" t="s">
        <v>34</v>
      </c>
      <c r="AJ17" s="2">
        <v>0.2</v>
      </c>
      <c r="AK17">
        <f>AN2*AJ17</f>
        <v>800</v>
      </c>
      <c r="AM17" t="s">
        <v>11</v>
      </c>
      <c r="AN17" s="2">
        <v>0.05</v>
      </c>
    </row>
    <row r="18" spans="1:41" ht="17" thickBot="1" x14ac:dyDescent="0.25">
      <c r="A18" s="14" t="s">
        <v>43</v>
      </c>
      <c r="B18" s="10">
        <v>0</v>
      </c>
      <c r="C18" s="10">
        <f>-C8</f>
        <v>4000</v>
      </c>
      <c r="D18" s="10">
        <f t="shared" ref="D18:AG18" si="42">-D8</f>
        <v>4000</v>
      </c>
      <c r="E18" s="10">
        <f t="shared" si="42"/>
        <v>4000</v>
      </c>
      <c r="F18" s="10">
        <f t="shared" si="42"/>
        <v>4000</v>
      </c>
      <c r="G18" s="10">
        <f t="shared" si="42"/>
        <v>4000</v>
      </c>
      <c r="H18" s="10">
        <f t="shared" si="42"/>
        <v>0</v>
      </c>
      <c r="I18" s="10">
        <f t="shared" si="42"/>
        <v>0</v>
      </c>
      <c r="J18" s="10">
        <f t="shared" si="42"/>
        <v>0</v>
      </c>
      <c r="K18" s="10">
        <f t="shared" si="42"/>
        <v>0</v>
      </c>
      <c r="L18" s="10">
        <f t="shared" si="42"/>
        <v>0</v>
      </c>
      <c r="M18" s="10">
        <f t="shared" si="42"/>
        <v>0</v>
      </c>
      <c r="N18" s="10">
        <f t="shared" si="42"/>
        <v>0</v>
      </c>
      <c r="O18" s="10">
        <f t="shared" si="42"/>
        <v>0</v>
      </c>
      <c r="P18" s="10">
        <f t="shared" si="42"/>
        <v>0</v>
      </c>
      <c r="Q18" s="10">
        <f t="shared" si="42"/>
        <v>0</v>
      </c>
      <c r="R18" s="10">
        <f t="shared" si="42"/>
        <v>0</v>
      </c>
      <c r="S18" s="10">
        <f t="shared" si="42"/>
        <v>0</v>
      </c>
      <c r="T18" s="10">
        <f t="shared" si="42"/>
        <v>0</v>
      </c>
      <c r="U18" s="10">
        <f t="shared" si="42"/>
        <v>0</v>
      </c>
      <c r="V18" s="10">
        <f t="shared" si="42"/>
        <v>0</v>
      </c>
      <c r="W18" s="10">
        <f t="shared" si="42"/>
        <v>0</v>
      </c>
      <c r="X18" s="10">
        <f t="shared" si="42"/>
        <v>0</v>
      </c>
      <c r="Y18" s="10">
        <f t="shared" si="42"/>
        <v>0</v>
      </c>
      <c r="Z18" s="10">
        <f t="shared" si="42"/>
        <v>0</v>
      </c>
      <c r="AA18" s="10">
        <f t="shared" si="42"/>
        <v>0</v>
      </c>
      <c r="AB18" s="10">
        <f t="shared" si="42"/>
        <v>0</v>
      </c>
      <c r="AC18" s="10">
        <f t="shared" si="42"/>
        <v>0</v>
      </c>
      <c r="AD18" s="10">
        <f t="shared" si="42"/>
        <v>0</v>
      </c>
      <c r="AE18" s="10">
        <f t="shared" si="42"/>
        <v>0</v>
      </c>
      <c r="AF18" s="10">
        <f t="shared" si="42"/>
        <v>0</v>
      </c>
      <c r="AG18" s="10">
        <f t="shared" si="42"/>
        <v>0</v>
      </c>
    </row>
    <row r="19" spans="1:41" x14ac:dyDescent="0.2">
      <c r="A19" s="12" t="s">
        <v>44</v>
      </c>
      <c r="B19">
        <f>B17+B18</f>
        <v>-106200</v>
      </c>
      <c r="C19">
        <f t="shared" ref="C19:AG19" si="43">C17+C18</f>
        <v>7054.2219083089403</v>
      </c>
      <c r="D19">
        <f t="shared" si="43"/>
        <v>4811.443492466211</v>
      </c>
      <c r="E19">
        <f t="shared" si="43"/>
        <v>5312.9748762274166</v>
      </c>
      <c r="F19">
        <f t="shared" si="43"/>
        <v>5827.4250015826492</v>
      </c>
      <c r="G19">
        <f t="shared" si="43"/>
        <v>6355.1179681737631</v>
      </c>
      <c r="H19">
        <f t="shared" si="43"/>
        <v>5696.385909240631</v>
      </c>
      <c r="I19">
        <f t="shared" si="43"/>
        <v>6251.569189366066</v>
      </c>
      <c r="J19">
        <f t="shared" si="43"/>
        <v>6821.0166070611776</v>
      </c>
      <c r="K19">
        <f t="shared" si="43"/>
        <v>7405.0856023090773</v>
      </c>
      <c r="L19">
        <f t="shared" si="43"/>
        <v>8004.1424691875563</v>
      </c>
      <c r="M19">
        <f t="shared" si="43"/>
        <v>8618.5625736942766</v>
      </c>
      <c r="N19">
        <f t="shared" si="43"/>
        <v>9248.7305769010709</v>
      </c>
      <c r="O19">
        <f t="shared" si="43"/>
        <v>9895.0406635670333</v>
      </c>
      <c r="P19">
        <f t="shared" si="43"/>
        <v>10557.896776343096</v>
      </c>
      <c r="Q19">
        <f t="shared" si="43"/>
        <v>11237.712855704009</v>
      </c>
      <c r="R19">
        <f t="shared" si="43"/>
        <v>11934.913085747077</v>
      </c>
      <c r="S19">
        <f t="shared" si="43"/>
        <v>12649.93214600025</v>
      </c>
      <c r="T19">
        <f t="shared" si="43"/>
        <v>13383.215469385457</v>
      </c>
      <c r="U19">
        <f t="shared" si="43"/>
        <v>14135.219506487045</v>
      </c>
      <c r="V19">
        <f t="shared" si="43"/>
        <v>14906.411996278195</v>
      </c>
      <c r="W19">
        <f t="shared" si="43"/>
        <v>15697.272243462463</v>
      </c>
      <c r="X19">
        <f t="shared" si="43"/>
        <v>16508.291402590898</v>
      </c>
      <c r="Y19">
        <f t="shared" si="43"/>
        <v>17339.972769119438</v>
      </c>
      <c r="Z19">
        <f t="shared" si="43"/>
        <v>18192.832077575003</v>
      </c>
      <c r="AA19">
        <f t="shared" si="43"/>
        <v>19067.397807002802</v>
      </c>
      <c r="AB19">
        <f t="shared" si="43"/>
        <v>19964.211493871739</v>
      </c>
      <c r="AC19">
        <f t="shared" si="43"/>
        <v>20883.828052618745</v>
      </c>
      <c r="AD19">
        <f t="shared" si="43"/>
        <v>21826.816104017475</v>
      </c>
      <c r="AE19">
        <f t="shared" si="43"/>
        <v>22793.758311561025</v>
      </c>
      <c r="AF19">
        <f t="shared" si="43"/>
        <v>23785.251726053335</v>
      </c>
      <c r="AG19">
        <f t="shared" si="43"/>
        <v>39373.42959658998</v>
      </c>
      <c r="AI19" t="s">
        <v>46</v>
      </c>
      <c r="AJ19" s="2">
        <v>0.03</v>
      </c>
      <c r="AL19" s="1" t="s">
        <v>17</v>
      </c>
      <c r="AM19" t="s">
        <v>6</v>
      </c>
      <c r="AN19">
        <f>AN6</f>
        <v>400000</v>
      </c>
    </row>
    <row r="20" spans="1:41" x14ac:dyDescent="0.2">
      <c r="A20" s="12" t="s">
        <v>45</v>
      </c>
      <c r="B20" s="3">
        <f>NPV(AN17,C19:AF19,AG19+AG20)-B19</f>
        <v>720095.74415078689</v>
      </c>
      <c r="AG20">
        <f>AG19*(1+AJ19)/(AN17-AJ19)</f>
        <v>2027731.6242243836</v>
      </c>
      <c r="AM20" t="s">
        <v>2</v>
      </c>
      <c r="AN20">
        <f>AN7</f>
        <v>1</v>
      </c>
    </row>
    <row r="21" spans="1:41" x14ac:dyDescent="0.2">
      <c r="AM21" t="s">
        <v>18</v>
      </c>
      <c r="AN21" s="4">
        <v>3.0000000000000001E-3</v>
      </c>
      <c r="AO21">
        <f>AN19*AN21</f>
        <v>1200</v>
      </c>
    </row>
    <row r="22" spans="1:41" x14ac:dyDescent="0.2">
      <c r="AM22" t="s">
        <v>19</v>
      </c>
      <c r="AN22" s="6">
        <f>3%</f>
        <v>0.03</v>
      </c>
    </row>
    <row r="24" spans="1:41" x14ac:dyDescent="0.2">
      <c r="AL24" s="1" t="s">
        <v>20</v>
      </c>
      <c r="AN24">
        <f>AK5</f>
        <v>800</v>
      </c>
    </row>
    <row r="26" spans="1:41" x14ac:dyDescent="0.2">
      <c r="AL26" s="1" t="s">
        <v>26</v>
      </c>
      <c r="AN26">
        <f>AK7</f>
        <v>4000</v>
      </c>
    </row>
    <row r="28" spans="1:41" x14ac:dyDescent="0.2">
      <c r="AL28" s="1" t="s">
        <v>33</v>
      </c>
      <c r="AN28">
        <f>AK17</f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 He</dc:creator>
  <cp:lastModifiedBy>Zian He</cp:lastModifiedBy>
  <dcterms:created xsi:type="dcterms:W3CDTF">2023-04-19T18:05:53Z</dcterms:created>
  <dcterms:modified xsi:type="dcterms:W3CDTF">2023-04-19T23:50:26Z</dcterms:modified>
</cp:coreProperties>
</file>