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2d2f512c662d33/University/Solar Car/Braking/"/>
    </mc:Choice>
  </mc:AlternateContent>
  <xr:revisionPtr revIDLastSave="1961" documentId="8_{1809EE76-C43C-428C-9594-536FCC1FF56E}" xr6:coauthVersionLast="47" xr6:coauthVersionMax="47" xr10:uidLastSave="{48673AA5-B741-42E1-9F3F-AE77762D6EC5}"/>
  <bookViews>
    <workbookView xWindow="-108" yWindow="-108" windowWidth="23256" windowHeight="12576" xr2:uid="{7C7A7E79-9582-4DB2-B706-23EABC9EE58D}"/>
  </bookViews>
  <sheets>
    <sheet name="Brake Calc" sheetId="1" r:id="rId1"/>
    <sheet name="Brake Calc (with rear)" sheetId="13" r:id="rId2"/>
    <sheet name="Sheet3" sheetId="21" r:id="rId3"/>
    <sheet name="Parking Brake Calc" sheetId="12" r:id="rId4"/>
    <sheet name="Mass Breakdown" sheetId="22" r:id="rId5"/>
    <sheet name="Fake BoM " sheetId="15" r:id="rId6"/>
    <sheet name="Sheet4" sheetId="23" r:id="rId7"/>
    <sheet name="Rear Rotor " sheetId="18" r:id="rId8"/>
    <sheet name="Sheet1" sheetId="16" r:id="rId9"/>
    <sheet name="Miscellaneous" sheetId="14" r:id="rId10"/>
    <sheet name="Bolt " sheetId="19" r:id="rId11"/>
    <sheet name="Sheet5" sheetId="24" r:id="rId12"/>
    <sheet name="Sheet2" sheetId="20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2" l="1"/>
  <c r="K3" i="13" l="1"/>
  <c r="B89" i="13"/>
  <c r="K12" i="13"/>
  <c r="E17" i="23"/>
  <c r="E16" i="23"/>
  <c r="E15" i="23"/>
  <c r="E14" i="23"/>
  <c r="E13" i="23"/>
  <c r="D13" i="23"/>
  <c r="D14" i="23"/>
  <c r="B13" i="12"/>
  <c r="B26" i="12"/>
  <c r="D3" i="22"/>
  <c r="D4" i="22"/>
  <c r="D5" i="22"/>
  <c r="D6" i="22"/>
  <c r="D7" i="22"/>
  <c r="D2" i="22"/>
  <c r="C5" i="22"/>
  <c r="C3" i="22"/>
  <c r="C4" i="22"/>
  <c r="C2" i="22"/>
  <c r="B17" i="1"/>
  <c r="C6" i="14"/>
  <c r="B47" i="13"/>
  <c r="J10" i="15"/>
  <c r="J11" i="15"/>
  <c r="J9" i="15"/>
  <c r="I10" i="15"/>
  <c r="I11" i="15"/>
  <c r="I9" i="15"/>
  <c r="F11" i="15"/>
  <c r="F10" i="15"/>
  <c r="F9" i="15"/>
  <c r="J5" i="15"/>
  <c r="I5" i="15"/>
  <c r="B50" i="13"/>
  <c r="H6" i="14"/>
  <c r="A100" i="1"/>
  <c r="B41" i="1"/>
  <c r="C19" i="14"/>
  <c r="I4" i="15"/>
  <c r="J4" i="15"/>
  <c r="J8" i="15"/>
  <c r="I8" i="15"/>
  <c r="J7" i="15"/>
  <c r="I7" i="15"/>
  <c r="J6" i="15"/>
  <c r="I6" i="15"/>
  <c r="J3" i="15"/>
  <c r="I3" i="15"/>
  <c r="C22" i="14"/>
  <c r="H9" i="14"/>
  <c r="C9" i="14"/>
  <c r="B70" i="13"/>
  <c r="B83" i="13"/>
  <c r="B69" i="13"/>
  <c r="B85" i="13"/>
  <c r="B60" i="13"/>
  <c r="B63" i="13" s="1"/>
  <c r="B66" i="13" s="1"/>
  <c r="B73" i="13" s="1"/>
  <c r="B22" i="13"/>
  <c r="B17" i="13"/>
  <c r="B39" i="1"/>
  <c r="B22" i="1"/>
  <c r="B51" i="1"/>
  <c r="B54" i="1" s="1"/>
  <c r="B57" i="1" s="1"/>
  <c r="B64" i="1" s="1"/>
  <c r="B61" i="1"/>
  <c r="B74" i="1"/>
  <c r="B60" i="1"/>
  <c r="B76" i="1"/>
  <c r="J12" i="15"/>
  <c r="B27" i="12" l="1"/>
  <c r="B77" i="13"/>
  <c r="B79" i="13"/>
  <c r="B91" i="13" s="1"/>
  <c r="B23" i="13"/>
  <c r="B33" i="13" s="1"/>
  <c r="B34" i="13" s="1"/>
  <c r="B37" i="13" s="1"/>
  <c r="B43" i="13" s="1"/>
  <c r="B51" i="13" s="1"/>
  <c r="B56" i="13" s="1"/>
  <c r="B70" i="1"/>
  <c r="B82" i="1" s="1"/>
  <c r="B68" i="1"/>
  <c r="B80" i="1" s="1"/>
  <c r="B22" i="12"/>
  <c r="B23" i="1"/>
  <c r="B28" i="1" s="1"/>
  <c r="B29" i="1" s="1"/>
  <c r="B33" i="1" s="1"/>
  <c r="B36" i="1" s="1"/>
  <c r="B42" i="1" s="1"/>
  <c r="B47" i="1" s="1"/>
  <c r="B33" i="12" l="1"/>
  <c r="B38" i="12" s="1"/>
  <c r="B39" i="12" s="1"/>
  <c r="B29" i="13"/>
  <c r="B30" i="13" s="1"/>
  <c r="B36" i="13" s="1"/>
  <c r="B41" i="13" s="1"/>
  <c r="B48" i="13" s="1"/>
  <c r="J18" i="1"/>
  <c r="B40" i="1"/>
  <c r="B46" i="1" s="1"/>
  <c r="B48" i="1" s="1"/>
  <c r="B85" i="1" s="1"/>
  <c r="B55" i="13" l="1"/>
  <c r="B57" i="13" s="1"/>
  <c r="K3" i="1"/>
  <c r="K5" i="1" s="1"/>
  <c r="B109" i="13" l="1"/>
  <c r="B94" i="13"/>
  <c r="B103" i="13" s="1"/>
  <c r="K6" i="13"/>
  <c r="N9" i="1"/>
  <c r="B99" i="13" l="1"/>
  <c r="K5" i="13"/>
  <c r="B112" i="13"/>
  <c r="B111" i="13"/>
</calcChain>
</file>

<file path=xl/sharedStrings.xml><?xml version="1.0" encoding="utf-8"?>
<sst xmlns="http://schemas.openxmlformats.org/spreadsheetml/2006/main" count="463" uniqueCount="221">
  <si>
    <t>Fd</t>
  </si>
  <si>
    <t>l2/l1</t>
  </si>
  <si>
    <t xml:space="preserve">Fbp </t>
  </si>
  <si>
    <t>Amc</t>
  </si>
  <si>
    <t>Pmc</t>
  </si>
  <si>
    <t xml:space="preserve">Force Generated by caliper pistons </t>
  </si>
  <si>
    <t>Acal</t>
  </si>
  <si>
    <t>Pcal</t>
  </si>
  <si>
    <t xml:space="preserve">Fcal </t>
  </si>
  <si>
    <t xml:space="preserve">Caliper Clamp Load </t>
  </si>
  <si>
    <t xml:space="preserve">Fcl </t>
  </si>
  <si>
    <t>Force on dics by brake pads</t>
  </si>
  <si>
    <t xml:space="preserve">µbp </t>
  </si>
  <si>
    <t>Ffriction</t>
  </si>
  <si>
    <t>Torque of rotor</t>
  </si>
  <si>
    <t xml:space="preserve">Reff </t>
  </si>
  <si>
    <t>Tr</t>
  </si>
  <si>
    <t xml:space="preserve">Force on a tire </t>
  </si>
  <si>
    <t>Rt</t>
  </si>
  <si>
    <t>Ftire(front)</t>
  </si>
  <si>
    <t>Ftire(rear)</t>
  </si>
  <si>
    <t xml:space="preserve">Total force </t>
  </si>
  <si>
    <t>CGf</t>
  </si>
  <si>
    <t>CGr</t>
  </si>
  <si>
    <t>WB</t>
  </si>
  <si>
    <t>hcg</t>
  </si>
  <si>
    <t>Vt</t>
  </si>
  <si>
    <t>Vr</t>
  </si>
  <si>
    <t>Vf</t>
  </si>
  <si>
    <t xml:space="preserve">Dynamics absolute weight transferred </t>
  </si>
  <si>
    <t>v</t>
  </si>
  <si>
    <t xml:space="preserve">m </t>
  </si>
  <si>
    <t xml:space="preserve">Kinetic energy of the vehicle </t>
  </si>
  <si>
    <t>KE</t>
  </si>
  <si>
    <t xml:space="preserve">Stopping Distance </t>
  </si>
  <si>
    <t>ds</t>
  </si>
  <si>
    <t>Deceleration</t>
  </si>
  <si>
    <t>av</t>
  </si>
  <si>
    <t>WT</t>
  </si>
  <si>
    <t xml:space="preserve">Dynamic Vertical Force </t>
  </si>
  <si>
    <t xml:space="preserve">Front Axle </t>
  </si>
  <si>
    <t xml:space="preserve">Rear Axle </t>
  </si>
  <si>
    <t>Vf,d</t>
  </si>
  <si>
    <t>Vr,d</t>
  </si>
  <si>
    <t>Effect of weight transfer on Tire Output</t>
  </si>
  <si>
    <t>Front Tire</t>
  </si>
  <si>
    <t xml:space="preserve">Rear tire </t>
  </si>
  <si>
    <t>µpeak</t>
  </si>
  <si>
    <t>Ftire,f</t>
  </si>
  <si>
    <t>Ftire,r</t>
  </si>
  <si>
    <t>Maximum Braking Force Produced by axle</t>
  </si>
  <si>
    <t xml:space="preserve">Braking Efficiency </t>
  </si>
  <si>
    <t>Ƞ</t>
  </si>
  <si>
    <t>Pedal Ratio</t>
  </si>
  <si>
    <t xml:space="preserve">Effective area of the master cylinder </t>
  </si>
  <si>
    <t xml:space="preserve">Distance between front axle to CG </t>
  </si>
  <si>
    <t xml:space="preserve">Distance between rear axle to CG </t>
  </si>
  <si>
    <t xml:space="preserve">Distance between front axle to rear axle </t>
  </si>
  <si>
    <t>Height of centre of gravity</t>
  </si>
  <si>
    <t>Weight of Vehicle</t>
  </si>
  <si>
    <t>Mass of Vehicle</t>
  </si>
  <si>
    <t>Unit</t>
  </si>
  <si>
    <t>km/h</t>
  </si>
  <si>
    <t>kg</t>
  </si>
  <si>
    <t>m</t>
  </si>
  <si>
    <t>N</t>
  </si>
  <si>
    <t>-</t>
  </si>
  <si>
    <t>m^2</t>
  </si>
  <si>
    <t>Pa</t>
  </si>
  <si>
    <t>J</t>
  </si>
  <si>
    <t>m/s^2</t>
  </si>
  <si>
    <t>Brake Calculation - Origin 2022</t>
  </si>
  <si>
    <t>MC Bore</t>
  </si>
  <si>
    <t>inch</t>
  </si>
  <si>
    <t xml:space="preserve">Description </t>
  </si>
  <si>
    <t>As per ASC regulations, the car should come to a stop from 50 km/h. We have chosen 60km/s for buffer</t>
  </si>
  <si>
    <t>The force output of the brake pedal assembly</t>
  </si>
  <si>
    <t>Break Pedal Force(Fbp)</t>
  </si>
  <si>
    <t>The hydraulic pressure generated by the master cylinder</t>
  </si>
  <si>
    <t>Master Cylinder Pressure(Pmc)</t>
  </si>
  <si>
    <t>The hydraulic pressure transmitted to the calliper</t>
  </si>
  <si>
    <t>The one-sided linear mechanical force generated by the caliper</t>
  </si>
  <si>
    <t xml:space="preserve">The clamp force generated by the caliper </t>
  </si>
  <si>
    <t xml:space="preserve">The frictional force generated by the brake pads opposing the rotation of the </t>
  </si>
  <si>
    <t xml:space="preserve">The torque generated by the rotor </t>
  </si>
  <si>
    <t xml:space="preserve"> the effective radius (effective moment arm) of the rotor (measured from the rotor centre of rotation to the centre of pressure of the caliper pistons)</t>
  </si>
  <si>
    <t xml:space="preserve">the combined front tire braking forces </t>
  </si>
  <si>
    <t xml:space="preserve">the combined rear tire braking forces </t>
  </si>
  <si>
    <t xml:space="preserve">the front axle vertical force (weight) </t>
  </si>
  <si>
    <t xml:space="preserve">the rear axle vertical force (weight) </t>
  </si>
  <si>
    <t>Axle vertical force</t>
  </si>
  <si>
    <t xml:space="preserve">the absolute weight transferred from the rear axle to the front axle </t>
  </si>
  <si>
    <t xml:space="preserve">the front axle dynamic vertical force for a given deceleration </t>
  </si>
  <si>
    <t xml:space="preserve">the rear axle dynamic vertical force for a given deceleration </t>
  </si>
  <si>
    <t>This is an Assumption, Average ranges between 0.3-0.5. Therefore 0.4 was chosen.</t>
  </si>
  <si>
    <t xml:space="preserve">Ftires,f = the combined front tire braking forces 
Ftires,r = the combined rear tire braking forces </t>
  </si>
  <si>
    <t>Requirement Check</t>
  </si>
  <si>
    <t>Theoretical Deceleration</t>
  </si>
  <si>
    <t>ASC Requirement</t>
  </si>
  <si>
    <t>N*m</t>
  </si>
  <si>
    <t>The force applied to the pedal pad by the driver</t>
  </si>
  <si>
    <t xml:space="preserve">Difference </t>
  </si>
  <si>
    <t>.</t>
  </si>
  <si>
    <t xml:space="preserve">Use </t>
  </si>
  <si>
    <t xml:space="preserve">Location </t>
  </si>
  <si>
    <t xml:space="preserve">Part Name </t>
  </si>
  <si>
    <t xml:space="preserve">Part Image </t>
  </si>
  <si>
    <t xml:space="preserve">Part Code </t>
  </si>
  <si>
    <t>Qty/Unit</t>
  </si>
  <si>
    <t xml:space="preserve">Unit Cost </t>
  </si>
  <si>
    <t xml:space="preserve">MOQ </t>
  </si>
  <si>
    <t xml:space="preserve">Total Quantity Needed </t>
  </si>
  <si>
    <t xml:space="preserve">Total Cost </t>
  </si>
  <si>
    <t>Total Cost(with MOQ)</t>
  </si>
  <si>
    <t>Total Cost(with QTY need)</t>
  </si>
  <si>
    <t xml:space="preserve">Quote Reference </t>
  </si>
  <si>
    <t>Link</t>
  </si>
  <si>
    <t>Compact Remote Flange Mount Master Cylinder</t>
  </si>
  <si>
    <t>260-10375</t>
  </si>
  <si>
    <t>Swing Mount Brake Pedal</t>
  </si>
  <si>
    <t>340-13837</t>
  </si>
  <si>
    <t>SRP Drilled Performance Rotor &amp; Hat</t>
  </si>
  <si>
    <t xml:space="preserve">PolyMatrix E Street Performance/ Racing Pads </t>
  </si>
  <si>
    <t xml:space="preserve">4mm </t>
  </si>
  <si>
    <t xml:space="preserve">Torque Required </t>
  </si>
  <si>
    <t>As per ASC regulations, the parking brake shall be able to hold the car in place without wheel chocks on dry pavement under either a
forward or rearward force equal to 10% of the cars weight in fully loaded condition.</t>
  </si>
  <si>
    <t xml:space="preserve">We will be assuming a 30 degree gradient as a saftey factor. </t>
  </si>
  <si>
    <t xml:space="preserve">Total Force required required </t>
  </si>
  <si>
    <t xml:space="preserve">We will be implementing two parking brakes on the two rear rotors. </t>
  </si>
  <si>
    <t>Each rotor need to widthstand half of the total force required.</t>
  </si>
  <si>
    <t xml:space="preserve">Force per wheel </t>
  </si>
  <si>
    <t xml:space="preserve">Torque per wheel </t>
  </si>
  <si>
    <t>radius of rotor</t>
  </si>
  <si>
    <t xml:space="preserve">Clamping force </t>
  </si>
  <si>
    <t>Coefficient of friction between brake rotor and friction pad</t>
  </si>
  <si>
    <t>Diameter of caliper bore</t>
  </si>
  <si>
    <t xml:space="preserve">Number of piston </t>
  </si>
  <si>
    <t xml:space="preserve">Diameter </t>
  </si>
  <si>
    <t xml:space="preserve">Routing Application - Solid works </t>
  </si>
  <si>
    <t xml:space="preserve">Pedal Placement </t>
  </si>
  <si>
    <t xml:space="preserve">Fluid Selection </t>
  </si>
  <si>
    <t xml:space="preserve">Parking brake mounting </t>
  </si>
  <si>
    <t>Fcl(front)</t>
  </si>
  <si>
    <t>Fcl(rear)</t>
  </si>
  <si>
    <t>Front</t>
  </si>
  <si>
    <t>Rear</t>
  </si>
  <si>
    <t>Newton to Pound Force</t>
  </si>
  <si>
    <t>Newton</t>
  </si>
  <si>
    <t>Pound Force</t>
  </si>
  <si>
    <t xml:space="preserve">Inch to m </t>
  </si>
  <si>
    <t>Inch</t>
  </si>
  <si>
    <t>Meter</t>
  </si>
  <si>
    <t xml:space="preserve">Meter </t>
  </si>
  <si>
    <t xml:space="preserve">Inch^2 to m&amp;2 </t>
  </si>
  <si>
    <t>Rear Braking Efficiency</t>
  </si>
  <si>
    <t>Front Braking Efficiency</t>
  </si>
  <si>
    <t>Saftey Factor</t>
  </si>
  <si>
    <t>1 on each front rotor</t>
  </si>
  <si>
    <t>1 on each rear rotor</t>
  </si>
  <si>
    <t xml:space="preserve">Rotor Design </t>
  </si>
  <si>
    <t xml:space="preserve">1/8t inch, use same fillet size across design </t>
  </si>
  <si>
    <t>Reff (front)</t>
  </si>
  <si>
    <t>Reff(rear)</t>
  </si>
  <si>
    <t>Tr(front)</t>
  </si>
  <si>
    <t>Tr(rear)</t>
  </si>
  <si>
    <t xml:space="preserve">design study </t>
  </si>
  <si>
    <t xml:space="preserve">topology </t>
  </si>
  <si>
    <t xml:space="preserve">60 CAD </t>
  </si>
  <si>
    <t xml:space="preserve">AA 6061 Alloy </t>
  </si>
  <si>
    <t>FOS</t>
  </si>
  <si>
    <t>Weight</t>
  </si>
  <si>
    <t xml:space="preserve">material </t>
  </si>
  <si>
    <t>http://www.mitsuba.co.jp/cms/jp/wp-content/uploads/2014/05/M2096D_size.pdf</t>
  </si>
  <si>
    <t>Motor Drawing</t>
  </si>
  <si>
    <t xml:space="preserve">Dynalite Single Floater </t>
  </si>
  <si>
    <t>Dynalite Single IIIA</t>
  </si>
  <si>
    <t>Dynapro Singl e</t>
  </si>
  <si>
    <t xml:space="preserve">Dynapro Single LW </t>
  </si>
  <si>
    <t>1 on each front wheel</t>
  </si>
  <si>
    <t>160-13336-BK</t>
  </si>
  <si>
    <t>15E-12604K</t>
  </si>
  <si>
    <t xml:space="preserve">PolyMatrix E Street Performance / Racing Pads	</t>
  </si>
  <si>
    <t>15E-9820K</t>
  </si>
  <si>
    <t xml:space="preserve">Dynapro Single </t>
  </si>
  <si>
    <t>Caliper No: 120-9689-LP</t>
  </si>
  <si>
    <t>Floor of the drivers seat</t>
  </si>
  <si>
    <t>Location yet to be determined</t>
  </si>
  <si>
    <t>Caliper No: 120-16362</t>
  </si>
  <si>
    <t xml:space="preserve">MC5 Mechanical </t>
  </si>
  <si>
    <t>2 per each rear wheel</t>
  </si>
  <si>
    <t>2 per each front wheel</t>
  </si>
  <si>
    <t>150-7646K</t>
  </si>
  <si>
    <t>Bill of Materials - Braking</t>
  </si>
  <si>
    <t>Caliper No: 120-15598-BK</t>
  </si>
  <si>
    <t xml:space="preserve">Sintered Metallic Power Sports / Industrial Pads	</t>
  </si>
  <si>
    <t xml:space="preserve">Aero4-DS Radial Mount </t>
  </si>
  <si>
    <t>Metal Super market</t>
  </si>
  <si>
    <t>0.25 in</t>
  </si>
  <si>
    <t>Al 6061</t>
  </si>
  <si>
    <t>30 dollars – 28</t>
  </si>
  <si>
    <t>Woody</t>
  </si>
  <si>
    <t xml:space="preserve">Area </t>
  </si>
  <si>
    <t>1.58 in^2</t>
  </si>
  <si>
    <t>2.40 in^2</t>
  </si>
  <si>
    <t>https://www.mcmaster.com/90121A626/</t>
  </si>
  <si>
    <t>Mount</t>
  </si>
  <si>
    <t>https://www.mcmaster.com/91268A593/</t>
  </si>
  <si>
    <t>Mount and rotor</t>
  </si>
  <si>
    <t>https://www.mcmaster.com/93070A061/</t>
  </si>
  <si>
    <t xml:space="preserve">Front Calipers </t>
  </si>
  <si>
    <t xml:space="preserve">Rear Calipers </t>
  </si>
  <si>
    <t>Front Rotor</t>
  </si>
  <si>
    <t>Rear Rotor</t>
  </si>
  <si>
    <t>Weights (lbs)</t>
  </si>
  <si>
    <t xml:space="preserve">Quantity </t>
  </si>
  <si>
    <t xml:space="preserve">Pedal </t>
  </si>
  <si>
    <t xml:space="preserve">Master Cylinder </t>
  </si>
  <si>
    <t>Saf</t>
  </si>
  <si>
    <t>D</t>
  </si>
  <si>
    <t>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</si>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</sst>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_);[Red]\([$€-2]\ #,##0.00\)"/>
  </numFmts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rgb="FF222222"/>
      <name val="Arial"/>
      <family val="2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3" borderId="3" applyNumberFormat="0" applyAlignment="0" applyProtection="0"/>
    <xf numFmtId="0" fontId="9" fillId="0" borderId="13">
      <alignment horizontal="center" vertical="center"/>
    </xf>
    <xf numFmtId="0" fontId="8" fillId="0" borderId="0" applyNumberFormat="0" applyFill="0" applyBorder="0" applyAlignment="0" applyProtection="0"/>
    <xf numFmtId="0" fontId="9" fillId="4" borderId="13" applyNumberFormat="0" applyProtection="0">
      <alignment horizontal="center" vertical="center"/>
    </xf>
  </cellStyleXfs>
  <cellXfs count="84">
    <xf numFmtId="0" fontId="0" fillId="0" borderId="0" xfId="0"/>
    <xf numFmtId="0" fontId="2" fillId="0" borderId="1" xfId="2"/>
    <xf numFmtId="0" fontId="6" fillId="0" borderId="0" xfId="0" applyFont="1"/>
    <xf numFmtId="0" fontId="3" fillId="0" borderId="2" xfId="3"/>
    <xf numFmtId="10" fontId="0" fillId="0" borderId="0" xfId="0" applyNumberFormat="1"/>
    <xf numFmtId="0" fontId="7" fillId="0" borderId="0" xfId="0" applyFont="1"/>
    <xf numFmtId="0" fontId="1" fillId="0" borderId="0" xfId="1"/>
    <xf numFmtId="0" fontId="0" fillId="0" borderId="0" xfId="0" applyAlignment="1">
      <alignment wrapText="1"/>
    </xf>
    <xf numFmtId="0" fontId="4" fillId="2" borderId="0" xfId="4"/>
    <xf numFmtId="0" fontId="5" fillId="3" borderId="3" xfId="5"/>
    <xf numFmtId="12" fontId="4" fillId="2" borderId="0" xfId="4" applyNumberFormat="1"/>
    <xf numFmtId="0" fontId="8" fillId="0" borderId="0" xfId="7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3" borderId="3" xfId="5" applyNumberFormat="1"/>
    <xf numFmtId="0" fontId="4" fillId="2" borderId="0" xfId="4" applyBorder="1"/>
    <xf numFmtId="0" fontId="2" fillId="0" borderId="12" xfId="2" applyBorder="1"/>
    <xf numFmtId="0" fontId="9" fillId="4" borderId="13" xfId="8">
      <alignment horizontal="center" vertical="center"/>
    </xf>
    <xf numFmtId="164" fontId="9" fillId="4" borderId="13" xfId="8" applyNumberFormat="1">
      <alignment horizontal="center" vertical="center"/>
    </xf>
    <xf numFmtId="0" fontId="9" fillId="4" borderId="13" xfId="8" applyAlignment="1">
      <alignment horizontal="center" vertical="center" wrapText="1"/>
    </xf>
    <xf numFmtId="0" fontId="9" fillId="0" borderId="13" xfId="6">
      <alignment horizontal="center" vertical="center"/>
    </xf>
    <xf numFmtId="0" fontId="9" fillId="0" borderId="13" xfId="6" applyAlignment="1">
      <alignment horizontal="center" vertical="center" wrapText="1"/>
    </xf>
    <xf numFmtId="164" fontId="9" fillId="0" borderId="13" xfId="6" applyNumberFormat="1">
      <alignment horizontal="center" vertical="center"/>
    </xf>
    <xf numFmtId="165" fontId="0" fillId="0" borderId="7" xfId="0" applyNumberFormat="1" applyBorder="1"/>
    <xf numFmtId="0" fontId="4" fillId="2" borderId="7" xfId="4" applyBorder="1"/>
    <xf numFmtId="0" fontId="5" fillId="3" borderId="14" xfId="5" applyBorder="1"/>
    <xf numFmtId="0" fontId="4" fillId="2" borderId="8" xfId="4" applyBorder="1"/>
    <xf numFmtId="0" fontId="5" fillId="3" borderId="17" xfId="5" applyBorder="1"/>
    <xf numFmtId="0" fontId="4" fillId="2" borderId="3" xfId="4" applyBorder="1"/>
    <xf numFmtId="0" fontId="10" fillId="0" borderId="0" xfId="0" applyFont="1"/>
    <xf numFmtId="0" fontId="0" fillId="4" borderId="13" xfId="8" applyFont="1" applyAlignment="1">
      <alignment horizontal="center" vertical="center" wrapText="1"/>
    </xf>
    <xf numFmtId="164" fontId="9" fillId="4" borderId="13" xfId="8" applyNumberFormat="1" applyAlignment="1">
      <alignment horizontal="center" vertical="center" wrapText="1"/>
    </xf>
    <xf numFmtId="164" fontId="9" fillId="0" borderId="13" xfId="6" applyNumberFormat="1" applyAlignment="1">
      <alignment horizontal="center" vertical="center" wrapText="1"/>
    </xf>
    <xf numFmtId="0" fontId="9" fillId="0" borderId="22" xfId="6" applyBorder="1" applyAlignment="1">
      <alignment horizontal="center" vertical="center" wrapText="1"/>
    </xf>
    <xf numFmtId="0" fontId="9" fillId="0" borderId="23" xfId="6" applyBorder="1" applyAlignment="1">
      <alignment horizontal="center" vertical="center" wrapText="1"/>
    </xf>
    <xf numFmtId="0" fontId="9" fillId="4" borderId="22" xfId="8" applyBorder="1" applyAlignment="1">
      <alignment horizontal="center" vertical="center" wrapText="1"/>
    </xf>
    <xf numFmtId="0" fontId="8" fillId="4" borderId="23" xfId="7" applyFill="1" applyBorder="1" applyAlignment="1">
      <alignment horizontal="center" vertical="center" wrapText="1"/>
    </xf>
    <xf numFmtId="0" fontId="8" fillId="0" borderId="23" xfId="7" applyBorder="1" applyAlignment="1">
      <alignment horizontal="center" vertical="center"/>
    </xf>
    <xf numFmtId="0" fontId="9" fillId="4" borderId="23" xfId="8" applyBorder="1" applyAlignment="1">
      <alignment horizontal="center" vertical="center" wrapText="1"/>
    </xf>
    <xf numFmtId="164" fontId="9" fillId="0" borderId="25" xfId="6" applyNumberFormat="1" applyBorder="1">
      <alignment horizontal="center" vertical="center"/>
    </xf>
    <xf numFmtId="0" fontId="9" fillId="0" borderId="26" xfId="6" applyBorder="1">
      <alignment horizontal="center" vertical="center"/>
    </xf>
    <xf numFmtId="164" fontId="9" fillId="5" borderId="13" xfId="8" applyNumberFormat="1" applyFill="1" applyAlignment="1">
      <alignment horizontal="center" vertical="center" wrapText="1"/>
    </xf>
    <xf numFmtId="0" fontId="0" fillId="6" borderId="22" xfId="8" applyFont="1" applyFill="1" applyBorder="1" applyAlignment="1">
      <alignment horizontal="center" vertical="center" wrapText="1"/>
    </xf>
    <xf numFmtId="0" fontId="9" fillId="6" borderId="13" xfId="8" applyFill="1" applyAlignment="1">
      <alignment horizontal="center" vertical="center" wrapText="1"/>
    </xf>
    <xf numFmtId="164" fontId="9" fillId="6" borderId="13" xfId="8" applyNumberFormat="1" applyFill="1" applyAlignment="1">
      <alignment horizontal="center" vertical="center" wrapText="1"/>
    </xf>
    <xf numFmtId="0" fontId="9" fillId="6" borderId="23" xfId="8" applyFill="1" applyBorder="1" applyAlignment="1">
      <alignment horizontal="center" vertical="center" wrapText="1"/>
    </xf>
    <xf numFmtId="0" fontId="9" fillId="6" borderId="27" xfId="8" applyFill="1" applyBorder="1" applyAlignment="1">
      <alignment horizontal="center" vertical="center" wrapText="1"/>
    </xf>
    <xf numFmtId="0" fontId="9" fillId="6" borderId="18" xfId="8" applyFill="1" applyBorder="1" applyAlignment="1">
      <alignment horizontal="center" vertical="center" wrapText="1"/>
    </xf>
    <xf numFmtId="164" fontId="9" fillId="6" borderId="18" xfId="8" applyNumberFormat="1" applyFill="1" applyBorder="1" applyAlignment="1">
      <alignment horizontal="center" vertical="center" wrapText="1"/>
    </xf>
    <xf numFmtId="0" fontId="0" fillId="5" borderId="22" xfId="6" applyFont="1" applyFill="1" applyBorder="1" applyAlignment="1">
      <alignment horizontal="center" vertical="center" wrapText="1"/>
    </xf>
    <xf numFmtId="0" fontId="9" fillId="5" borderId="13" xfId="6" applyFill="1" applyAlignment="1">
      <alignment horizontal="center" vertical="center" wrapText="1"/>
    </xf>
    <xf numFmtId="164" fontId="9" fillId="5" borderId="13" xfId="6" applyNumberFormat="1" applyFill="1" applyAlignment="1">
      <alignment horizontal="center" vertical="center" wrapText="1"/>
    </xf>
    <xf numFmtId="0" fontId="8" fillId="5" borderId="23" xfId="7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6" xfId="1" applyBorder="1"/>
    <xf numFmtId="0" fontId="1" fillId="0" borderId="5" xfId="1" applyBorder="1"/>
    <xf numFmtId="0" fontId="1" fillId="0" borderId="9" xfId="1" applyBorder="1"/>
    <xf numFmtId="0" fontId="0" fillId="0" borderId="18" xfId="0" applyBorder="1"/>
    <xf numFmtId="0" fontId="0" fillId="0" borderId="28" xfId="0" applyBorder="1"/>
    <xf numFmtId="0" fontId="0" fillId="0" borderId="29" xfId="0" applyBorder="1"/>
    <xf numFmtId="0" fontId="7" fillId="0" borderId="7" xfId="0" applyFont="1" applyBorder="1"/>
    <xf numFmtId="0" fontId="2" fillId="0" borderId="30" xfId="2" applyBorder="1"/>
    <xf numFmtId="12" fontId="4" fillId="2" borderId="0" xfId="4" applyNumberFormat="1" applyBorder="1"/>
    <xf numFmtId="0" fontId="3" fillId="0" borderId="31" xfId="3" applyBorder="1"/>
    <xf numFmtId="0" fontId="6" fillId="0" borderId="7" xfId="0" applyFont="1" applyBorder="1"/>
    <xf numFmtId="0" fontId="2" fillId="0" borderId="15" xfId="2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24" xfId="6" applyFont="1" applyBorder="1">
      <alignment horizontal="center" vertical="center"/>
    </xf>
    <xf numFmtId="0" fontId="11" fillId="0" borderId="25" xfId="6" applyFont="1" applyBorder="1">
      <alignment horizontal="center" vertical="center"/>
    </xf>
    <xf numFmtId="0" fontId="12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2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15" xfId="2" applyBorder="1" applyAlignment="1">
      <alignment horizontal="center"/>
    </xf>
    <xf numFmtId="0" fontId="2" fillId="0" borderId="16" xfId="2" applyBorder="1" applyAlignment="1">
      <alignment horizontal="center"/>
    </xf>
  </cellXfs>
  <cellStyles count="9">
    <cellStyle name="20% - Accent1" xfId="8" builtinId="30" customBuiltin="1"/>
    <cellStyle name="Calculation" xfId="5" builtinId="22"/>
    <cellStyle name="Heading 1" xfId="2" builtinId="16"/>
    <cellStyle name="Heading 2" xfId="3" builtinId="17"/>
    <cellStyle name="Hyperlink" xfId="7" builtinId="8"/>
    <cellStyle name="Neutral" xfId="4" builtinId="28"/>
    <cellStyle name="Normal" xfId="0" builtinId="0"/>
    <cellStyle name="Style 1" xfId="6" xr:uid="{740EFADE-0B75-4EE7-ADEE-DB07B8FF3624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vs 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368354802739145E-3"/>
                  <c:y val="5.80979357778297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Sheet4!$C$7:$C$12</c:f>
              <c:numCache>
                <c:formatCode>General</c:formatCode>
                <c:ptCount val="6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11</c:v>
                </c:pt>
                <c:pt idx="4">
                  <c:v>11.75</c:v>
                </c:pt>
                <c:pt idx="5">
                  <c:v>12.19</c:v>
                </c:pt>
              </c:numCache>
            </c:numRef>
          </c:xVal>
          <c:yVal>
            <c:numRef>
              <c:f>Sheet4!$D$7:$D$12</c:f>
              <c:numCache>
                <c:formatCode>General</c:formatCode>
                <c:ptCount val="6"/>
                <c:pt idx="0">
                  <c:v>5.84</c:v>
                </c:pt>
                <c:pt idx="1">
                  <c:v>5.96</c:v>
                </c:pt>
                <c:pt idx="2">
                  <c:v>6.07</c:v>
                </c:pt>
                <c:pt idx="3">
                  <c:v>6.31</c:v>
                </c:pt>
                <c:pt idx="4">
                  <c:v>6.66</c:v>
                </c:pt>
                <c:pt idx="5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9-4A42-999D-58955B08AF96}"/>
            </c:ext>
          </c:extLst>
        </c:ser>
        <c:ser>
          <c:idx val="1"/>
          <c:order val="1"/>
          <c:tx>
            <c:v>B vs 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429625271645563E-2"/>
                  <c:y val="-2.4677402123414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Sheet4!$C$7:$C$12</c:f>
              <c:numCache>
                <c:formatCode>General</c:formatCode>
                <c:ptCount val="6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11</c:v>
                </c:pt>
                <c:pt idx="4">
                  <c:v>11.75</c:v>
                </c:pt>
                <c:pt idx="5">
                  <c:v>12.19</c:v>
                </c:pt>
              </c:numCache>
            </c:numRef>
          </c:xVal>
          <c:yVal>
            <c:numRef>
              <c:f>Sheet4!$E$7:$E$12</c:f>
              <c:numCache>
                <c:formatCode>General</c:formatCode>
                <c:ptCount val="6"/>
                <c:pt idx="0">
                  <c:v>3.61</c:v>
                </c:pt>
                <c:pt idx="1">
                  <c:v>3.71</c:v>
                </c:pt>
                <c:pt idx="2">
                  <c:v>3.82</c:v>
                </c:pt>
                <c:pt idx="3">
                  <c:v>4.04</c:v>
                </c:pt>
                <c:pt idx="4">
                  <c:v>4.38</c:v>
                </c:pt>
                <c:pt idx="5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9-4A42-999D-58955B08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26383"/>
        <c:axId val="740130703"/>
      </c:scatterChart>
      <c:valAx>
        <c:axId val="7401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30703"/>
        <c:crosses val="autoZero"/>
        <c:crossBetween val="midCat"/>
      </c:valAx>
      <c:valAx>
        <c:axId val="7401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2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Sheet2!$C$3:$C$8</c:f>
              <c:numCache>
                <c:formatCode>General</c:formatCode>
                <c:ptCount val="6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11</c:v>
                </c:pt>
                <c:pt idx="4">
                  <c:v>11.75</c:v>
                </c:pt>
                <c:pt idx="5">
                  <c:v>12.19</c:v>
                </c:pt>
              </c:numCache>
            </c:numRef>
          </c:xVal>
          <c:yVal>
            <c:numRef>
              <c:f>Sheet2!$D$3:$D$8</c:f>
              <c:numCache>
                <c:formatCode>General</c:formatCode>
                <c:ptCount val="6"/>
                <c:pt idx="0">
                  <c:v>3.48</c:v>
                </c:pt>
                <c:pt idx="1">
                  <c:v>3.59</c:v>
                </c:pt>
                <c:pt idx="2">
                  <c:v>3.7</c:v>
                </c:pt>
                <c:pt idx="3">
                  <c:v>3.93</c:v>
                </c:pt>
                <c:pt idx="4">
                  <c:v>4.28</c:v>
                </c:pt>
                <c:pt idx="5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2-460D-B996-2E365B8D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21711"/>
        <c:axId val="886665487"/>
      </c:scatterChart>
      <c:valAx>
        <c:axId val="88092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65487"/>
        <c:crosses val="autoZero"/>
        <c:crossBetween val="midCat"/>
      </c:valAx>
      <c:valAx>
        <c:axId val="8866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2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10" Type="http://schemas.openxmlformats.org/officeDocument/2006/relationships/image" Target="../media/image31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14</xdr:row>
      <xdr:rowOff>0</xdr:rowOff>
    </xdr:from>
    <xdr:to>
      <xdr:col>6</xdr:col>
      <xdr:colOff>301625</xdr:colOff>
      <xdr:row>16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A4A78-A707-4049-A998-C9E490C3B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425" y="2838450"/>
          <a:ext cx="11334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209550</xdr:colOff>
      <xdr:row>20</xdr:row>
      <xdr:rowOff>66675</xdr:rowOff>
    </xdr:from>
    <xdr:to>
      <xdr:col>5</xdr:col>
      <xdr:colOff>520700</xdr:colOff>
      <xdr:row>22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F2624F-6F11-4539-BCA9-E8F62DCF7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4076700"/>
          <a:ext cx="920750" cy="53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215900</xdr:colOff>
      <xdr:row>26</xdr:row>
      <xdr:rowOff>149225</xdr:rowOff>
    </xdr:from>
    <xdr:to>
      <xdr:col>6</xdr:col>
      <xdr:colOff>438150</xdr:colOff>
      <xdr:row>28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FC567B-C88E-4207-8B49-45918C8EF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8975" y="5330825"/>
          <a:ext cx="144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257175</xdr:colOff>
      <xdr:row>32</xdr:row>
      <xdr:rowOff>0</xdr:rowOff>
    </xdr:from>
    <xdr:to>
      <xdr:col>6</xdr:col>
      <xdr:colOff>200025</xdr:colOff>
      <xdr:row>32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7F9A19-E3B0-4B69-8975-C8C1FAA93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6353175"/>
          <a:ext cx="11620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152400</xdr:colOff>
      <xdr:row>35</xdr:row>
      <xdr:rowOff>0</xdr:rowOff>
    </xdr:from>
    <xdr:to>
      <xdr:col>6</xdr:col>
      <xdr:colOff>520700</xdr:colOff>
      <xdr:row>36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DDA931-3B2E-47FF-990C-8DB0761F1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7058025"/>
          <a:ext cx="158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114300</xdr:colOff>
      <xdr:row>38</xdr:row>
      <xdr:rowOff>47625</xdr:rowOff>
    </xdr:from>
    <xdr:to>
      <xdr:col>6</xdr:col>
      <xdr:colOff>523875</xdr:colOff>
      <xdr:row>38</xdr:row>
      <xdr:rowOff>263525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7B6977-20EF-45F3-969A-B112DBCF9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001000"/>
          <a:ext cx="1628775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244475</xdr:colOff>
      <xdr:row>44</xdr:row>
      <xdr:rowOff>57150</xdr:rowOff>
    </xdr:from>
    <xdr:to>
      <xdr:col>5</xdr:col>
      <xdr:colOff>504825</xdr:colOff>
      <xdr:row>46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CD947E-C9AB-4838-8D4D-519B1B648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7550" y="8848725"/>
          <a:ext cx="8699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158750</xdr:colOff>
      <xdr:row>59</xdr:row>
      <xdr:rowOff>0</xdr:rowOff>
    </xdr:from>
    <xdr:to>
      <xdr:col>6</xdr:col>
      <xdr:colOff>44450</xdr:colOff>
      <xdr:row>60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C701B1-03BD-4F12-A522-C39701567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1825" y="11849100"/>
          <a:ext cx="11049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177800</xdr:colOff>
      <xdr:row>62</xdr:row>
      <xdr:rowOff>158750</xdr:rowOff>
    </xdr:from>
    <xdr:to>
      <xdr:col>6</xdr:col>
      <xdr:colOff>533400</xdr:colOff>
      <xdr:row>64</xdr:row>
      <xdr:rowOff>168275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0A998C-FD00-49BD-821E-69F8B2F49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0875" y="12636500"/>
          <a:ext cx="15748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92075</xdr:colOff>
      <xdr:row>52</xdr:row>
      <xdr:rowOff>76200</xdr:rowOff>
    </xdr:from>
    <xdr:to>
      <xdr:col>6</xdr:col>
      <xdr:colOff>492811</xdr:colOff>
      <xdr:row>54</xdr:row>
      <xdr:rowOff>63500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49D1E9-E3E1-4B6B-95F7-47495B13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5150" y="10487025"/>
          <a:ext cx="1619936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228599</xdr:colOff>
      <xdr:row>55</xdr:row>
      <xdr:rowOff>114300</xdr:rowOff>
    </xdr:from>
    <xdr:to>
      <xdr:col>5</xdr:col>
      <xdr:colOff>600074</xdr:colOff>
      <xdr:row>57</xdr:row>
      <xdr:rowOff>123121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BA53576-8548-42B7-A3BD-76C7CE73B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4" y="11153775"/>
          <a:ext cx="981075" cy="446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196850</xdr:colOff>
      <xdr:row>67</xdr:row>
      <xdr:rowOff>0</xdr:rowOff>
    </xdr:from>
    <xdr:to>
      <xdr:col>6</xdr:col>
      <xdr:colOff>139700</xdr:colOff>
      <xdr:row>68</xdr:row>
      <xdr:rowOff>19050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41107E-0B21-4198-89DF-86F38D4F2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9925" y="13544550"/>
          <a:ext cx="11620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69</xdr:row>
      <xdr:rowOff>0</xdr:rowOff>
    </xdr:from>
    <xdr:to>
      <xdr:col>6</xdr:col>
      <xdr:colOff>200025</xdr:colOff>
      <xdr:row>70</xdr:row>
      <xdr:rowOff>25400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F963D79-4909-42FE-A9CD-B4CA9D920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3963650"/>
          <a:ext cx="1152525" cy="24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72</xdr:row>
      <xdr:rowOff>180975</xdr:rowOff>
    </xdr:from>
    <xdr:to>
      <xdr:col>6</xdr:col>
      <xdr:colOff>539750</xdr:colOff>
      <xdr:row>74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1572100-4798-447F-9DA0-10FBA89A5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2775" y="14735175"/>
          <a:ext cx="1619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171450</xdr:colOff>
      <xdr:row>74</xdr:row>
      <xdr:rowOff>180975</xdr:rowOff>
    </xdr:from>
    <xdr:to>
      <xdr:col>6</xdr:col>
      <xdr:colOff>542925</xdr:colOff>
      <xdr:row>76</xdr:row>
      <xdr:rowOff>15875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DFD0A3-C472-47D2-BC05-3B4243F9D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220950"/>
          <a:ext cx="1590675" cy="24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78</xdr:row>
      <xdr:rowOff>180975</xdr:rowOff>
    </xdr:from>
    <xdr:to>
      <xdr:col>7</xdr:col>
      <xdr:colOff>133350</xdr:colOff>
      <xdr:row>80</xdr:row>
      <xdr:rowOff>15875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5235DE1-BBCC-4FDD-954C-7F67E344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7525" y="16002000"/>
          <a:ext cx="19177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85725</xdr:colOff>
      <xdr:row>81</xdr:row>
      <xdr:rowOff>0</xdr:rowOff>
    </xdr:from>
    <xdr:to>
      <xdr:col>7</xdr:col>
      <xdr:colOff>152400</xdr:colOff>
      <xdr:row>82</xdr:row>
      <xdr:rowOff>25400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6B99497-8E8E-4DE0-975E-15C74F003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6497300"/>
          <a:ext cx="1895475" cy="24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83</xdr:row>
      <xdr:rowOff>76200</xdr:rowOff>
    </xdr:from>
    <xdr:to>
      <xdr:col>8</xdr:col>
      <xdr:colOff>482600</xdr:colOff>
      <xdr:row>85</xdr:row>
      <xdr:rowOff>82550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6392E62-A024-43B2-91C8-23253215B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2775" y="16983075"/>
          <a:ext cx="27813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187325</xdr:colOff>
      <xdr:row>74</xdr:row>
      <xdr:rowOff>47626</xdr:rowOff>
    </xdr:from>
    <xdr:to>
      <xdr:col>15</xdr:col>
      <xdr:colOff>549275</xdr:colOff>
      <xdr:row>76</xdr:row>
      <xdr:rowOff>92076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778E4B0-5632-49F9-A0A3-6F118CF69731}"/>
            </a:ext>
          </a:extLst>
        </xdr:cNvPr>
        <xdr:cNvSpPr txBox="1"/>
      </xdr:nvSpPr>
      <xdr:spPr>
        <a:xfrm>
          <a:off x="13208000" y="15278101"/>
          <a:ext cx="3409950" cy="45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rt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Ftires,f = the combined front tire braking forces 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Ftires,r = the combined rear tire braking forces 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14</xdr:row>
      <xdr:rowOff>0</xdr:rowOff>
    </xdr:from>
    <xdr:to>
      <xdr:col>6</xdr:col>
      <xdr:colOff>301625</xdr:colOff>
      <xdr:row>16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4EBE61-8C9D-4E0B-A3D8-B4303A24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000375"/>
          <a:ext cx="11303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209550</xdr:colOff>
      <xdr:row>20</xdr:row>
      <xdr:rowOff>66675</xdr:rowOff>
    </xdr:from>
    <xdr:to>
      <xdr:col>5</xdr:col>
      <xdr:colOff>520700</xdr:colOff>
      <xdr:row>22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442C35-A987-4F52-8432-AD613CB8C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4235450"/>
          <a:ext cx="923925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215900</xdr:colOff>
      <xdr:row>27</xdr:row>
      <xdr:rowOff>149225</xdr:rowOff>
    </xdr:from>
    <xdr:to>
      <xdr:col>6</xdr:col>
      <xdr:colOff>438150</xdr:colOff>
      <xdr:row>29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967219-D2CC-4091-A1A5-012B04B7D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5492750"/>
          <a:ext cx="1438275" cy="23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257175</xdr:colOff>
      <xdr:row>35</xdr:row>
      <xdr:rowOff>0</xdr:rowOff>
    </xdr:from>
    <xdr:to>
      <xdr:col>6</xdr:col>
      <xdr:colOff>200025</xdr:colOff>
      <xdr:row>35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330198-45CF-4BB2-9AA7-27861521D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7075" y="6515100"/>
          <a:ext cx="11620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152400</xdr:colOff>
      <xdr:row>40</xdr:row>
      <xdr:rowOff>0</xdr:rowOff>
    </xdr:from>
    <xdr:to>
      <xdr:col>6</xdr:col>
      <xdr:colOff>520700</xdr:colOff>
      <xdr:row>42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930FAC-969D-40FB-A17C-A4B238B8E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7143750"/>
          <a:ext cx="15906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114300</xdr:colOff>
      <xdr:row>46</xdr:row>
      <xdr:rowOff>47625</xdr:rowOff>
    </xdr:from>
    <xdr:to>
      <xdr:col>6</xdr:col>
      <xdr:colOff>523875</xdr:colOff>
      <xdr:row>46</xdr:row>
      <xdr:rowOff>263525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08418D-580F-4294-837D-D41A0F19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7997825"/>
          <a:ext cx="1625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244475</xdr:colOff>
      <xdr:row>53</xdr:row>
      <xdr:rowOff>57150</xdr:rowOff>
    </xdr:from>
    <xdr:to>
      <xdr:col>5</xdr:col>
      <xdr:colOff>504825</xdr:colOff>
      <xdr:row>55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9E4DF5-E405-4883-B623-08D1D3719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7550" y="9191625"/>
          <a:ext cx="8667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158750</xdr:colOff>
      <xdr:row>68</xdr:row>
      <xdr:rowOff>0</xdr:rowOff>
    </xdr:from>
    <xdr:to>
      <xdr:col>6</xdr:col>
      <xdr:colOff>44450</xdr:colOff>
      <xdr:row>69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45733-9192-4D68-9EDE-08421FA5E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2192000"/>
          <a:ext cx="1104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177800</xdr:colOff>
      <xdr:row>71</xdr:row>
      <xdr:rowOff>158750</xdr:rowOff>
    </xdr:from>
    <xdr:to>
      <xdr:col>6</xdr:col>
      <xdr:colOff>533400</xdr:colOff>
      <xdr:row>73</xdr:row>
      <xdr:rowOff>168275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9CA15A9-BEA8-42DE-80B9-1908CFA6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0" y="12906375"/>
          <a:ext cx="1571625" cy="45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92075</xdr:colOff>
      <xdr:row>61</xdr:row>
      <xdr:rowOff>76200</xdr:rowOff>
    </xdr:from>
    <xdr:to>
      <xdr:col>6</xdr:col>
      <xdr:colOff>492811</xdr:colOff>
      <xdr:row>63</xdr:row>
      <xdr:rowOff>63500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10D040-589E-4228-9A77-2A42167B1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5150" y="10753725"/>
          <a:ext cx="1619936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228599</xdr:colOff>
      <xdr:row>64</xdr:row>
      <xdr:rowOff>114300</xdr:rowOff>
    </xdr:from>
    <xdr:to>
      <xdr:col>5</xdr:col>
      <xdr:colOff>600074</xdr:colOff>
      <xdr:row>66</xdr:row>
      <xdr:rowOff>123121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4A6830-1B87-4869-A4A0-E5D5673EF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4" y="11420475"/>
          <a:ext cx="984250" cy="459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196850</xdr:colOff>
      <xdr:row>76</xdr:row>
      <xdr:rowOff>0</xdr:rowOff>
    </xdr:from>
    <xdr:to>
      <xdr:col>6</xdr:col>
      <xdr:colOff>139700</xdr:colOff>
      <xdr:row>77</xdr:row>
      <xdr:rowOff>19050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AB1B08-B3BB-4AB5-BCB7-E46543B81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3858875"/>
          <a:ext cx="11620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78</xdr:row>
      <xdr:rowOff>0</xdr:rowOff>
    </xdr:from>
    <xdr:to>
      <xdr:col>6</xdr:col>
      <xdr:colOff>200025</xdr:colOff>
      <xdr:row>79</xdr:row>
      <xdr:rowOff>25400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83090A5-7019-4BD8-AC0F-C34AED9B8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4268450"/>
          <a:ext cx="11493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81</xdr:row>
      <xdr:rowOff>180975</xdr:rowOff>
    </xdr:from>
    <xdr:to>
      <xdr:col>6</xdr:col>
      <xdr:colOff>539750</xdr:colOff>
      <xdr:row>83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4B7FDB-6921-4B4B-8DBE-72EA4CFB0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15074900"/>
          <a:ext cx="1619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171450</xdr:colOff>
      <xdr:row>83</xdr:row>
      <xdr:rowOff>180975</xdr:rowOff>
    </xdr:from>
    <xdr:to>
      <xdr:col>6</xdr:col>
      <xdr:colOff>542925</xdr:colOff>
      <xdr:row>85</xdr:row>
      <xdr:rowOff>15875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E397877-6FE9-44D8-A8C4-A428F1BB2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494000"/>
          <a:ext cx="1587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87</xdr:row>
      <xdr:rowOff>180975</xdr:rowOff>
    </xdr:from>
    <xdr:to>
      <xdr:col>7</xdr:col>
      <xdr:colOff>133350</xdr:colOff>
      <xdr:row>89</xdr:row>
      <xdr:rowOff>15875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4DD64A-8297-49E8-964F-6265EFDF8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16341725"/>
          <a:ext cx="19145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85725</xdr:colOff>
      <xdr:row>90</xdr:row>
      <xdr:rowOff>0</xdr:rowOff>
    </xdr:from>
    <xdr:to>
      <xdr:col>7</xdr:col>
      <xdr:colOff>152400</xdr:colOff>
      <xdr:row>91</xdr:row>
      <xdr:rowOff>25400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D03755E-39AF-46D0-B326-B15B684B4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5625" y="16802100"/>
          <a:ext cx="1898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92</xdr:row>
      <xdr:rowOff>76200</xdr:rowOff>
    </xdr:from>
    <xdr:to>
      <xdr:col>8</xdr:col>
      <xdr:colOff>482600</xdr:colOff>
      <xdr:row>94</xdr:row>
      <xdr:rowOff>82550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5D86254-82BD-4D4D-B581-E95B3A466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17249775"/>
          <a:ext cx="27813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553084</xdr:colOff>
      <xdr:row>85</xdr:row>
      <xdr:rowOff>38100</xdr:rowOff>
    </xdr:from>
    <xdr:to>
      <xdr:col>23</xdr:col>
      <xdr:colOff>38099</xdr:colOff>
      <xdr:row>85</xdr:row>
      <xdr:rowOff>95886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A24491-6E2E-4A4C-B4CA-97075D3D3534}"/>
            </a:ext>
          </a:extLst>
        </xdr:cNvPr>
        <xdr:cNvSpPr txBox="1"/>
      </xdr:nvSpPr>
      <xdr:spPr>
        <a:xfrm flipH="1">
          <a:off x="17459959" y="17935575"/>
          <a:ext cx="4361815" cy="57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14</xdr:row>
      <xdr:rowOff>190500</xdr:rowOff>
    </xdr:from>
    <xdr:to>
      <xdr:col>5</xdr:col>
      <xdr:colOff>209550</xdr:colOff>
      <xdr:row>23</xdr:row>
      <xdr:rowOff>17145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A605CDB-F125-4D7C-8482-7FA3D77DAE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879" t="7889" r="4812" b="22554"/>
        <a:stretch/>
      </xdr:blipFill>
      <xdr:spPr>
        <a:xfrm>
          <a:off x="4638675" y="3114675"/>
          <a:ext cx="5924550" cy="229552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28</xdr:row>
      <xdr:rowOff>161925</xdr:rowOff>
    </xdr:from>
    <xdr:to>
      <xdr:col>3</xdr:col>
      <xdr:colOff>2038615</xdr:colOff>
      <xdr:row>33</xdr:row>
      <xdr:rowOff>116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8D825B5-3A41-4E23-94AB-B6E01F209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0" y="6362700"/>
          <a:ext cx="1895740" cy="8256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3429479</xdr:colOff>
      <xdr:row>41</xdr:row>
      <xdr:rowOff>114469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D18E88-8722-4046-A1B1-7A109D7A9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6375" y="7629525"/>
          <a:ext cx="3429479" cy="12098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76199</xdr:colOff>
      <xdr:row>5</xdr:row>
      <xdr:rowOff>63500</xdr:rowOff>
    </xdr:from>
    <xdr:to>
      <xdr:col>2</xdr:col>
      <xdr:colOff>1692275</xdr:colOff>
      <xdr:row>5</xdr:row>
      <xdr:rowOff>1276985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807D2-304A-482F-A997-565F147FC5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362" r="16667"/>
        <a:stretch/>
      </xdr:blipFill>
      <xdr:spPr>
        <a:xfrm>
          <a:off x="1866899" y="1409700"/>
          <a:ext cx="1609726" cy="1200150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412750</xdr:colOff>
      <xdr:row>6</xdr:row>
      <xdr:rowOff>31750</xdr:rowOff>
    </xdr:from>
    <xdr:to>
      <xdr:col>2</xdr:col>
      <xdr:colOff>1295400</xdr:colOff>
      <xdr:row>6</xdr:row>
      <xdr:rowOff>1278345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33EBA6-357F-47FC-A1D1-ED91E59DB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360" t="9008" r="17063" b="4517"/>
        <a:stretch/>
      </xdr:blipFill>
      <xdr:spPr>
        <a:xfrm>
          <a:off x="2200275" y="2714625"/>
          <a:ext cx="885825" cy="1256120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158752</xdr:colOff>
      <xdr:row>8</xdr:row>
      <xdr:rowOff>73027</xdr:rowOff>
    </xdr:from>
    <xdr:to>
      <xdr:col>2</xdr:col>
      <xdr:colOff>1999497</xdr:colOff>
      <xdr:row>8</xdr:row>
      <xdr:rowOff>1082041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F86120-820A-43DB-90F8-143D7B6782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41" t="3268" r="5966" b="3281"/>
        <a:stretch/>
      </xdr:blipFill>
      <xdr:spPr>
        <a:xfrm>
          <a:off x="1952627" y="5673727"/>
          <a:ext cx="1856620" cy="1000124"/>
        </a:xfrm>
        <a:prstGeom prst="rect">
          <a:avLst/>
        </a:prstGeom>
      </xdr:spPr>
    </xdr:pic>
    <xdr:clientData/>
  </xdr:twoCellAnchor>
  <xdr:twoCellAnchor editAs="oneCell">
    <xdr:from>
      <xdr:col>2</xdr:col>
      <xdr:colOff>416035</xdr:colOff>
      <xdr:row>2</xdr:row>
      <xdr:rowOff>65690</xdr:rowOff>
    </xdr:from>
    <xdr:to>
      <xdr:col>2</xdr:col>
      <xdr:colOff>1618555</xdr:colOff>
      <xdr:row>2</xdr:row>
      <xdr:rowOff>706740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323C414-0CD8-4A30-97C2-8179F2BB6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60" t="13377" r="27699" b="15344"/>
        <a:stretch/>
      </xdr:blipFill>
      <xdr:spPr>
        <a:xfrm>
          <a:off x="2189656" y="613104"/>
          <a:ext cx="1221570" cy="639145"/>
        </a:xfrm>
        <a:prstGeom prst="rect">
          <a:avLst/>
        </a:prstGeom>
      </xdr:spPr>
    </xdr:pic>
    <xdr:clientData/>
  </xdr:twoCellAnchor>
  <xdr:twoCellAnchor editAs="oneCell">
    <xdr:from>
      <xdr:col>2</xdr:col>
      <xdr:colOff>416035</xdr:colOff>
      <xdr:row>2</xdr:row>
      <xdr:rowOff>63785</xdr:rowOff>
    </xdr:from>
    <xdr:to>
      <xdr:col>2</xdr:col>
      <xdr:colOff>1693172</xdr:colOff>
      <xdr:row>2</xdr:row>
      <xdr:rowOff>704841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F1BE6F-C3CC-F47F-CAAC-4A9725088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9656" y="611199"/>
          <a:ext cx="1280947" cy="658201"/>
        </a:xfrm>
        <a:prstGeom prst="rect">
          <a:avLst/>
        </a:prstGeom>
      </xdr:spPr>
    </xdr:pic>
    <xdr:clientData/>
  </xdr:twoCellAnchor>
  <xdr:twoCellAnchor editAs="oneCell">
    <xdr:from>
      <xdr:col>2</xdr:col>
      <xdr:colOff>480301</xdr:colOff>
      <xdr:row>7</xdr:row>
      <xdr:rowOff>83778</xdr:rowOff>
    </xdr:from>
    <xdr:to>
      <xdr:col>2</xdr:col>
      <xdr:colOff>1600951</xdr:colOff>
      <xdr:row>7</xdr:row>
      <xdr:rowOff>1431838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F19FB9-B1EA-B391-C2D5-CBD6C33FBB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1435" t="6767" r="13139" b="6175"/>
        <a:stretch/>
      </xdr:blipFill>
      <xdr:spPr>
        <a:xfrm>
          <a:off x="2253922" y="5163778"/>
          <a:ext cx="1120650" cy="1361395"/>
        </a:xfrm>
        <a:prstGeom prst="rect">
          <a:avLst/>
        </a:prstGeom>
      </xdr:spPr>
    </xdr:pic>
    <xdr:clientData/>
  </xdr:twoCellAnchor>
  <xdr:twoCellAnchor editAs="oneCell">
    <xdr:from>
      <xdr:col>2</xdr:col>
      <xdr:colOff>101861</xdr:colOff>
      <xdr:row>9</xdr:row>
      <xdr:rowOff>132802</xdr:rowOff>
    </xdr:from>
    <xdr:to>
      <xdr:col>2</xdr:col>
      <xdr:colOff>1997309</xdr:colOff>
      <xdr:row>9</xdr:row>
      <xdr:rowOff>1197654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6BDD05-B12B-2C52-5938-7EDF176D23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8929" t="6959" r="6597"/>
        <a:stretch/>
      </xdr:blipFill>
      <xdr:spPr>
        <a:xfrm>
          <a:off x="1875482" y="7917026"/>
          <a:ext cx="1895448" cy="1049612"/>
        </a:xfrm>
        <a:prstGeom prst="rect">
          <a:avLst/>
        </a:prstGeom>
      </xdr:spPr>
    </xdr:pic>
    <xdr:clientData/>
  </xdr:twoCellAnchor>
  <xdr:twoCellAnchor editAs="oneCell">
    <xdr:from>
      <xdr:col>2</xdr:col>
      <xdr:colOff>405087</xdr:colOff>
      <xdr:row>3</xdr:row>
      <xdr:rowOff>67595</xdr:rowOff>
    </xdr:from>
    <xdr:to>
      <xdr:col>2</xdr:col>
      <xdr:colOff>1731251</xdr:colOff>
      <xdr:row>3</xdr:row>
      <xdr:rowOff>1008321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3916160-3D4A-9A1F-209A-5AF9F63B9B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1725" t="-1408" r="7258" b="1408"/>
        <a:stretch/>
      </xdr:blipFill>
      <xdr:spPr>
        <a:xfrm>
          <a:off x="2178708" y="1392336"/>
          <a:ext cx="1335689" cy="946441"/>
        </a:xfrm>
        <a:prstGeom prst="rect">
          <a:avLst/>
        </a:prstGeom>
      </xdr:spPr>
    </xdr:pic>
    <xdr:clientData/>
  </xdr:twoCellAnchor>
  <xdr:twoCellAnchor editAs="oneCell">
    <xdr:from>
      <xdr:col>2</xdr:col>
      <xdr:colOff>687836</xdr:colOff>
      <xdr:row>4</xdr:row>
      <xdr:rowOff>94454</xdr:rowOff>
    </xdr:from>
    <xdr:to>
      <xdr:col>2</xdr:col>
      <xdr:colOff>1525620</xdr:colOff>
      <xdr:row>4</xdr:row>
      <xdr:rowOff>1048216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A36ECBA-D3F2-6A0D-3278-42649DB6CA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3542" t="10563" r="13738"/>
        <a:stretch/>
      </xdr:blipFill>
      <xdr:spPr>
        <a:xfrm>
          <a:off x="2461457" y="2503075"/>
          <a:ext cx="837784" cy="949952"/>
        </a:xfrm>
        <a:prstGeom prst="rect">
          <a:avLst/>
        </a:prstGeom>
      </xdr:spPr>
    </xdr:pic>
    <xdr:clientData/>
  </xdr:twoCellAnchor>
  <xdr:twoCellAnchor editAs="oneCell">
    <xdr:from>
      <xdr:col>2</xdr:col>
      <xdr:colOff>233724</xdr:colOff>
      <xdr:row>10</xdr:row>
      <xdr:rowOff>83776</xdr:rowOff>
    </xdr:from>
    <xdr:to>
      <xdr:col>2</xdr:col>
      <xdr:colOff>1846801</xdr:colOff>
      <xdr:row>10</xdr:row>
      <xdr:rowOff>1049990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D5FDC12-75C6-74F0-8061-FC80B5009E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3441" t="5756" r="10159"/>
        <a:stretch/>
      </xdr:blipFill>
      <xdr:spPr>
        <a:xfrm>
          <a:off x="2007345" y="10232828"/>
          <a:ext cx="1616887" cy="9738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5</xdr:row>
      <xdr:rowOff>118110</xdr:rowOff>
    </xdr:from>
    <xdr:to>
      <xdr:col>22</xdr:col>
      <xdr:colOff>38100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702F0-E5AE-2E23-65A5-7C1565C6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8E569-1415-B3EC-1003-06C706DD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itsuba.co.jp/cms/jp/wp-content/uploads/2014/05/M2096D_size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3070A061/" TargetMode="External"/><Relationship Id="rId2" Type="http://schemas.openxmlformats.org/officeDocument/2006/relationships/hyperlink" Target="https://www.mcmaster.com/91268A593/" TargetMode="External"/><Relationship Id="rId1" Type="http://schemas.openxmlformats.org/officeDocument/2006/relationships/hyperlink" Target="https://www.mcmaster.com/90121A626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wood.com/Rotors/RotorProd.aspx?itemno=160-13336-BK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s://www.wilwood.com/Pedals/PedalProd?itemno=340-13837&amp;appid=0" TargetMode="External"/><Relationship Id="rId7" Type="http://schemas.openxmlformats.org/officeDocument/2006/relationships/hyperlink" Target="https://www.wilwood.com/BrakePads/BrakePadsProd?itemno=15E-9820K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www.wilwood.com/MasterCylinders/MasterCylinderProd?itemno=260-10375" TargetMode="External"/><Relationship Id="rId1" Type="http://schemas.openxmlformats.org/officeDocument/2006/relationships/hyperlink" Target="https://www.wilwood.com/Calipers/CaliperProd?itemno=120-15598%20%20%20%20%20%20&amp;appid=0" TargetMode="External"/><Relationship Id="rId6" Type="http://schemas.openxmlformats.org/officeDocument/2006/relationships/hyperlink" Target="https://www.wilwood.com/Calipers/CaliperProd.aspx?itemno=120-9689-LP%20%20%20%20&amp;appid=0" TargetMode="External"/><Relationship Id="rId11" Type="http://schemas.openxmlformats.org/officeDocument/2006/relationships/hyperlink" Target="https://www.wilwood.com/BrakePads/BrakePadsProd.aspx?itemno=150-7646K" TargetMode="External"/><Relationship Id="rId5" Type="http://schemas.openxmlformats.org/officeDocument/2006/relationships/hyperlink" Target="https://www.wilwood.com/BrakePads/BrakePadsProd?itemno=15E-12604K" TargetMode="External"/><Relationship Id="rId10" Type="http://schemas.openxmlformats.org/officeDocument/2006/relationships/hyperlink" Target="https://www.wilwood.com/Calipers/CaliperProd?itemno=120-16362%20%20%20%20%20%20&amp;appid=0" TargetMode="External"/><Relationship Id="rId4" Type="http://schemas.openxmlformats.org/officeDocument/2006/relationships/hyperlink" Target="https://www.wilwood.com/Rotors/RotorProd?itemno=160-13336-BK" TargetMode="External"/><Relationship Id="rId9" Type="http://schemas.openxmlformats.org/officeDocument/2006/relationships/hyperlink" Target="https://www.wilwood.com/BrakePads/BrakePadsProd.aspx?itemno=15E-12604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3FE9-246C-4347-9315-09BAD0206F7C}">
  <dimension ref="A1:N100"/>
  <sheetViews>
    <sheetView tabSelected="1" zoomScale="56" zoomScaleNormal="100" workbookViewId="0">
      <selection activeCell="J15" sqref="J15"/>
    </sheetView>
  </sheetViews>
  <sheetFormatPr defaultRowHeight="14.4" x14ac:dyDescent="0.3"/>
  <cols>
    <col min="1" max="1" width="46" customWidth="1"/>
    <col min="2" max="3" width="12.21875" customWidth="1"/>
    <col min="4" max="4" width="63.77734375" customWidth="1"/>
    <col min="5" max="5" width="8.77734375" customWidth="1"/>
    <col min="10" max="10" width="23.6640625" customWidth="1"/>
  </cols>
  <sheetData>
    <row r="1" spans="1:14" s="6" customFormat="1" ht="23.4" x14ac:dyDescent="0.45">
      <c r="A1" s="6" t="s">
        <v>71</v>
      </c>
    </row>
    <row r="2" spans="1:14" ht="20.399999999999999" thickBot="1" x14ac:dyDescent="0.45">
      <c r="I2" s="14"/>
      <c r="J2" s="22" t="s">
        <v>96</v>
      </c>
      <c r="K2" s="13"/>
      <c r="L2" s="17"/>
    </row>
    <row r="3" spans="1:14" ht="15" thickTop="1" x14ac:dyDescent="0.3">
      <c r="C3" t="s">
        <v>61</v>
      </c>
      <c r="D3" t="s">
        <v>74</v>
      </c>
      <c r="I3" s="15"/>
      <c r="J3" t="s">
        <v>97</v>
      </c>
      <c r="K3" s="9">
        <f>B48/(B5)</f>
        <v>5.8926623410065577</v>
      </c>
      <c r="L3" s="18" t="s">
        <v>70</v>
      </c>
    </row>
    <row r="4" spans="1:14" ht="28.8" x14ac:dyDescent="0.3">
      <c r="A4" t="s">
        <v>30</v>
      </c>
      <c r="B4" s="8">
        <v>60</v>
      </c>
      <c r="C4" t="s">
        <v>62</v>
      </c>
      <c r="D4" s="7" t="s">
        <v>75</v>
      </c>
      <c r="I4" s="15"/>
      <c r="J4" t="s">
        <v>98</v>
      </c>
      <c r="K4" s="21">
        <v>4.72</v>
      </c>
      <c r="L4" s="18" t="s">
        <v>70</v>
      </c>
    </row>
    <row r="5" spans="1:14" x14ac:dyDescent="0.3">
      <c r="A5" t="s">
        <v>31</v>
      </c>
      <c r="B5" s="8">
        <v>570</v>
      </c>
      <c r="C5" t="s">
        <v>63</v>
      </c>
      <c r="D5" t="s">
        <v>60</v>
      </c>
      <c r="I5" s="15"/>
      <c r="J5" t="s">
        <v>101</v>
      </c>
      <c r="K5">
        <f>K3-K4</f>
        <v>1.172662341006558</v>
      </c>
      <c r="L5" s="18"/>
    </row>
    <row r="6" spans="1:14" x14ac:dyDescent="0.3">
      <c r="A6" t="s">
        <v>22</v>
      </c>
      <c r="B6" s="8">
        <v>1.47</v>
      </c>
      <c r="C6" t="s">
        <v>64</v>
      </c>
      <c r="D6" t="s">
        <v>55</v>
      </c>
      <c r="I6" s="16"/>
      <c r="J6" s="12" t="s">
        <v>217</v>
      </c>
      <c r="K6" s="12"/>
      <c r="L6" s="19"/>
    </row>
    <row r="7" spans="1:14" x14ac:dyDescent="0.3">
      <c r="A7" t="s">
        <v>23</v>
      </c>
      <c r="B7" s="8">
        <v>1.47</v>
      </c>
      <c r="C7" t="s">
        <v>64</v>
      </c>
      <c r="D7" t="s">
        <v>56</v>
      </c>
    </row>
    <row r="8" spans="1:14" x14ac:dyDescent="0.3">
      <c r="A8" t="s">
        <v>24</v>
      </c>
      <c r="B8" s="8">
        <v>2.94</v>
      </c>
      <c r="C8" t="s">
        <v>64</v>
      </c>
      <c r="D8" t="s">
        <v>57</v>
      </c>
    </row>
    <row r="9" spans="1:14" x14ac:dyDescent="0.3">
      <c r="A9" t="s">
        <v>25</v>
      </c>
      <c r="B9" s="8">
        <v>0.57750000000000001</v>
      </c>
      <c r="C9" t="s">
        <v>64</v>
      </c>
      <c r="D9" t="s">
        <v>58</v>
      </c>
      <c r="N9">
        <f>K3/K4</f>
        <v>1.248445411230203</v>
      </c>
    </row>
    <row r="10" spans="1:14" x14ac:dyDescent="0.3">
      <c r="A10" t="s">
        <v>26</v>
      </c>
      <c r="B10" s="8">
        <v>4900</v>
      </c>
      <c r="C10" t="s">
        <v>65</v>
      </c>
      <c r="D10" t="s">
        <v>59</v>
      </c>
    </row>
    <row r="11" spans="1:14" x14ac:dyDescent="0.3">
      <c r="A11" s="5" t="s">
        <v>12</v>
      </c>
      <c r="B11" s="8">
        <v>0.4</v>
      </c>
      <c r="C11" s="5" t="s">
        <v>66</v>
      </c>
      <c r="D11" t="s">
        <v>94</v>
      </c>
    </row>
    <row r="12" spans="1:14" x14ac:dyDescent="0.3">
      <c r="A12" s="5" t="s">
        <v>47</v>
      </c>
      <c r="B12" s="8">
        <v>0.6</v>
      </c>
      <c r="C12" s="5" t="s">
        <v>66</v>
      </c>
    </row>
    <row r="14" spans="1:14" ht="20.399999999999999" thickBot="1" x14ac:dyDescent="0.45">
      <c r="A14" s="1" t="s">
        <v>77</v>
      </c>
    </row>
    <row r="15" spans="1:14" ht="15" thickTop="1" x14ac:dyDescent="0.3">
      <c r="A15" t="s">
        <v>0</v>
      </c>
      <c r="B15" s="8">
        <v>130</v>
      </c>
      <c r="C15" t="s">
        <v>102</v>
      </c>
      <c r="D15" t="s">
        <v>100</v>
      </c>
    </row>
    <row r="16" spans="1:14" x14ac:dyDescent="0.3">
      <c r="A16" t="s">
        <v>1</v>
      </c>
      <c r="B16" s="8">
        <v>6</v>
      </c>
      <c r="C16" t="s">
        <v>66</v>
      </c>
      <c r="D16" t="s">
        <v>53</v>
      </c>
    </row>
    <row r="17" spans="1:10" x14ac:dyDescent="0.3">
      <c r="A17" t="s">
        <v>2</v>
      </c>
      <c r="B17" s="9">
        <f>B15*B16</f>
        <v>780</v>
      </c>
      <c r="C17" t="s">
        <v>65</v>
      </c>
      <c r="D17" t="s">
        <v>76</v>
      </c>
    </row>
    <row r="18" spans="1:10" x14ac:dyDescent="0.3">
      <c r="J18">
        <f>B36/0.4</f>
        <v>3138.2688924898744</v>
      </c>
    </row>
    <row r="20" spans="1:10" ht="20.399999999999999" thickBot="1" x14ac:dyDescent="0.45">
      <c r="A20" s="1" t="s">
        <v>79</v>
      </c>
    </row>
    <row r="21" spans="1:10" ht="15" thickTop="1" x14ac:dyDescent="0.3">
      <c r="A21" t="s">
        <v>72</v>
      </c>
      <c r="B21" s="10">
        <v>1</v>
      </c>
      <c r="C21" t="s">
        <v>73</v>
      </c>
    </row>
    <row r="22" spans="1:10" x14ac:dyDescent="0.3">
      <c r="A22" t="s">
        <v>3</v>
      </c>
      <c r="B22" s="9">
        <f>PI()*POWER(B21/39.37,2)/4</f>
        <v>5.067095059334948E-4</v>
      </c>
      <c r="C22" t="s">
        <v>67</v>
      </c>
      <c r="D22" t="s">
        <v>54</v>
      </c>
    </row>
    <row r="23" spans="1:10" x14ac:dyDescent="0.3">
      <c r="A23" t="s">
        <v>4</v>
      </c>
      <c r="B23" s="9">
        <f>B17/B22</f>
        <v>1539343.5308915921</v>
      </c>
      <c r="C23" t="s">
        <v>68</v>
      </c>
      <c r="D23" t="s">
        <v>78</v>
      </c>
    </row>
    <row r="26" spans="1:10" ht="20.399999999999999" thickBot="1" x14ac:dyDescent="0.45">
      <c r="A26" s="1" t="s">
        <v>5</v>
      </c>
    </row>
    <row r="27" spans="1:10" ht="15" thickTop="1" x14ac:dyDescent="0.3">
      <c r="A27" t="s">
        <v>6</v>
      </c>
      <c r="B27" s="8">
        <v>1.019353E-3</v>
      </c>
      <c r="C27" t="s">
        <v>67</v>
      </c>
    </row>
    <row r="28" spans="1:10" x14ac:dyDescent="0.3">
      <c r="A28" t="s">
        <v>7</v>
      </c>
      <c r="B28" s="9">
        <f>B23</f>
        <v>1539343.5308915921</v>
      </c>
      <c r="C28" t="s">
        <v>68</v>
      </c>
      <c r="D28" t="s">
        <v>80</v>
      </c>
    </row>
    <row r="29" spans="1:10" x14ac:dyDescent="0.3">
      <c r="A29" t="s">
        <v>8</v>
      </c>
      <c r="B29" s="9">
        <f>B28*B27</f>
        <v>1569.1344462449372</v>
      </c>
      <c r="C29" t="s">
        <v>65</v>
      </c>
      <c r="D29" t="s">
        <v>81</v>
      </c>
    </row>
    <row r="32" spans="1:10" ht="20.399999999999999" thickBot="1" x14ac:dyDescent="0.45">
      <c r="A32" s="1" t="s">
        <v>9</v>
      </c>
    </row>
    <row r="33" spans="1:4" ht="15" thickTop="1" x14ac:dyDescent="0.3">
      <c r="A33" t="s">
        <v>10</v>
      </c>
      <c r="B33" s="9">
        <f>B29*2</f>
        <v>3138.2688924898744</v>
      </c>
      <c r="C33" t="s">
        <v>65</v>
      </c>
      <c r="D33" t="s">
        <v>82</v>
      </c>
    </row>
    <row r="35" spans="1:4" ht="20.399999999999999" thickBot="1" x14ac:dyDescent="0.45">
      <c r="A35" s="1" t="s">
        <v>11</v>
      </c>
    </row>
    <row r="36" spans="1:4" ht="29.4" thickTop="1" x14ac:dyDescent="0.3">
      <c r="A36" t="s">
        <v>13</v>
      </c>
      <c r="B36" s="9">
        <f>B33*B11</f>
        <v>1255.3075569959499</v>
      </c>
      <c r="C36" t="s">
        <v>65</v>
      </c>
      <c r="D36" s="7" t="s">
        <v>83</v>
      </c>
    </row>
    <row r="38" spans="1:4" ht="20.399999999999999" thickBot="1" x14ac:dyDescent="0.45">
      <c r="A38" s="1" t="s">
        <v>14</v>
      </c>
    </row>
    <row r="39" spans="1:4" ht="29.4" thickTop="1" x14ac:dyDescent="0.3">
      <c r="A39" t="s">
        <v>161</v>
      </c>
      <c r="B39" s="8">
        <f>0.309626/2</f>
        <v>0.15481300000000001</v>
      </c>
      <c r="C39" t="s">
        <v>64</v>
      </c>
      <c r="D39" s="7" t="s">
        <v>85</v>
      </c>
    </row>
    <row r="40" spans="1:4" x14ac:dyDescent="0.3">
      <c r="A40" t="s">
        <v>163</v>
      </c>
      <c r="B40" s="9">
        <f>B39*B36</f>
        <v>194.33792882121401</v>
      </c>
      <c r="C40" t="s">
        <v>99</v>
      </c>
      <c r="D40" t="s">
        <v>84</v>
      </c>
    </row>
    <row r="41" spans="1:4" x14ac:dyDescent="0.3">
      <c r="A41" t="s">
        <v>162</v>
      </c>
      <c r="B41" s="34">
        <f>0.37/2</f>
        <v>0.185</v>
      </c>
      <c r="C41" t="s">
        <v>64</v>
      </c>
    </row>
    <row r="42" spans="1:4" x14ac:dyDescent="0.3">
      <c r="A42" t="s">
        <v>164</v>
      </c>
      <c r="B42" s="9">
        <f>B36*B41</f>
        <v>232.23189804425073</v>
      </c>
      <c r="C42" t="s">
        <v>99</v>
      </c>
    </row>
    <row r="44" spans="1:4" ht="20.399999999999999" thickBot="1" x14ac:dyDescent="0.45">
      <c r="A44" s="1" t="s">
        <v>17</v>
      </c>
    </row>
    <row r="45" spans="1:4" ht="15" thickTop="1" x14ac:dyDescent="0.3">
      <c r="A45" t="s">
        <v>18</v>
      </c>
      <c r="B45" s="8">
        <v>0.254</v>
      </c>
      <c r="C45" t="s">
        <v>64</v>
      </c>
    </row>
    <row r="46" spans="1:4" x14ac:dyDescent="0.3">
      <c r="A46" t="s">
        <v>19</v>
      </c>
      <c r="B46" s="9">
        <f>B40/B45</f>
        <v>765.1099559890315</v>
      </c>
      <c r="C46" t="s">
        <v>65</v>
      </c>
      <c r="D46" t="s">
        <v>86</v>
      </c>
    </row>
    <row r="47" spans="1:4" x14ac:dyDescent="0.3">
      <c r="A47" t="s">
        <v>20</v>
      </c>
      <c r="B47" s="9">
        <f>B42/B45</f>
        <v>914.29881119783749</v>
      </c>
      <c r="C47" t="s">
        <v>65</v>
      </c>
      <c r="D47" t="s">
        <v>87</v>
      </c>
    </row>
    <row r="48" spans="1:4" x14ac:dyDescent="0.3">
      <c r="A48" t="s">
        <v>21</v>
      </c>
      <c r="B48" s="9">
        <f>B46*2+B47*2</f>
        <v>3358.817534373738</v>
      </c>
      <c r="C48" t="s">
        <v>65</v>
      </c>
    </row>
    <row r="50" spans="1:4" ht="20.399999999999999" thickBot="1" x14ac:dyDescent="0.45">
      <c r="A50" s="1" t="s">
        <v>32</v>
      </c>
    </row>
    <row r="51" spans="1:4" ht="15" thickTop="1" x14ac:dyDescent="0.3">
      <c r="A51" t="s">
        <v>33</v>
      </c>
      <c r="B51" s="9">
        <f>(1/2)*POWER(B4*(5/18),2)*B5</f>
        <v>79166.666666666686</v>
      </c>
      <c r="C51" t="s">
        <v>69</v>
      </c>
    </row>
    <row r="53" spans="1:4" ht="20.399999999999999" thickBot="1" x14ac:dyDescent="0.45">
      <c r="A53" s="1" t="s">
        <v>34</v>
      </c>
    </row>
    <row r="54" spans="1:4" ht="15" thickTop="1" x14ac:dyDescent="0.3">
      <c r="A54" t="s">
        <v>35</v>
      </c>
      <c r="B54" s="9">
        <f>B51/(B12*B5*9.8)</f>
        <v>23.620559334845051</v>
      </c>
      <c r="C54" t="s">
        <v>64</v>
      </c>
    </row>
    <row r="56" spans="1:4" ht="20.399999999999999" thickBot="1" x14ac:dyDescent="0.45">
      <c r="A56" s="1" t="s">
        <v>36</v>
      </c>
    </row>
    <row r="57" spans="1:4" ht="15" thickTop="1" x14ac:dyDescent="0.3">
      <c r="A57" t="s">
        <v>37</v>
      </c>
      <c r="B57" s="9">
        <f>(0-POWER(B4*5/18,2))/(2*B54)</f>
        <v>-5.8800000000000008</v>
      </c>
      <c r="C57" t="s">
        <v>70</v>
      </c>
    </row>
    <row r="59" spans="1:4" ht="20.399999999999999" thickBot="1" x14ac:dyDescent="0.45">
      <c r="A59" s="1" t="s">
        <v>90</v>
      </c>
    </row>
    <row r="60" spans="1:4" ht="15" thickTop="1" x14ac:dyDescent="0.3">
      <c r="A60" t="s">
        <v>27</v>
      </c>
      <c r="B60" s="9">
        <f>B7*B10/B8</f>
        <v>2450</v>
      </c>
      <c r="C60" t="s">
        <v>65</v>
      </c>
      <c r="D60" t="s">
        <v>89</v>
      </c>
    </row>
    <row r="61" spans="1:4" x14ac:dyDescent="0.3">
      <c r="A61" t="s">
        <v>28</v>
      </c>
      <c r="B61" s="9">
        <f>B6*B10/B8</f>
        <v>2450</v>
      </c>
      <c r="C61" t="s">
        <v>65</v>
      </c>
      <c r="D61" t="s">
        <v>88</v>
      </c>
    </row>
    <row r="63" spans="1:4" ht="20.399999999999999" thickBot="1" x14ac:dyDescent="0.45">
      <c r="A63" s="1" t="s">
        <v>29</v>
      </c>
    </row>
    <row r="64" spans="1:4" ht="15" thickTop="1" x14ac:dyDescent="0.3">
      <c r="A64" t="s">
        <v>38</v>
      </c>
      <c r="B64" s="9">
        <f>(ABS(B57)*B9*B10)/(9.8*B8)</f>
        <v>577.50000000000011</v>
      </c>
      <c r="C64" t="s">
        <v>65</v>
      </c>
      <c r="D64" t="s">
        <v>91</v>
      </c>
    </row>
    <row r="66" spans="1:4" ht="20.399999999999999" thickBot="1" x14ac:dyDescent="0.45">
      <c r="A66" s="1" t="s">
        <v>39</v>
      </c>
    </row>
    <row r="67" spans="1:4" ht="18.600000000000001" thickTop="1" thickBot="1" x14ac:dyDescent="0.4">
      <c r="A67" s="3" t="s">
        <v>40</v>
      </c>
    </row>
    <row r="68" spans="1:4" ht="15" thickTop="1" x14ac:dyDescent="0.3">
      <c r="A68" t="s">
        <v>42</v>
      </c>
      <c r="B68" s="9">
        <f>B61+B64</f>
        <v>3027.5</v>
      </c>
      <c r="C68" t="s">
        <v>65</v>
      </c>
      <c r="D68" t="s">
        <v>92</v>
      </c>
    </row>
    <row r="69" spans="1:4" ht="18" thickBot="1" x14ac:dyDescent="0.4">
      <c r="A69" s="3" t="s">
        <v>41</v>
      </c>
    </row>
    <row r="70" spans="1:4" ht="15" thickTop="1" x14ac:dyDescent="0.3">
      <c r="A70" t="s">
        <v>43</v>
      </c>
      <c r="B70" s="9">
        <f>B60-B64</f>
        <v>1872.5</v>
      </c>
      <c r="C70" t="s">
        <v>65</v>
      </c>
      <c r="D70" t="s">
        <v>93</v>
      </c>
    </row>
    <row r="72" spans="1:4" ht="20.399999999999999" thickBot="1" x14ac:dyDescent="0.45">
      <c r="A72" s="1" t="s">
        <v>44</v>
      </c>
    </row>
    <row r="73" spans="1:4" ht="18.600000000000001" thickTop="1" thickBot="1" x14ac:dyDescent="0.4">
      <c r="A73" s="3" t="s">
        <v>45</v>
      </c>
      <c r="D73" s="72" t="s">
        <v>95</v>
      </c>
    </row>
    <row r="74" spans="1:4" ht="15" thickTop="1" x14ac:dyDescent="0.3">
      <c r="A74" t="s">
        <v>48</v>
      </c>
      <c r="B74" s="9">
        <f>B61*B12</f>
        <v>1470</v>
      </c>
      <c r="C74" t="s">
        <v>65</v>
      </c>
      <c r="D74" s="73"/>
    </row>
    <row r="75" spans="1:4" ht="18" thickBot="1" x14ac:dyDescent="0.4">
      <c r="A75" s="3" t="s">
        <v>46</v>
      </c>
      <c r="D75" s="73"/>
    </row>
    <row r="76" spans="1:4" ht="15" thickTop="1" x14ac:dyDescent="0.3">
      <c r="A76" t="s">
        <v>49</v>
      </c>
      <c r="B76" s="9">
        <f>B60*B12</f>
        <v>1470</v>
      </c>
      <c r="C76" t="s">
        <v>65</v>
      </c>
      <c r="D76" s="73"/>
    </row>
    <row r="77" spans="1:4" x14ac:dyDescent="0.3">
      <c r="D77" s="73"/>
    </row>
    <row r="78" spans="1:4" ht="20.399999999999999" thickBot="1" x14ac:dyDescent="0.45">
      <c r="A78" s="1" t="s">
        <v>50</v>
      </c>
      <c r="D78" s="73"/>
    </row>
    <row r="79" spans="1:4" ht="18.600000000000001" thickTop="1" thickBot="1" x14ac:dyDescent="0.4">
      <c r="A79" s="3" t="s">
        <v>45</v>
      </c>
      <c r="D79" s="73"/>
    </row>
    <row r="80" spans="1:4" ht="15" thickTop="1" x14ac:dyDescent="0.3">
      <c r="A80" t="s">
        <v>48</v>
      </c>
      <c r="B80" s="9">
        <f>B12*B68</f>
        <v>1816.5</v>
      </c>
      <c r="C80" t="s">
        <v>65</v>
      </c>
      <c r="D80" s="73"/>
    </row>
    <row r="81" spans="1:4" ht="18" thickBot="1" x14ac:dyDescent="0.4">
      <c r="A81" s="3" t="s">
        <v>46</v>
      </c>
      <c r="D81" s="73"/>
    </row>
    <row r="82" spans="1:4" ht="15" thickTop="1" x14ac:dyDescent="0.3">
      <c r="A82" t="s">
        <v>49</v>
      </c>
      <c r="B82" s="9">
        <f>B12*B70</f>
        <v>1123.5</v>
      </c>
      <c r="C82" t="s">
        <v>65</v>
      </c>
      <c r="D82" s="73"/>
    </row>
    <row r="84" spans="1:4" ht="20.399999999999999" thickBot="1" x14ac:dyDescent="0.45">
      <c r="A84" s="1" t="s">
        <v>51</v>
      </c>
    </row>
    <row r="85" spans="1:4" ht="15" thickTop="1" x14ac:dyDescent="0.3">
      <c r="A85" s="2" t="s">
        <v>52</v>
      </c>
      <c r="B85" s="20">
        <f>(B48)/(B5*9.8)*100</f>
        <v>60.129207561291409</v>
      </c>
      <c r="C85" s="4" t="s">
        <v>66</v>
      </c>
    </row>
    <row r="87" spans="1:4" x14ac:dyDescent="0.3">
      <c r="B87" s="4"/>
    </row>
    <row r="88" spans="1:4" x14ac:dyDescent="0.3">
      <c r="C88" t="s">
        <v>123</v>
      </c>
    </row>
    <row r="96" spans="1:4" x14ac:dyDescent="0.3">
      <c r="A96" t="s">
        <v>103</v>
      </c>
    </row>
    <row r="100" spans="1:1" ht="30" x14ac:dyDescent="0.5">
      <c r="A100" s="35">
        <f>-1/EXP((282^2)/(2*(99^2)))+1/EXP((80^2)/(2*(99^2)))</f>
        <v>0.70414432204250366</v>
      </c>
    </row>
  </sheetData>
  <mergeCells count="1">
    <mergeCell ref="D73:D8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FAB8-2A95-4CDA-BE18-D58A1E447A2D}">
  <dimension ref="B3:H124"/>
  <sheetViews>
    <sheetView zoomScale="85" workbookViewId="0">
      <selection activeCell="B7" sqref="B7"/>
    </sheetView>
  </sheetViews>
  <sheetFormatPr defaultRowHeight="14.4" x14ac:dyDescent="0.3"/>
  <cols>
    <col min="2" max="2" width="14.77734375" customWidth="1"/>
    <col min="3" max="3" width="17.6640625" customWidth="1"/>
    <col min="7" max="7" width="13.33203125" customWidth="1"/>
    <col min="8" max="8" width="15.44140625" customWidth="1"/>
  </cols>
  <sheetData>
    <row r="3" spans="2:8" ht="20.399999999999999" thickBot="1" x14ac:dyDescent="0.45">
      <c r="B3" s="80" t="s">
        <v>146</v>
      </c>
      <c r="C3" s="81"/>
      <c r="G3" s="82" t="s">
        <v>153</v>
      </c>
      <c r="H3" s="83"/>
    </row>
    <row r="4" spans="2:8" ht="15" thickTop="1" x14ac:dyDescent="0.3">
      <c r="B4" s="29"/>
      <c r="C4" s="18"/>
      <c r="G4" s="15"/>
      <c r="H4" s="18"/>
    </row>
    <row r="5" spans="2:8" x14ac:dyDescent="0.3">
      <c r="B5" s="15" t="s">
        <v>147</v>
      </c>
      <c r="C5" s="18" t="s">
        <v>148</v>
      </c>
      <c r="G5" s="15" t="s">
        <v>150</v>
      </c>
      <c r="H5" s="18" t="s">
        <v>151</v>
      </c>
    </row>
    <row r="6" spans="2:8" x14ac:dyDescent="0.3">
      <c r="B6" s="30">
        <v>280</v>
      </c>
      <c r="C6" s="31">
        <f>B6/4.448</f>
        <v>62.949640287769782</v>
      </c>
      <c r="G6" s="30">
        <v>3</v>
      </c>
      <c r="H6" s="31">
        <f>G6/1550</f>
        <v>1.9354838709677419E-3</v>
      </c>
    </row>
    <row r="7" spans="2:8" x14ac:dyDescent="0.3">
      <c r="B7" s="15"/>
      <c r="C7" s="18"/>
      <c r="G7" s="15"/>
      <c r="H7" s="18"/>
    </row>
    <row r="8" spans="2:8" x14ac:dyDescent="0.3">
      <c r="B8" s="15" t="s">
        <v>148</v>
      </c>
      <c r="C8" s="18" t="s">
        <v>147</v>
      </c>
      <c r="G8" s="15" t="s">
        <v>152</v>
      </c>
      <c r="H8" s="18" t="s">
        <v>150</v>
      </c>
    </row>
    <row r="9" spans="2:8" x14ac:dyDescent="0.3">
      <c r="B9" s="32">
        <v>30</v>
      </c>
      <c r="C9" s="9">
        <f>B9*4.448</f>
        <v>133.44</v>
      </c>
      <c r="G9" s="32">
        <v>7.9354679999999996E-4</v>
      </c>
      <c r="H9" s="33">
        <f>G9*1550</f>
        <v>1.2299975399999998</v>
      </c>
    </row>
    <row r="16" spans="2:8" ht="20.399999999999999" thickBot="1" x14ac:dyDescent="0.45">
      <c r="B16" s="82" t="s">
        <v>149</v>
      </c>
      <c r="C16" s="83"/>
    </row>
    <row r="17" spans="2:3" ht="15" thickTop="1" x14ac:dyDescent="0.3">
      <c r="B17" s="15"/>
      <c r="C17" s="18"/>
    </row>
    <row r="18" spans="2:3" x14ac:dyDescent="0.3">
      <c r="B18" s="15" t="s">
        <v>150</v>
      </c>
      <c r="C18" s="18" t="s">
        <v>151</v>
      </c>
    </row>
    <row r="19" spans="2:3" x14ac:dyDescent="0.3">
      <c r="B19" s="30">
        <v>13</v>
      </c>
      <c r="C19" s="31">
        <f>B19/39.37</f>
        <v>0.33020066040132084</v>
      </c>
    </row>
    <row r="20" spans="2:3" x14ac:dyDescent="0.3">
      <c r="B20" s="15"/>
      <c r="C20" s="18"/>
    </row>
    <row r="21" spans="2:3" x14ac:dyDescent="0.3">
      <c r="B21" s="15" t="s">
        <v>152</v>
      </c>
      <c r="C21" s="18" t="s">
        <v>150</v>
      </c>
    </row>
    <row r="22" spans="2:3" x14ac:dyDescent="0.3">
      <c r="B22" s="32"/>
      <c r="C22" s="33">
        <f>B22*39.37</f>
        <v>0</v>
      </c>
    </row>
    <row r="30" spans="2:3" x14ac:dyDescent="0.3">
      <c r="C30" t="s">
        <v>159</v>
      </c>
    </row>
    <row r="31" spans="2:3" x14ac:dyDescent="0.3">
      <c r="C31" t="s">
        <v>160</v>
      </c>
    </row>
    <row r="34" spans="2:4" x14ac:dyDescent="0.3">
      <c r="C34" t="s">
        <v>168</v>
      </c>
    </row>
    <row r="35" spans="2:4" x14ac:dyDescent="0.3">
      <c r="C35" t="s">
        <v>169</v>
      </c>
      <c r="D35">
        <v>4</v>
      </c>
    </row>
    <row r="36" spans="2:4" x14ac:dyDescent="0.3">
      <c r="C36" t="s">
        <v>170</v>
      </c>
      <c r="D36">
        <v>2.7</v>
      </c>
    </row>
    <row r="37" spans="2:4" x14ac:dyDescent="0.3">
      <c r="C37" t="s">
        <v>171</v>
      </c>
      <c r="D37">
        <v>330</v>
      </c>
    </row>
    <row r="44" spans="2:4" x14ac:dyDescent="0.3">
      <c r="B44" t="s">
        <v>173</v>
      </c>
      <c r="C44" s="11" t="s">
        <v>172</v>
      </c>
    </row>
    <row r="59" spans="2:4" x14ac:dyDescent="0.3">
      <c r="B59" t="s">
        <v>174</v>
      </c>
      <c r="D59">
        <v>148</v>
      </c>
    </row>
    <row r="60" spans="2:4" x14ac:dyDescent="0.3">
      <c r="B60" t="s">
        <v>175</v>
      </c>
      <c r="D60">
        <v>102</v>
      </c>
    </row>
    <row r="61" spans="2:4" x14ac:dyDescent="0.3">
      <c r="B61" t="s">
        <v>176</v>
      </c>
      <c r="D61">
        <v>148</v>
      </c>
    </row>
    <row r="62" spans="2:4" x14ac:dyDescent="0.3">
      <c r="B62" t="s">
        <v>177</v>
      </c>
      <c r="D62">
        <v>138</v>
      </c>
    </row>
    <row r="121" spans="2:2" x14ac:dyDescent="0.3">
      <c r="B121" t="s">
        <v>138</v>
      </c>
    </row>
    <row r="122" spans="2:2" x14ac:dyDescent="0.3">
      <c r="B122" t="s">
        <v>139</v>
      </c>
    </row>
    <row r="123" spans="2:2" x14ac:dyDescent="0.3">
      <c r="B123" t="s">
        <v>140</v>
      </c>
    </row>
    <row r="124" spans="2:2" x14ac:dyDescent="0.3">
      <c r="B124" t="s">
        <v>141</v>
      </c>
    </row>
  </sheetData>
  <mergeCells count="3">
    <mergeCell ref="B3:C3"/>
    <mergeCell ref="B16:C16"/>
    <mergeCell ref="G3:H3"/>
  </mergeCells>
  <hyperlinks>
    <hyperlink ref="C44" r:id="rId1" xr:uid="{5495ECD1-A1FF-4074-A842-9024135E29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2046-F5DD-4F90-8FD5-B2EE59B5E9FF}">
  <dimension ref="B2:B14"/>
  <sheetViews>
    <sheetView workbookViewId="0">
      <selection activeCell="B14" sqref="B14"/>
    </sheetView>
  </sheetViews>
  <sheetFormatPr defaultRowHeight="14.4" x14ac:dyDescent="0.3"/>
  <sheetData>
    <row r="2" spans="2:2" x14ac:dyDescent="0.3">
      <c r="B2" s="11" t="s">
        <v>204</v>
      </c>
    </row>
    <row r="10" spans="2:2" x14ac:dyDescent="0.3">
      <c r="B10" t="s">
        <v>205</v>
      </c>
    </row>
    <row r="11" spans="2:2" x14ac:dyDescent="0.3">
      <c r="B11" s="11" t="s">
        <v>206</v>
      </c>
    </row>
    <row r="13" spans="2:2" x14ac:dyDescent="0.3">
      <c r="B13" t="s">
        <v>207</v>
      </c>
    </row>
    <row r="14" spans="2:2" x14ac:dyDescent="0.3">
      <c r="B14" s="11" t="s">
        <v>208</v>
      </c>
    </row>
  </sheetData>
  <hyperlinks>
    <hyperlink ref="B2" r:id="rId1" xr:uid="{0C427D52-251E-4067-9963-BED52F7B2E17}"/>
    <hyperlink ref="B11" r:id="rId2" xr:uid="{3C38C54D-35CE-4F8B-B7C8-C7AD110B6EE8}"/>
    <hyperlink ref="B14" r:id="rId3" xr:uid="{E4095B0B-5B77-43CA-BE04-22031F79BAC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6064-D1B7-49D7-BDCC-5D39207DF98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3A6C-EB00-46A2-88A4-3A71DA069E06}">
  <dimension ref="C3:D8"/>
  <sheetViews>
    <sheetView workbookViewId="0">
      <selection activeCell="C3" sqref="C3:D8"/>
    </sheetView>
  </sheetViews>
  <sheetFormatPr defaultRowHeight="14.4" x14ac:dyDescent="0.3"/>
  <sheetData>
    <row r="3" spans="3:4" x14ac:dyDescent="0.3">
      <c r="C3">
        <v>10</v>
      </c>
      <c r="D3">
        <v>3.48</v>
      </c>
    </row>
    <row r="4" spans="3:4" x14ac:dyDescent="0.3">
      <c r="C4">
        <v>10.25</v>
      </c>
      <c r="D4">
        <v>3.59</v>
      </c>
    </row>
    <row r="5" spans="3:4" x14ac:dyDescent="0.3">
      <c r="C5">
        <v>10.5</v>
      </c>
      <c r="D5">
        <v>3.7</v>
      </c>
    </row>
    <row r="6" spans="3:4" x14ac:dyDescent="0.3">
      <c r="C6">
        <v>11</v>
      </c>
      <c r="D6">
        <v>3.93</v>
      </c>
    </row>
    <row r="7" spans="3:4" x14ac:dyDescent="0.3">
      <c r="C7">
        <v>11.75</v>
      </c>
      <c r="D7">
        <v>4.28</v>
      </c>
    </row>
    <row r="8" spans="3:4" x14ac:dyDescent="0.3">
      <c r="C8">
        <v>12.19</v>
      </c>
      <c r="D8">
        <v>4.4800000000000004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CC21-3AD1-4A34-AEC3-ED995FF3D719}">
  <dimension ref="A1:L113"/>
  <sheetViews>
    <sheetView topLeftCell="A66" zoomScale="73" zoomScaleNormal="73" workbookViewId="0">
      <selection activeCell="K3" sqref="K3"/>
    </sheetView>
  </sheetViews>
  <sheetFormatPr defaultRowHeight="14.4" x14ac:dyDescent="0.3"/>
  <cols>
    <col min="1" max="1" width="46" customWidth="1"/>
    <col min="2" max="3" width="12.21875" customWidth="1"/>
    <col min="4" max="4" width="63.77734375" customWidth="1"/>
    <col min="5" max="5" width="8.77734375" customWidth="1"/>
    <col min="10" max="10" width="23.6640625" customWidth="1"/>
  </cols>
  <sheetData>
    <row r="1" spans="1:12" s="6" customFormat="1" ht="23.4" x14ac:dyDescent="0.45">
      <c r="A1" s="60" t="s">
        <v>71</v>
      </c>
      <c r="B1" s="61"/>
      <c r="C1" s="61"/>
      <c r="D1" s="61"/>
      <c r="E1" s="61"/>
      <c r="F1" s="61"/>
      <c r="G1" s="61"/>
      <c r="H1" s="61"/>
      <c r="I1" s="62"/>
    </row>
    <row r="2" spans="1:12" ht="20.399999999999999" thickBot="1" x14ac:dyDescent="0.45">
      <c r="A2" s="15"/>
      <c r="I2" s="63"/>
      <c r="J2" s="22" t="s">
        <v>96</v>
      </c>
      <c r="K2" s="13"/>
      <c r="L2" s="17"/>
    </row>
    <row r="3" spans="1:12" ht="15" thickTop="1" x14ac:dyDescent="0.3">
      <c r="A3" s="15"/>
      <c r="C3" t="s">
        <v>61</v>
      </c>
      <c r="D3" t="s">
        <v>74</v>
      </c>
      <c r="I3" s="64"/>
      <c r="J3" t="s">
        <v>97</v>
      </c>
      <c r="K3" s="9">
        <f>B57/(B5)</f>
        <v>7.4474201211730033</v>
      </c>
      <c r="L3" s="18" t="s">
        <v>70</v>
      </c>
    </row>
    <row r="4" spans="1:12" ht="28.8" x14ac:dyDescent="0.3">
      <c r="A4" s="15" t="s">
        <v>30</v>
      </c>
      <c r="B4" s="21">
        <v>60</v>
      </c>
      <c r="C4" t="s">
        <v>62</v>
      </c>
      <c r="D4" s="7" t="s">
        <v>75</v>
      </c>
      <c r="I4" s="64"/>
      <c r="J4" t="s">
        <v>98</v>
      </c>
      <c r="K4" s="21">
        <v>4.72</v>
      </c>
      <c r="L4" s="18" t="s">
        <v>70</v>
      </c>
    </row>
    <row r="5" spans="1:12" x14ac:dyDescent="0.3">
      <c r="A5" s="15" t="s">
        <v>31</v>
      </c>
      <c r="B5" s="21">
        <v>500</v>
      </c>
      <c r="C5" t="s">
        <v>63</v>
      </c>
      <c r="D5" t="s">
        <v>60</v>
      </c>
      <c r="I5" s="64"/>
      <c r="J5" t="s">
        <v>101</v>
      </c>
      <c r="K5">
        <f>K3-K4</f>
        <v>2.7274201211730036</v>
      </c>
      <c r="L5" s="18"/>
    </row>
    <row r="6" spans="1:12" x14ac:dyDescent="0.3">
      <c r="A6" s="15" t="s">
        <v>22</v>
      </c>
      <c r="B6" s="21">
        <v>1.47</v>
      </c>
      <c r="C6" t="s">
        <v>64</v>
      </c>
      <c r="D6" t="s">
        <v>55</v>
      </c>
      <c r="I6" s="65"/>
      <c r="J6" s="12" t="s">
        <v>156</v>
      </c>
      <c r="K6" s="12">
        <f>K3/K4</f>
        <v>1.5778432460112295</v>
      </c>
      <c r="L6" s="19"/>
    </row>
    <row r="7" spans="1:12" x14ac:dyDescent="0.3">
      <c r="A7" s="15" t="s">
        <v>23</v>
      </c>
      <c r="B7" s="21">
        <v>1.47</v>
      </c>
      <c r="C7" t="s">
        <v>64</v>
      </c>
      <c r="D7" t="s">
        <v>56</v>
      </c>
      <c r="I7" s="18"/>
    </row>
    <row r="8" spans="1:12" x14ac:dyDescent="0.3">
      <c r="A8" s="15" t="s">
        <v>24</v>
      </c>
      <c r="B8" s="21">
        <v>2.94</v>
      </c>
      <c r="C8" t="s">
        <v>64</v>
      </c>
      <c r="D8" t="s">
        <v>57</v>
      </c>
      <c r="I8" s="18"/>
    </row>
    <row r="9" spans="1:12" x14ac:dyDescent="0.3">
      <c r="A9" s="15" t="s">
        <v>25</v>
      </c>
      <c r="B9" s="21">
        <v>0.57750000000000001</v>
      </c>
      <c r="C9" t="s">
        <v>64</v>
      </c>
      <c r="D9" t="s">
        <v>58</v>
      </c>
      <c r="I9" s="18"/>
    </row>
    <row r="10" spans="1:12" x14ac:dyDescent="0.3">
      <c r="A10" s="15" t="s">
        <v>26</v>
      </c>
      <c r="B10" s="21">
        <v>4900</v>
      </c>
      <c r="C10" t="s">
        <v>65</v>
      </c>
      <c r="D10" t="s">
        <v>59</v>
      </c>
      <c r="I10" s="18"/>
    </row>
    <row r="11" spans="1:12" x14ac:dyDescent="0.3">
      <c r="A11" s="66" t="s">
        <v>12</v>
      </c>
      <c r="B11" s="21">
        <v>0.4</v>
      </c>
      <c r="C11" s="5" t="s">
        <v>66</v>
      </c>
      <c r="D11" t="s">
        <v>94</v>
      </c>
      <c r="I11" s="18"/>
    </row>
    <row r="12" spans="1:12" x14ac:dyDescent="0.3">
      <c r="A12" s="66" t="s">
        <v>47</v>
      </c>
      <c r="B12" s="21">
        <v>0.6</v>
      </c>
      <c r="C12" s="5" t="s">
        <v>66</v>
      </c>
      <c r="I12" s="18"/>
      <c r="K12">
        <f>1*9.8*510/4/4.448</f>
        <v>280.91276978417261</v>
      </c>
    </row>
    <row r="13" spans="1:12" x14ac:dyDescent="0.3">
      <c r="A13" s="15"/>
      <c r="I13" s="18"/>
    </row>
    <row r="14" spans="1:12" ht="20.399999999999999" thickBot="1" x14ac:dyDescent="0.45">
      <c r="A14" s="67" t="s">
        <v>77</v>
      </c>
      <c r="I14" s="18"/>
    </row>
    <row r="15" spans="1:12" ht="15" thickTop="1" x14ac:dyDescent="0.3">
      <c r="A15" s="15" t="s">
        <v>0</v>
      </c>
      <c r="B15" s="21">
        <v>130</v>
      </c>
      <c r="C15" t="s">
        <v>102</v>
      </c>
      <c r="D15" t="s">
        <v>100</v>
      </c>
      <c r="I15" s="18"/>
    </row>
    <row r="16" spans="1:12" x14ac:dyDescent="0.3">
      <c r="A16" s="15" t="s">
        <v>1</v>
      </c>
      <c r="B16" s="21">
        <v>7</v>
      </c>
      <c r="C16" t="s">
        <v>66</v>
      </c>
      <c r="D16" t="s">
        <v>53</v>
      </c>
      <c r="I16" s="18"/>
    </row>
    <row r="17" spans="1:9" x14ac:dyDescent="0.3">
      <c r="A17" s="15" t="s">
        <v>2</v>
      </c>
      <c r="B17" s="9">
        <f>B15*B16</f>
        <v>910</v>
      </c>
      <c r="C17" t="s">
        <v>65</v>
      </c>
      <c r="D17" t="s">
        <v>76</v>
      </c>
      <c r="I17" s="18"/>
    </row>
    <row r="18" spans="1:9" x14ac:dyDescent="0.3">
      <c r="A18" s="15"/>
      <c r="I18" s="18"/>
    </row>
    <row r="19" spans="1:9" x14ac:dyDescent="0.3">
      <c r="A19" s="15"/>
      <c r="I19" s="18"/>
    </row>
    <row r="20" spans="1:9" ht="20.399999999999999" thickBot="1" x14ac:dyDescent="0.45">
      <c r="A20" s="67" t="s">
        <v>79</v>
      </c>
      <c r="I20" s="18"/>
    </row>
    <row r="21" spans="1:9" ht="15" thickTop="1" x14ac:dyDescent="0.3">
      <c r="A21" s="15" t="s">
        <v>72</v>
      </c>
      <c r="B21" s="68">
        <v>1</v>
      </c>
      <c r="C21" t="s">
        <v>73</v>
      </c>
      <c r="I21" s="18"/>
    </row>
    <row r="22" spans="1:9" x14ac:dyDescent="0.3">
      <c r="A22" s="15" t="s">
        <v>3</v>
      </c>
      <c r="B22" s="9">
        <f>PI()*POWER(B21/39.37,2)/4</f>
        <v>5.067095059334948E-4</v>
      </c>
      <c r="C22" t="s">
        <v>67</v>
      </c>
      <c r="D22" t="s">
        <v>54</v>
      </c>
      <c r="I22" s="18"/>
    </row>
    <row r="23" spans="1:9" x14ac:dyDescent="0.3">
      <c r="A23" s="15" t="s">
        <v>4</v>
      </c>
      <c r="B23" s="9">
        <f>B17/B22</f>
        <v>1795900.7860401908</v>
      </c>
      <c r="C23" t="s">
        <v>68</v>
      </c>
      <c r="D23" t="s">
        <v>78</v>
      </c>
      <c r="I23" s="18"/>
    </row>
    <row r="24" spans="1:9" x14ac:dyDescent="0.3">
      <c r="A24" s="15"/>
      <c r="I24" s="18"/>
    </row>
    <row r="25" spans="1:9" x14ac:dyDescent="0.3">
      <c r="A25" s="15"/>
      <c r="I25" s="18"/>
    </row>
    <row r="26" spans="1:9" ht="20.399999999999999" thickBot="1" x14ac:dyDescent="0.45">
      <c r="A26" s="67" t="s">
        <v>5</v>
      </c>
      <c r="I26" s="18"/>
    </row>
    <row r="27" spans="1:9" ht="18.600000000000001" thickTop="1" thickBot="1" x14ac:dyDescent="0.4">
      <c r="A27" s="69" t="s">
        <v>144</v>
      </c>
      <c r="I27" s="18"/>
    </row>
    <row r="28" spans="1:9" ht="15" thickTop="1" x14ac:dyDescent="0.3">
      <c r="A28" s="15" t="s">
        <v>6</v>
      </c>
      <c r="B28" s="21">
        <v>1.019353E-3</v>
      </c>
      <c r="C28" t="s">
        <v>67</v>
      </c>
      <c r="D28" t="s">
        <v>202</v>
      </c>
      <c r="I28" s="18"/>
    </row>
    <row r="29" spans="1:9" x14ac:dyDescent="0.3">
      <c r="A29" s="15" t="s">
        <v>7</v>
      </c>
      <c r="B29" s="9">
        <f>B23</f>
        <v>1795900.7860401908</v>
      </c>
      <c r="C29" t="s">
        <v>68</v>
      </c>
      <c r="D29" t="s">
        <v>80</v>
      </c>
      <c r="I29" s="18"/>
    </row>
    <row r="30" spans="1:9" x14ac:dyDescent="0.3">
      <c r="A30" s="15" t="s">
        <v>8</v>
      </c>
      <c r="B30" s="9">
        <f>B29*B28</f>
        <v>1830.6568539524267</v>
      </c>
      <c r="C30" t="s">
        <v>65</v>
      </c>
      <c r="D30" t="s">
        <v>81</v>
      </c>
      <c r="I30" s="18"/>
    </row>
    <row r="31" spans="1:9" ht="18" thickBot="1" x14ac:dyDescent="0.4">
      <c r="A31" s="69" t="s">
        <v>145</v>
      </c>
      <c r="I31" s="18"/>
    </row>
    <row r="32" spans="1:9" ht="15" thickTop="1" x14ac:dyDescent="0.3">
      <c r="A32" s="15" t="s">
        <v>6</v>
      </c>
      <c r="B32" s="21">
        <v>1.54838E-3</v>
      </c>
      <c r="C32" t="s">
        <v>67</v>
      </c>
      <c r="D32" t="s">
        <v>203</v>
      </c>
      <c r="I32" s="18"/>
    </row>
    <row r="33" spans="1:9" x14ac:dyDescent="0.3">
      <c r="A33" s="15" t="s">
        <v>7</v>
      </c>
      <c r="B33" s="9">
        <f>B23</f>
        <v>1795900.7860401908</v>
      </c>
      <c r="C33" t="s">
        <v>68</v>
      </c>
      <c r="I33" s="18"/>
    </row>
    <row r="34" spans="1:9" x14ac:dyDescent="0.3">
      <c r="A34" s="15" t="s">
        <v>8</v>
      </c>
      <c r="B34" s="9">
        <f>B33*B32</f>
        <v>2780.7368590889109</v>
      </c>
      <c r="C34" t="s">
        <v>65</v>
      </c>
      <c r="I34" s="18"/>
    </row>
    <row r="35" spans="1:9" ht="20.399999999999999" thickBot="1" x14ac:dyDescent="0.45">
      <c r="A35" s="67" t="s">
        <v>9</v>
      </c>
      <c r="I35" s="18"/>
    </row>
    <row r="36" spans="1:9" ht="15" thickTop="1" x14ac:dyDescent="0.3">
      <c r="A36" s="15" t="s">
        <v>142</v>
      </c>
      <c r="B36" s="9">
        <f>B30*2</f>
        <v>3661.3137079048533</v>
      </c>
      <c r="C36" t="s">
        <v>65</v>
      </c>
      <c r="D36" t="s">
        <v>82</v>
      </c>
      <c r="I36" s="18"/>
    </row>
    <row r="37" spans="1:9" x14ac:dyDescent="0.3">
      <c r="A37" s="15" t="s">
        <v>143</v>
      </c>
      <c r="B37" s="9">
        <f>B34</f>
        <v>2780.7368590889109</v>
      </c>
      <c r="C37" t="s">
        <v>65</v>
      </c>
      <c r="I37" s="18"/>
    </row>
    <row r="38" spans="1:9" x14ac:dyDescent="0.3">
      <c r="A38" s="15"/>
      <c r="I38" s="18"/>
    </row>
    <row r="39" spans="1:9" ht="20.399999999999999" thickBot="1" x14ac:dyDescent="0.45">
      <c r="A39" s="67" t="s">
        <v>11</v>
      </c>
      <c r="I39" s="18"/>
    </row>
    <row r="40" spans="1:9" ht="18.600000000000001" thickTop="1" thickBot="1" x14ac:dyDescent="0.4">
      <c r="A40" s="69" t="s">
        <v>144</v>
      </c>
      <c r="I40" s="18"/>
    </row>
    <row r="41" spans="1:9" ht="29.4" thickTop="1" x14ac:dyDescent="0.3">
      <c r="A41" s="15" t="s">
        <v>13</v>
      </c>
      <c r="B41" s="9">
        <f>B36*B11</f>
        <v>1464.5254831619413</v>
      </c>
      <c r="C41" t="s">
        <v>65</v>
      </c>
      <c r="D41" s="7" t="s">
        <v>83</v>
      </c>
      <c r="I41" s="18"/>
    </row>
    <row r="42" spans="1:9" ht="18" thickBot="1" x14ac:dyDescent="0.4">
      <c r="A42" s="69" t="s">
        <v>145</v>
      </c>
      <c r="D42" s="7"/>
      <c r="I42" s="18"/>
    </row>
    <row r="43" spans="1:9" ht="15" thickTop="1" x14ac:dyDescent="0.3">
      <c r="A43" s="15" t="s">
        <v>13</v>
      </c>
      <c r="B43" s="9">
        <f>B37*B11</f>
        <v>1112.2947436355644</v>
      </c>
      <c r="C43" t="s">
        <v>65</v>
      </c>
      <c r="I43" s="18"/>
    </row>
    <row r="44" spans="1:9" x14ac:dyDescent="0.3">
      <c r="A44" s="15"/>
      <c r="I44" s="18"/>
    </row>
    <row r="45" spans="1:9" ht="20.399999999999999" thickBot="1" x14ac:dyDescent="0.45">
      <c r="A45" s="67" t="s">
        <v>14</v>
      </c>
      <c r="I45" s="18"/>
    </row>
    <row r="46" spans="1:9" ht="18.600000000000001" thickTop="1" thickBot="1" x14ac:dyDescent="0.4">
      <c r="A46" s="69" t="s">
        <v>144</v>
      </c>
      <c r="I46" s="18"/>
    </row>
    <row r="47" spans="1:9" ht="29.4" thickTop="1" x14ac:dyDescent="0.3">
      <c r="A47" s="15" t="s">
        <v>15</v>
      </c>
      <c r="B47" s="21">
        <f>0.26/2</f>
        <v>0.13</v>
      </c>
      <c r="C47" t="s">
        <v>64</v>
      </c>
      <c r="D47" s="7" t="s">
        <v>85</v>
      </c>
      <c r="I47" s="18"/>
    </row>
    <row r="48" spans="1:9" x14ac:dyDescent="0.3">
      <c r="A48" s="15" t="s">
        <v>16</v>
      </c>
      <c r="B48" s="9">
        <f>B47*B41</f>
        <v>190.38831281105237</v>
      </c>
      <c r="C48" t="s">
        <v>99</v>
      </c>
      <c r="D48" t="s">
        <v>84</v>
      </c>
      <c r="I48" s="18"/>
    </row>
    <row r="49" spans="1:9" ht="18" thickBot="1" x14ac:dyDescent="0.4">
      <c r="A49" s="69" t="s">
        <v>145</v>
      </c>
      <c r="B49" s="9"/>
      <c r="I49" s="18"/>
    </row>
    <row r="50" spans="1:9" ht="15" thickTop="1" x14ac:dyDescent="0.3">
      <c r="A50" s="15" t="s">
        <v>15</v>
      </c>
      <c r="B50" s="21">
        <f>0.3302/2</f>
        <v>0.1651</v>
      </c>
      <c r="C50" t="s">
        <v>64</v>
      </c>
      <c r="I50" s="18"/>
    </row>
    <row r="51" spans="1:9" x14ac:dyDescent="0.3">
      <c r="A51" s="15" t="s">
        <v>16</v>
      </c>
      <c r="B51" s="9">
        <f>B50*B43</f>
        <v>183.63986217423167</v>
      </c>
      <c r="C51" t="s">
        <v>99</v>
      </c>
      <c r="I51" s="18"/>
    </row>
    <row r="52" spans="1:9" x14ac:dyDescent="0.3">
      <c r="A52" s="15"/>
      <c r="I52" s="18"/>
    </row>
    <row r="53" spans="1:9" ht="20.399999999999999" thickBot="1" x14ac:dyDescent="0.45">
      <c r="A53" s="67" t="s">
        <v>17</v>
      </c>
      <c r="I53" s="18"/>
    </row>
    <row r="54" spans="1:9" ht="15" thickTop="1" x14ac:dyDescent="0.3">
      <c r="A54" s="15" t="s">
        <v>18</v>
      </c>
      <c r="B54" s="21">
        <v>0.254</v>
      </c>
      <c r="C54" t="s">
        <v>64</v>
      </c>
      <c r="I54" s="18"/>
    </row>
    <row r="55" spans="1:9" x14ac:dyDescent="0.3">
      <c r="A55" s="15" t="s">
        <v>19</v>
      </c>
      <c r="B55" s="9">
        <f>B48/B54</f>
        <v>749.56028665768645</v>
      </c>
      <c r="C55" t="s">
        <v>65</v>
      </c>
      <c r="D55" t="s">
        <v>86</v>
      </c>
      <c r="I55" s="18"/>
    </row>
    <row r="56" spans="1:9" x14ac:dyDescent="0.3">
      <c r="A56" s="15" t="s">
        <v>20</v>
      </c>
      <c r="B56" s="9">
        <f>B51/B50</f>
        <v>1112.2947436355644</v>
      </c>
      <c r="C56" t="s">
        <v>65</v>
      </c>
      <c r="D56" t="s">
        <v>87</v>
      </c>
      <c r="I56" s="18"/>
    </row>
    <row r="57" spans="1:9" x14ac:dyDescent="0.3">
      <c r="A57" s="15" t="s">
        <v>21</v>
      </c>
      <c r="B57" s="9">
        <f>B55*2+B56*2</f>
        <v>3723.7100605865016</v>
      </c>
      <c r="C57" t="s">
        <v>65</v>
      </c>
      <c r="I57" s="18"/>
    </row>
    <row r="58" spans="1:9" x14ac:dyDescent="0.3">
      <c r="A58" s="15"/>
      <c r="I58" s="18"/>
    </row>
    <row r="59" spans="1:9" ht="20.399999999999999" thickBot="1" x14ac:dyDescent="0.45">
      <c r="A59" s="67" t="s">
        <v>32</v>
      </c>
      <c r="I59" s="18"/>
    </row>
    <row r="60" spans="1:9" ht="15" thickTop="1" x14ac:dyDescent="0.3">
      <c r="A60" s="15" t="s">
        <v>33</v>
      </c>
      <c r="B60" s="9">
        <f>(1/2)*POWER(B4*(5/18),2)*B5</f>
        <v>69444.444444444453</v>
      </c>
      <c r="C60" t="s">
        <v>69</v>
      </c>
      <c r="I60" s="18"/>
    </row>
    <row r="61" spans="1:9" x14ac:dyDescent="0.3">
      <c r="A61" s="15"/>
      <c r="I61" s="18"/>
    </row>
    <row r="62" spans="1:9" ht="20.399999999999999" thickBot="1" x14ac:dyDescent="0.45">
      <c r="A62" s="67" t="s">
        <v>34</v>
      </c>
      <c r="I62" s="18"/>
    </row>
    <row r="63" spans="1:9" ht="15" thickTop="1" x14ac:dyDescent="0.3">
      <c r="A63" s="15" t="s">
        <v>35</v>
      </c>
      <c r="B63" s="9">
        <f>B60/(B12*B5*9.8)</f>
        <v>23.620559334845051</v>
      </c>
      <c r="C63" t="s">
        <v>64</v>
      </c>
      <c r="I63" s="18"/>
    </row>
    <row r="64" spans="1:9" x14ac:dyDescent="0.3">
      <c r="A64" s="15"/>
      <c r="I64" s="18"/>
    </row>
    <row r="65" spans="1:9" ht="20.399999999999999" thickBot="1" x14ac:dyDescent="0.45">
      <c r="A65" s="67" t="s">
        <v>36</v>
      </c>
      <c r="I65" s="18"/>
    </row>
    <row r="66" spans="1:9" ht="15" thickTop="1" x14ac:dyDescent="0.3">
      <c r="A66" s="15" t="s">
        <v>37</v>
      </c>
      <c r="B66" s="9">
        <f>(0-POWER(B4*5/18,2))/(2*B63)</f>
        <v>-5.8800000000000008</v>
      </c>
      <c r="C66" t="s">
        <v>70</v>
      </c>
      <c r="I66" s="18"/>
    </row>
    <row r="67" spans="1:9" x14ac:dyDescent="0.3">
      <c r="A67" s="15"/>
      <c r="I67" s="18"/>
    </row>
    <row r="68" spans="1:9" ht="20.399999999999999" thickBot="1" x14ac:dyDescent="0.45">
      <c r="A68" s="67" t="s">
        <v>90</v>
      </c>
      <c r="I68" s="18"/>
    </row>
    <row r="69" spans="1:9" ht="15" thickTop="1" x14ac:dyDescent="0.3">
      <c r="A69" s="15" t="s">
        <v>27</v>
      </c>
      <c r="B69" s="9">
        <f>B7*B10/B8</f>
        <v>2450</v>
      </c>
      <c r="C69" t="s">
        <v>65</v>
      </c>
      <c r="D69" t="s">
        <v>89</v>
      </c>
      <c r="I69" s="18"/>
    </row>
    <row r="70" spans="1:9" x14ac:dyDescent="0.3">
      <c r="A70" s="15" t="s">
        <v>28</v>
      </c>
      <c r="B70" s="9">
        <f>B6*B10/B8</f>
        <v>2450</v>
      </c>
      <c r="C70" t="s">
        <v>65</v>
      </c>
      <c r="D70" t="s">
        <v>88</v>
      </c>
      <c r="I70" s="18"/>
    </row>
    <row r="71" spans="1:9" x14ac:dyDescent="0.3">
      <c r="A71" s="15"/>
      <c r="I71" s="18"/>
    </row>
    <row r="72" spans="1:9" ht="20.399999999999999" thickBot="1" x14ac:dyDescent="0.45">
      <c r="A72" s="67" t="s">
        <v>29</v>
      </c>
      <c r="I72" s="18"/>
    </row>
    <row r="73" spans="1:9" ht="15" thickTop="1" x14ac:dyDescent="0.3">
      <c r="A73" s="15" t="s">
        <v>38</v>
      </c>
      <c r="B73" s="9">
        <f>(ABS(B66)*B9*B10)/(9.8*B8)</f>
        <v>577.50000000000011</v>
      </c>
      <c r="C73" t="s">
        <v>65</v>
      </c>
      <c r="D73" t="s">
        <v>91</v>
      </c>
      <c r="I73" s="18"/>
    </row>
    <row r="74" spans="1:9" x14ac:dyDescent="0.3">
      <c r="A74" s="15"/>
      <c r="I74" s="18"/>
    </row>
    <row r="75" spans="1:9" ht="20.399999999999999" thickBot="1" x14ac:dyDescent="0.45">
      <c r="A75" s="67" t="s">
        <v>39</v>
      </c>
      <c r="I75" s="18"/>
    </row>
    <row r="76" spans="1:9" ht="18.600000000000001" thickTop="1" thickBot="1" x14ac:dyDescent="0.4">
      <c r="A76" s="69" t="s">
        <v>40</v>
      </c>
      <c r="I76" s="18"/>
    </row>
    <row r="77" spans="1:9" ht="15" thickTop="1" x14ac:dyDescent="0.3">
      <c r="A77" s="15" t="s">
        <v>42</v>
      </c>
      <c r="B77" s="9">
        <f>B70+B73</f>
        <v>3027.5</v>
      </c>
      <c r="C77" t="s">
        <v>65</v>
      </c>
      <c r="D77" t="s">
        <v>92</v>
      </c>
      <c r="I77" s="18"/>
    </row>
    <row r="78" spans="1:9" ht="18" thickBot="1" x14ac:dyDescent="0.4">
      <c r="A78" s="69" t="s">
        <v>41</v>
      </c>
      <c r="I78" s="18"/>
    </row>
    <row r="79" spans="1:9" ht="15" thickTop="1" x14ac:dyDescent="0.3">
      <c r="A79" s="15" t="s">
        <v>43</v>
      </c>
      <c r="B79" s="9">
        <f>B69-B73</f>
        <v>1872.5</v>
      </c>
      <c r="C79" t="s">
        <v>65</v>
      </c>
      <c r="D79" t="s">
        <v>93</v>
      </c>
      <c r="I79" s="18"/>
    </row>
    <row r="80" spans="1:9" x14ac:dyDescent="0.3">
      <c r="A80" s="15"/>
      <c r="I80" s="18"/>
    </row>
    <row r="81" spans="1:9" ht="20.399999999999999" thickBot="1" x14ac:dyDescent="0.45">
      <c r="A81" s="67" t="s">
        <v>44</v>
      </c>
      <c r="I81" s="18"/>
    </row>
    <row r="82" spans="1:9" ht="18.600000000000001" thickTop="1" thickBot="1" x14ac:dyDescent="0.4">
      <c r="A82" s="69" t="s">
        <v>45</v>
      </c>
      <c r="D82" s="72" t="s">
        <v>95</v>
      </c>
      <c r="I82" s="18"/>
    </row>
    <row r="83" spans="1:9" ht="15" thickTop="1" x14ac:dyDescent="0.3">
      <c r="A83" s="15" t="s">
        <v>48</v>
      </c>
      <c r="B83" s="9">
        <f>B70*B12</f>
        <v>1470</v>
      </c>
      <c r="C83" t="s">
        <v>65</v>
      </c>
      <c r="D83" s="73"/>
      <c r="I83" s="18"/>
    </row>
    <row r="84" spans="1:9" ht="18" thickBot="1" x14ac:dyDescent="0.4">
      <c r="A84" s="69" t="s">
        <v>46</v>
      </c>
      <c r="D84" s="73"/>
      <c r="I84" s="18"/>
    </row>
    <row r="85" spans="1:9" ht="15" thickTop="1" x14ac:dyDescent="0.3">
      <c r="A85" s="15" t="s">
        <v>49</v>
      </c>
      <c r="B85" s="9">
        <f>B69*B12</f>
        <v>1470</v>
      </c>
      <c r="C85" t="s">
        <v>65</v>
      </c>
      <c r="D85" s="73"/>
      <c r="I85" s="18"/>
    </row>
    <row r="86" spans="1:9" x14ac:dyDescent="0.3">
      <c r="A86" s="15"/>
      <c r="D86" s="73"/>
      <c r="I86" s="18"/>
    </row>
    <row r="87" spans="1:9" ht="20.399999999999999" thickBot="1" x14ac:dyDescent="0.45">
      <c r="A87" s="67" t="s">
        <v>50</v>
      </c>
      <c r="D87" s="73"/>
      <c r="I87" s="18"/>
    </row>
    <row r="88" spans="1:9" ht="18.600000000000001" thickTop="1" thickBot="1" x14ac:dyDescent="0.4">
      <c r="A88" s="69" t="s">
        <v>45</v>
      </c>
      <c r="D88" s="73"/>
      <c r="I88" s="18"/>
    </row>
    <row r="89" spans="1:9" ht="15" thickTop="1" x14ac:dyDescent="0.3">
      <c r="A89" s="15" t="s">
        <v>48</v>
      </c>
      <c r="B89" s="9">
        <f>B12*B77</f>
        <v>1816.5</v>
      </c>
      <c r="C89" t="s">
        <v>65</v>
      </c>
      <c r="D89" s="73"/>
      <c r="I89" s="18"/>
    </row>
    <row r="90" spans="1:9" ht="18" thickBot="1" x14ac:dyDescent="0.4">
      <c r="A90" s="69" t="s">
        <v>46</v>
      </c>
      <c r="D90" s="73"/>
      <c r="I90" s="18"/>
    </row>
    <row r="91" spans="1:9" ht="15" thickTop="1" x14ac:dyDescent="0.3">
      <c r="A91" s="15" t="s">
        <v>49</v>
      </c>
      <c r="B91" s="9">
        <f>B12*B79</f>
        <v>1123.5</v>
      </c>
      <c r="C91" t="s">
        <v>65</v>
      </c>
      <c r="D91" s="73"/>
      <c r="I91" s="18"/>
    </row>
    <row r="92" spans="1:9" x14ac:dyDescent="0.3">
      <c r="A92" s="15"/>
      <c r="I92" s="18"/>
    </row>
    <row r="93" spans="1:9" ht="20.399999999999999" thickBot="1" x14ac:dyDescent="0.45">
      <c r="A93" s="67" t="s">
        <v>51</v>
      </c>
      <c r="I93" s="18"/>
    </row>
    <row r="94" spans="1:9" ht="15" thickTop="1" x14ac:dyDescent="0.3">
      <c r="A94" s="70" t="s">
        <v>52</v>
      </c>
      <c r="B94" s="20">
        <f>(B57)/(B5*9.8)*100</f>
        <v>75.994082869112276</v>
      </c>
      <c r="C94" s="4" t="s">
        <v>66</v>
      </c>
      <c r="I94" s="18"/>
    </row>
    <row r="95" spans="1:9" x14ac:dyDescent="0.3">
      <c r="A95" s="15"/>
      <c r="I95" s="18"/>
    </row>
    <row r="96" spans="1:9" x14ac:dyDescent="0.3">
      <c r="A96" s="15"/>
      <c r="B96" s="4"/>
      <c r="I96" s="18"/>
    </row>
    <row r="97" spans="1:9" x14ac:dyDescent="0.3">
      <c r="A97" s="15"/>
      <c r="I97" s="18"/>
    </row>
    <row r="98" spans="1:9" ht="20.399999999999999" thickBot="1" x14ac:dyDescent="0.45">
      <c r="A98" s="67" t="s">
        <v>155</v>
      </c>
      <c r="I98" s="18"/>
    </row>
    <row r="99" spans="1:9" ht="15" thickTop="1" x14ac:dyDescent="0.3">
      <c r="A99" s="70" t="s">
        <v>52</v>
      </c>
      <c r="B99" s="20">
        <f>(2*B55*100/B10)*100/B94</f>
        <v>40.25878892083383</v>
      </c>
      <c r="I99" s="18"/>
    </row>
    <row r="100" spans="1:9" x14ac:dyDescent="0.3">
      <c r="A100" s="15"/>
      <c r="I100" s="18"/>
    </row>
    <row r="101" spans="1:9" x14ac:dyDescent="0.3">
      <c r="A101" s="15"/>
      <c r="I101" s="18"/>
    </row>
    <row r="102" spans="1:9" ht="20.399999999999999" thickBot="1" x14ac:dyDescent="0.45">
      <c r="A102" s="67" t="s">
        <v>154</v>
      </c>
      <c r="I102" s="18"/>
    </row>
    <row r="103" spans="1:9" ht="15" thickTop="1" x14ac:dyDescent="0.3">
      <c r="A103" s="70" t="s">
        <v>52</v>
      </c>
      <c r="B103" s="20">
        <f>((2*B56/B10*100)/B94)*100</f>
        <v>59.741211079166177</v>
      </c>
      <c r="I103" s="18"/>
    </row>
    <row r="104" spans="1:9" x14ac:dyDescent="0.3">
      <c r="A104" s="15"/>
      <c r="I104" s="18"/>
    </row>
    <row r="105" spans="1:9" x14ac:dyDescent="0.3">
      <c r="A105" s="15"/>
      <c r="I105" s="18"/>
    </row>
    <row r="106" spans="1:9" x14ac:dyDescent="0.3">
      <c r="A106" s="15"/>
      <c r="I106" s="18"/>
    </row>
    <row r="107" spans="1:9" x14ac:dyDescent="0.3">
      <c r="A107" s="15"/>
      <c r="I107" s="18"/>
    </row>
    <row r="108" spans="1:9" ht="20.399999999999999" thickBot="1" x14ac:dyDescent="0.45">
      <c r="A108" s="71" t="s">
        <v>96</v>
      </c>
      <c r="B108" s="13"/>
      <c r="C108" s="17"/>
      <c r="I108" s="18"/>
    </row>
    <row r="109" spans="1:9" ht="15" thickTop="1" x14ac:dyDescent="0.3">
      <c r="A109" s="15" t="s">
        <v>97</v>
      </c>
      <c r="B109" s="9">
        <f>B57/(B5)</f>
        <v>7.4474201211730033</v>
      </c>
      <c r="C109" s="18" t="s">
        <v>70</v>
      </c>
      <c r="I109" s="18"/>
    </row>
    <row r="110" spans="1:9" x14ac:dyDescent="0.3">
      <c r="A110" s="15" t="s">
        <v>98</v>
      </c>
      <c r="B110" s="21">
        <v>4.72</v>
      </c>
      <c r="C110" s="18" t="s">
        <v>70</v>
      </c>
      <c r="I110" s="18"/>
    </row>
    <row r="111" spans="1:9" x14ac:dyDescent="0.3">
      <c r="A111" s="15" t="s">
        <v>101</v>
      </c>
      <c r="B111">
        <f>B109-B110</f>
        <v>2.7274201211730036</v>
      </c>
      <c r="C111" s="18"/>
      <c r="I111" s="18"/>
    </row>
    <row r="112" spans="1:9" x14ac:dyDescent="0.3">
      <c r="A112" s="16" t="s">
        <v>156</v>
      </c>
      <c r="B112" s="12">
        <f>B109/B110</f>
        <v>1.5778432460112295</v>
      </c>
      <c r="C112" s="19"/>
      <c r="I112" s="18"/>
    </row>
    <row r="113" spans="1:9" x14ac:dyDescent="0.3">
      <c r="A113" s="16"/>
      <c r="B113" s="12"/>
      <c r="C113" s="12"/>
      <c r="D113" s="12"/>
      <c r="E113" s="12"/>
      <c r="F113" s="12"/>
      <c r="G113" s="12"/>
      <c r="H113" s="12"/>
      <c r="I113" s="19"/>
    </row>
  </sheetData>
  <mergeCells count="1">
    <mergeCell ref="D82:D91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A376-A44B-4D7B-BB95-C5BEA4DCC15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87A0-19F2-4EB8-90D4-6803F97845C8}">
  <dimension ref="A1:M39"/>
  <sheetViews>
    <sheetView topLeftCell="A6" zoomScale="61" zoomScaleNormal="100" workbookViewId="0">
      <selection activeCell="B22" sqref="B22"/>
    </sheetView>
  </sheetViews>
  <sheetFormatPr defaultRowHeight="14.4" x14ac:dyDescent="0.3"/>
  <cols>
    <col min="1" max="1" width="51.33203125" customWidth="1"/>
    <col min="2" max="3" width="12.21875" customWidth="1"/>
    <col min="4" max="4" width="63.77734375" customWidth="1"/>
    <col min="5" max="5" width="8.77734375" customWidth="1"/>
    <col min="10" max="10" width="23.6640625" customWidth="1"/>
  </cols>
  <sheetData>
    <row r="1" spans="1:13" s="6" customFormat="1" ht="23.4" x14ac:dyDescent="0.45">
      <c r="A1" s="6" t="s">
        <v>71</v>
      </c>
      <c r="H1"/>
      <c r="I1"/>
      <c r="J1"/>
      <c r="K1"/>
      <c r="L1"/>
      <c r="M1"/>
    </row>
    <row r="3" spans="1:13" x14ac:dyDescent="0.3">
      <c r="C3" t="s">
        <v>61</v>
      </c>
      <c r="D3" t="s">
        <v>74</v>
      </c>
    </row>
    <row r="4" spans="1:13" ht="28.8" x14ac:dyDescent="0.3">
      <c r="A4" t="s">
        <v>30</v>
      </c>
      <c r="B4" s="8">
        <v>60</v>
      </c>
      <c r="C4" t="s">
        <v>62</v>
      </c>
      <c r="D4" s="7" t="s">
        <v>75</v>
      </c>
    </row>
    <row r="5" spans="1:13" x14ac:dyDescent="0.3">
      <c r="A5" t="s">
        <v>31</v>
      </c>
      <c r="B5" s="8">
        <v>657.2</v>
      </c>
      <c r="C5" t="s">
        <v>63</v>
      </c>
      <c r="D5" t="s">
        <v>60</v>
      </c>
    </row>
    <row r="6" spans="1:13" x14ac:dyDescent="0.3">
      <c r="A6" t="s">
        <v>22</v>
      </c>
      <c r="B6" s="8">
        <v>1.47</v>
      </c>
      <c r="C6" t="s">
        <v>64</v>
      </c>
      <c r="D6" t="s">
        <v>55</v>
      </c>
    </row>
    <row r="7" spans="1:13" x14ac:dyDescent="0.3">
      <c r="A7" t="s">
        <v>23</v>
      </c>
      <c r="B7" s="8">
        <v>1.47</v>
      </c>
      <c r="C7" t="s">
        <v>64</v>
      </c>
      <c r="D7" t="s">
        <v>56</v>
      </c>
    </row>
    <row r="8" spans="1:13" x14ac:dyDescent="0.3">
      <c r="A8" t="s">
        <v>24</v>
      </c>
      <c r="B8" s="8">
        <v>2.94</v>
      </c>
      <c r="C8" t="s">
        <v>64</v>
      </c>
      <c r="D8" t="s">
        <v>57</v>
      </c>
    </row>
    <row r="9" spans="1:13" x14ac:dyDescent="0.3">
      <c r="A9" t="s">
        <v>25</v>
      </c>
      <c r="B9" s="8">
        <v>0.57750000000000001</v>
      </c>
      <c r="C9" t="s">
        <v>64</v>
      </c>
      <c r="D9" t="s">
        <v>58</v>
      </c>
    </row>
    <row r="10" spans="1:13" x14ac:dyDescent="0.3">
      <c r="A10" t="s">
        <v>26</v>
      </c>
      <c r="B10" s="8">
        <v>4900</v>
      </c>
      <c r="C10" t="s">
        <v>65</v>
      </c>
      <c r="D10" t="s">
        <v>59</v>
      </c>
    </row>
    <row r="11" spans="1:13" x14ac:dyDescent="0.3">
      <c r="A11" s="5" t="s">
        <v>12</v>
      </c>
      <c r="B11" s="8">
        <v>0.4</v>
      </c>
      <c r="C11" s="5" t="s">
        <v>66</v>
      </c>
      <c r="D11" t="s">
        <v>94</v>
      </c>
    </row>
    <row r="12" spans="1:13" x14ac:dyDescent="0.3">
      <c r="A12" s="5" t="s">
        <v>47</v>
      </c>
      <c r="B12" s="8">
        <v>0.6</v>
      </c>
      <c r="C12" s="5" t="s">
        <v>66</v>
      </c>
    </row>
    <row r="13" spans="1:13" x14ac:dyDescent="0.3">
      <c r="A13" t="s">
        <v>132</v>
      </c>
      <c r="B13" s="8">
        <f>0.2794/2</f>
        <v>0.13969999999999999</v>
      </c>
      <c r="C13" t="s">
        <v>64</v>
      </c>
    </row>
    <row r="15" spans="1:13" ht="20.399999999999999" thickBot="1" x14ac:dyDescent="0.45">
      <c r="A15" s="1" t="s">
        <v>124</v>
      </c>
    </row>
    <row r="16" spans="1:13" ht="15" thickTop="1" x14ac:dyDescent="0.3"/>
    <row r="17" spans="1:2" ht="72" x14ac:dyDescent="0.3">
      <c r="A17" s="7" t="s">
        <v>125</v>
      </c>
    </row>
    <row r="19" spans="1:2" x14ac:dyDescent="0.3">
      <c r="A19" t="s">
        <v>126</v>
      </c>
    </row>
    <row r="21" spans="1:2" x14ac:dyDescent="0.3">
      <c r="A21" t="s">
        <v>127</v>
      </c>
      <c r="B21" s="9">
        <f>(0.1*B5*9.8)</f>
        <v>644.05600000000015</v>
      </c>
    </row>
    <row r="22" spans="1:2" x14ac:dyDescent="0.3">
      <c r="B22">
        <f>B21*2</f>
        <v>1288.1120000000003</v>
      </c>
    </row>
    <row r="23" spans="1:2" x14ac:dyDescent="0.3">
      <c r="A23" t="s">
        <v>128</v>
      </c>
    </row>
    <row r="24" spans="1:2" x14ac:dyDescent="0.3">
      <c r="A24" t="s">
        <v>129</v>
      </c>
    </row>
    <row r="26" spans="1:2" x14ac:dyDescent="0.3">
      <c r="A26" t="s">
        <v>130</v>
      </c>
      <c r="B26" s="9">
        <f>B21/2</f>
        <v>322.02800000000008</v>
      </c>
    </row>
    <row r="27" spans="1:2" x14ac:dyDescent="0.3">
      <c r="A27" t="s">
        <v>131</v>
      </c>
      <c r="B27" s="9">
        <f>B13*B26</f>
        <v>44.987311600000005</v>
      </c>
    </row>
    <row r="30" spans="1:2" ht="20.399999999999999" thickBot="1" x14ac:dyDescent="0.45">
      <c r="A30" s="1" t="s">
        <v>133</v>
      </c>
    </row>
    <row r="31" spans="1:2" ht="15" thickTop="1" x14ac:dyDescent="0.3"/>
    <row r="32" spans="1:2" x14ac:dyDescent="0.3">
      <c r="A32" t="s">
        <v>134</v>
      </c>
      <c r="B32">
        <v>0.4</v>
      </c>
    </row>
    <row r="33" spans="1:2" x14ac:dyDescent="0.3">
      <c r="A33" t="s">
        <v>133</v>
      </c>
      <c r="B33">
        <f>B27/(B32*B13)</f>
        <v>805.07000000000016</v>
      </c>
    </row>
    <row r="35" spans="1:2" ht="20.399999999999999" thickBot="1" x14ac:dyDescent="0.45">
      <c r="A35" s="1" t="s">
        <v>135</v>
      </c>
    </row>
    <row r="36" spans="1:2" ht="15" thickTop="1" x14ac:dyDescent="0.3"/>
    <row r="37" spans="1:2" x14ac:dyDescent="0.3">
      <c r="A37" t="s">
        <v>136</v>
      </c>
      <c r="B37" s="8">
        <v>2</v>
      </c>
    </row>
    <row r="38" spans="1:2" x14ac:dyDescent="0.3">
      <c r="A38" t="s">
        <v>137</v>
      </c>
      <c r="B38">
        <f>SQRT((4*B33)/(PI()*B37*B27))/2</f>
        <v>1.6876479923541254</v>
      </c>
    </row>
    <row r="39" spans="1:2" x14ac:dyDescent="0.3">
      <c r="A39" t="s">
        <v>201</v>
      </c>
      <c r="B39">
        <f xml:space="preserve"> 3.14*(B38/2)^2</f>
        <v>2.2358022606860746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7219-3818-4B61-9EC5-D8DBFBE7F06D}">
  <dimension ref="A1:D7"/>
  <sheetViews>
    <sheetView workbookViewId="0">
      <selection activeCell="D2" sqref="D2:D7"/>
    </sheetView>
  </sheetViews>
  <sheetFormatPr defaultRowHeight="14.4" x14ac:dyDescent="0.3"/>
  <cols>
    <col min="1" max="1" width="12.44140625" customWidth="1"/>
    <col min="2" max="2" width="11.21875" customWidth="1"/>
  </cols>
  <sheetData>
    <row r="1" spans="1:4" x14ac:dyDescent="0.3">
      <c r="B1" t="s">
        <v>213</v>
      </c>
      <c r="C1" t="s">
        <v>214</v>
      </c>
    </row>
    <row r="2" spans="1:4" x14ac:dyDescent="0.3">
      <c r="A2" t="s">
        <v>209</v>
      </c>
      <c r="B2">
        <v>3.8</v>
      </c>
      <c r="C2">
        <f>2</f>
        <v>2</v>
      </c>
      <c r="D2">
        <f>B2*C2</f>
        <v>7.6</v>
      </c>
    </row>
    <row r="3" spans="1:4" x14ac:dyDescent="0.3">
      <c r="A3" t="s">
        <v>210</v>
      </c>
      <c r="B3">
        <v>2.2999999999999998</v>
      </c>
      <c r="C3">
        <f>2</f>
        <v>2</v>
      </c>
      <c r="D3">
        <f t="shared" ref="D3:D7" si="0">B3*C3</f>
        <v>4.5999999999999996</v>
      </c>
    </row>
    <row r="4" spans="1:4" x14ac:dyDescent="0.3">
      <c r="A4" t="s">
        <v>211</v>
      </c>
      <c r="B4">
        <v>11.7</v>
      </c>
      <c r="C4">
        <f>2</f>
        <v>2</v>
      </c>
      <c r="D4">
        <f t="shared" si="0"/>
        <v>23.4</v>
      </c>
    </row>
    <row r="5" spans="1:4" x14ac:dyDescent="0.3">
      <c r="A5" t="s">
        <v>212</v>
      </c>
      <c r="C5">
        <f>2</f>
        <v>2</v>
      </c>
      <c r="D5">
        <f t="shared" si="0"/>
        <v>0</v>
      </c>
    </row>
    <row r="6" spans="1:4" x14ac:dyDescent="0.3">
      <c r="A6" t="s">
        <v>215</v>
      </c>
      <c r="C6">
        <v>1</v>
      </c>
      <c r="D6">
        <f t="shared" si="0"/>
        <v>0</v>
      </c>
    </row>
    <row r="7" spans="1:4" x14ac:dyDescent="0.3">
      <c r="A7" t="s">
        <v>216</v>
      </c>
      <c r="C7">
        <v>2</v>
      </c>
      <c r="D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34F8-4B8E-497E-A271-9B4A2E497BF2}">
  <sheetPr>
    <pageSetUpPr fitToPage="1"/>
  </sheetPr>
  <dimension ref="A1:HA13"/>
  <sheetViews>
    <sheetView topLeftCell="A6" zoomScale="87" zoomScaleNormal="87" workbookViewId="0">
      <selection activeCell="D7" sqref="D7"/>
    </sheetView>
  </sheetViews>
  <sheetFormatPr defaultRowHeight="14.4" x14ac:dyDescent="0.3"/>
  <cols>
    <col min="2" max="2" width="17" customWidth="1"/>
    <col min="3" max="3" width="30.21875" customWidth="1"/>
    <col min="4" max="4" width="13.88671875" customWidth="1"/>
    <col min="8" max="8" width="14.44140625" customWidth="1"/>
    <col min="9" max="9" width="13.33203125" customWidth="1"/>
    <col min="10" max="10" width="16.109375" customWidth="1"/>
    <col min="11" max="11" width="10" style="7" customWidth="1"/>
    <col min="15" max="15" width="16.21875" customWidth="1"/>
  </cols>
  <sheetData>
    <row r="1" spans="1:209" ht="77.400000000000006" customHeight="1" x14ac:dyDescent="1.65">
      <c r="A1" s="76" t="s">
        <v>192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209" s="27" customFormat="1" ht="43.95" customHeight="1" x14ac:dyDescent="0.3">
      <c r="A2" s="39" t="s">
        <v>104</v>
      </c>
      <c r="B2" s="27" t="s">
        <v>105</v>
      </c>
      <c r="C2" s="27" t="s">
        <v>106</v>
      </c>
      <c r="D2" s="27" t="s">
        <v>107</v>
      </c>
      <c r="E2" s="27" t="s">
        <v>108</v>
      </c>
      <c r="F2" s="27" t="s">
        <v>109</v>
      </c>
      <c r="G2" s="27" t="s">
        <v>110</v>
      </c>
      <c r="H2" s="27" t="s">
        <v>111</v>
      </c>
      <c r="I2" s="27" t="s">
        <v>113</v>
      </c>
      <c r="J2" s="27" t="s">
        <v>114</v>
      </c>
      <c r="K2" s="40" t="s">
        <v>115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</row>
    <row r="3" spans="1:209" s="23" customFormat="1" ht="61.5" customHeight="1" x14ac:dyDescent="0.3">
      <c r="A3" s="41" t="s">
        <v>157</v>
      </c>
      <c r="B3" s="36" t="s">
        <v>195</v>
      </c>
      <c r="D3" s="25" t="s">
        <v>193</v>
      </c>
      <c r="E3" s="23">
        <v>1</v>
      </c>
      <c r="F3" s="24">
        <v>634.02</v>
      </c>
      <c r="G3" s="23">
        <v>1</v>
      </c>
      <c r="H3" s="23">
        <v>2</v>
      </c>
      <c r="I3" s="24">
        <f t="shared" ref="I3:I8" si="0">F3*G3</f>
        <v>634.02</v>
      </c>
      <c r="J3" s="24">
        <f t="shared" ref="J3:J8" si="1">F3*H3</f>
        <v>1268.04</v>
      </c>
      <c r="K3" s="42" t="s">
        <v>116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</row>
    <row r="4" spans="1:209" s="23" customFormat="1" ht="85.5" customHeight="1" x14ac:dyDescent="0.3">
      <c r="A4" s="39" t="s">
        <v>158</v>
      </c>
      <c r="B4" s="27" t="s">
        <v>183</v>
      </c>
      <c r="C4" s="26"/>
      <c r="D4" s="27" t="s">
        <v>184</v>
      </c>
      <c r="E4" s="26">
        <v>1</v>
      </c>
      <c r="F4" s="28">
        <v>148.91999999999999</v>
      </c>
      <c r="G4" s="26">
        <v>1</v>
      </c>
      <c r="H4" s="26">
        <v>2</v>
      </c>
      <c r="I4" s="28">
        <f t="shared" si="0"/>
        <v>148.91999999999999</v>
      </c>
      <c r="J4" s="28">
        <f t="shared" si="1"/>
        <v>297.83999999999997</v>
      </c>
      <c r="K4" s="43" t="s">
        <v>116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</row>
    <row r="5" spans="1:209" s="23" customFormat="1" ht="85.5" customHeight="1" x14ac:dyDescent="0.3">
      <c r="A5" s="41" t="s">
        <v>158</v>
      </c>
      <c r="B5" s="36" t="s">
        <v>188</v>
      </c>
      <c r="C5" s="25"/>
      <c r="D5" s="36" t="s">
        <v>187</v>
      </c>
      <c r="E5" s="25">
        <v>1</v>
      </c>
      <c r="F5" s="37">
        <v>225.16</v>
      </c>
      <c r="G5" s="25">
        <v>1</v>
      </c>
      <c r="H5" s="25">
        <v>2</v>
      </c>
      <c r="I5" s="37">
        <f t="shared" si="0"/>
        <v>225.16</v>
      </c>
      <c r="J5" s="37">
        <f t="shared" si="1"/>
        <v>450.32</v>
      </c>
      <c r="K5" s="44" t="s">
        <v>116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</row>
    <row r="6" spans="1:209" s="26" customFormat="1" ht="105.45" customHeight="1" x14ac:dyDescent="0.3">
      <c r="A6" s="39" t="s">
        <v>186</v>
      </c>
      <c r="B6" s="27" t="s">
        <v>117</v>
      </c>
      <c r="C6" s="27"/>
      <c r="D6" s="27" t="s">
        <v>118</v>
      </c>
      <c r="E6" s="27">
        <v>1</v>
      </c>
      <c r="F6" s="38">
        <v>104.7</v>
      </c>
      <c r="G6" s="27">
        <v>1</v>
      </c>
      <c r="H6" s="27">
        <v>2</v>
      </c>
      <c r="I6" s="38">
        <f t="shared" si="0"/>
        <v>104.7</v>
      </c>
      <c r="J6" s="38">
        <f t="shared" si="1"/>
        <v>209.4</v>
      </c>
      <c r="K6" s="40" t="s">
        <v>116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</row>
    <row r="7" spans="1:209" s="23" customFormat="1" ht="105.45" customHeight="1" x14ac:dyDescent="0.3">
      <c r="A7" s="41" t="s">
        <v>185</v>
      </c>
      <c r="B7" s="25" t="s">
        <v>119</v>
      </c>
      <c r="C7" s="25"/>
      <c r="D7" s="25" t="s">
        <v>120</v>
      </c>
      <c r="E7" s="25">
        <v>1</v>
      </c>
      <c r="F7" s="37">
        <v>204.38</v>
      </c>
      <c r="G7" s="25">
        <v>1</v>
      </c>
      <c r="H7" s="25">
        <v>1</v>
      </c>
      <c r="I7" s="37">
        <f t="shared" si="0"/>
        <v>204.38</v>
      </c>
      <c r="J7" s="37">
        <f t="shared" si="1"/>
        <v>204.38</v>
      </c>
      <c r="K7" s="44" t="s">
        <v>116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</row>
    <row r="8" spans="1:209" s="26" customFormat="1" ht="124.2" customHeight="1" x14ac:dyDescent="0.3">
      <c r="A8" s="39" t="s">
        <v>178</v>
      </c>
      <c r="B8" s="27" t="s">
        <v>121</v>
      </c>
      <c r="C8" s="27"/>
      <c r="D8" s="27" t="s">
        <v>179</v>
      </c>
      <c r="E8" s="27">
        <v>1</v>
      </c>
      <c r="F8" s="38">
        <v>370.67</v>
      </c>
      <c r="G8" s="27">
        <v>1</v>
      </c>
      <c r="H8" s="27">
        <v>2</v>
      </c>
      <c r="I8" s="38">
        <f t="shared" si="0"/>
        <v>370.67</v>
      </c>
      <c r="J8" s="38">
        <f t="shared" si="1"/>
        <v>741.34</v>
      </c>
      <c r="K8" s="40" t="s">
        <v>116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</row>
    <row r="9" spans="1:209" s="23" customFormat="1" ht="88.95" customHeight="1" x14ac:dyDescent="0.3">
      <c r="A9" s="48" t="s">
        <v>190</v>
      </c>
      <c r="B9" s="49" t="s">
        <v>122</v>
      </c>
      <c r="C9" s="49"/>
      <c r="D9" s="49" t="s">
        <v>180</v>
      </c>
      <c r="E9" s="49">
        <v>4</v>
      </c>
      <c r="F9" s="50">
        <f>178.08/4</f>
        <v>44.52</v>
      </c>
      <c r="G9" s="49">
        <v>4</v>
      </c>
      <c r="H9" s="49">
        <v>4</v>
      </c>
      <c r="I9" s="50">
        <f>F9*G9</f>
        <v>178.08</v>
      </c>
      <c r="J9" s="50">
        <f>(F9)*H9</f>
        <v>178.08</v>
      </c>
      <c r="K9" s="51" t="s">
        <v>116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</row>
    <row r="10" spans="1:209" s="23" customFormat="1" ht="100.95" customHeight="1" x14ac:dyDescent="0.3">
      <c r="A10" s="55" t="s">
        <v>189</v>
      </c>
      <c r="B10" s="56" t="s">
        <v>181</v>
      </c>
      <c r="C10" s="56"/>
      <c r="D10" s="56" t="s">
        <v>182</v>
      </c>
      <c r="E10" s="56">
        <v>4</v>
      </c>
      <c r="F10" s="57">
        <f>96.3/4</f>
        <v>24.074999999999999</v>
      </c>
      <c r="G10" s="56">
        <v>4</v>
      </c>
      <c r="H10" s="56">
        <v>4</v>
      </c>
      <c r="I10" s="47">
        <f t="shared" ref="I10:I11" si="2">F10*G10</f>
        <v>96.3</v>
      </c>
      <c r="J10" s="47">
        <f t="shared" ref="J10:J11" si="3">(F10)*H10</f>
        <v>96.3</v>
      </c>
      <c r="K10" s="58" t="s">
        <v>116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</row>
    <row r="11" spans="1:209" s="23" customFormat="1" ht="100.95" customHeight="1" x14ac:dyDescent="0.3">
      <c r="A11" s="52" t="s">
        <v>189</v>
      </c>
      <c r="B11" s="53" t="s">
        <v>194</v>
      </c>
      <c r="C11" s="53"/>
      <c r="D11" s="53" t="s">
        <v>191</v>
      </c>
      <c r="E11" s="53">
        <v>4</v>
      </c>
      <c r="F11" s="54">
        <f>62.02/4</f>
        <v>15.505000000000001</v>
      </c>
      <c r="G11" s="53">
        <v>4</v>
      </c>
      <c r="H11" s="53">
        <v>4</v>
      </c>
      <c r="I11" s="50">
        <f t="shared" si="2"/>
        <v>62.02</v>
      </c>
      <c r="J11" s="50">
        <f t="shared" si="3"/>
        <v>62.02</v>
      </c>
      <c r="K11" s="51" t="s">
        <v>116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</row>
    <row r="12" spans="1:209" ht="95.7" customHeight="1" thickBot="1" x14ac:dyDescent="0.35">
      <c r="A12" s="74" t="s">
        <v>112</v>
      </c>
      <c r="B12" s="75"/>
      <c r="C12" s="75"/>
      <c r="D12" s="75"/>
      <c r="E12" s="75"/>
      <c r="F12" s="75"/>
      <c r="G12" s="75"/>
      <c r="H12" s="75"/>
      <c r="I12" s="75"/>
      <c r="J12" s="45">
        <f>SUM(J3:J10)</f>
        <v>3445.7000000000003</v>
      </c>
      <c r="K12" s="46"/>
    </row>
    <row r="13" spans="1:209" x14ac:dyDescent="0.3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</row>
  </sheetData>
  <mergeCells count="3">
    <mergeCell ref="A12:I12"/>
    <mergeCell ref="A1:K1"/>
    <mergeCell ref="A13:K13"/>
  </mergeCells>
  <hyperlinks>
    <hyperlink ref="K3" r:id="rId1" xr:uid="{EDFCDEC1-5826-4941-801D-FFA6A77EA14E}"/>
    <hyperlink ref="K6" r:id="rId2" xr:uid="{02E429CD-7527-4167-978D-3E45D8BA3F46}"/>
    <hyperlink ref="K7" r:id="rId3" display="LinK" xr:uid="{93C0FEFE-01F3-4990-AED7-2C3DE2F916D2}"/>
    <hyperlink ref="K8" r:id="rId4" xr:uid="{33F72DA5-D3A7-4092-A7B6-E4E37B8DD581}"/>
    <hyperlink ref="K9" r:id="rId5" xr:uid="{D5D0C076-636C-4ABB-AF90-B251175B30BC}"/>
    <hyperlink ref="K4" r:id="rId6" xr:uid="{9344D120-F4FE-4390-884F-7FA2E53ABB62}"/>
    <hyperlink ref="K10" r:id="rId7" xr:uid="{8877148C-82B4-49A4-932F-3CD5DF39A66F}"/>
    <hyperlink ref="D8" r:id="rId8" display="https://www.wilwood.com/Rotors/RotorProd.aspx?itemno=160-13336-BK" xr:uid="{3AE8CB46-0D77-4ADF-BFF9-DA7AB1335BEB}"/>
    <hyperlink ref="D9" r:id="rId9" display="https://www.wilwood.com/BrakePads/BrakePadsProd.aspx?itemno=15E-12604K" xr:uid="{5550C050-689F-4CC3-BDD7-A9A5637EA3FC}"/>
    <hyperlink ref="K5" r:id="rId10" xr:uid="{7CAC48CC-F946-442C-B754-84E520A4A81D}"/>
    <hyperlink ref="K11" r:id="rId11" xr:uid="{D67BEB99-6584-4422-8581-2EA78172C88D}"/>
  </hyperlinks>
  <pageMargins left="0.25" right="0.25" top="0.75" bottom="0.75" header="0.3" footer="0.3"/>
  <pageSetup paperSize="9" orientation="portrait" r:id="rId12"/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2D79-69D0-440B-A8AC-D10A67D6D906}">
  <dimension ref="C6:E17"/>
  <sheetViews>
    <sheetView zoomScaleNormal="100" workbookViewId="0">
      <selection activeCell="E17" sqref="E17"/>
    </sheetView>
  </sheetViews>
  <sheetFormatPr defaultRowHeight="14.4" x14ac:dyDescent="0.3"/>
  <sheetData>
    <row r="6" spans="3:5" x14ac:dyDescent="0.3">
      <c r="C6" t="s">
        <v>218</v>
      </c>
      <c r="D6" t="s">
        <v>219</v>
      </c>
      <c r="E6" t="s">
        <v>220</v>
      </c>
    </row>
    <row r="7" spans="3:5" x14ac:dyDescent="0.3">
      <c r="C7">
        <v>10</v>
      </c>
      <c r="D7">
        <v>5.84</v>
      </c>
      <c r="E7">
        <v>3.61</v>
      </c>
    </row>
    <row r="8" spans="3:5" x14ac:dyDescent="0.3">
      <c r="C8">
        <v>10.25</v>
      </c>
      <c r="D8">
        <v>5.96</v>
      </c>
      <c r="E8">
        <v>3.71</v>
      </c>
    </row>
    <row r="9" spans="3:5" x14ac:dyDescent="0.3">
      <c r="C9">
        <v>10.5</v>
      </c>
      <c r="D9">
        <v>6.07</v>
      </c>
      <c r="E9">
        <v>3.82</v>
      </c>
    </row>
    <row r="10" spans="3:5" x14ac:dyDescent="0.3">
      <c r="C10">
        <v>11</v>
      </c>
      <c r="D10">
        <v>6.31</v>
      </c>
      <c r="E10">
        <v>4.04</v>
      </c>
    </row>
    <row r="11" spans="3:5" x14ac:dyDescent="0.3">
      <c r="C11">
        <v>11.75</v>
      </c>
      <c r="D11">
        <v>6.66</v>
      </c>
      <c r="E11">
        <v>4.38</v>
      </c>
    </row>
    <row r="12" spans="3:5" x14ac:dyDescent="0.3">
      <c r="C12">
        <v>12.19</v>
      </c>
      <c r="D12">
        <v>6.87</v>
      </c>
      <c r="E12">
        <v>4.58</v>
      </c>
    </row>
    <row r="13" spans="3:5" x14ac:dyDescent="0.3">
      <c r="C13">
        <v>12.88</v>
      </c>
      <c r="D13">
        <f>0.4698*C13+ 1.1411</f>
        <v>7.1921239999999997</v>
      </c>
      <c r="E13">
        <f>0.445*C13 - 0.8487</f>
        <v>4.8829000000000002</v>
      </c>
    </row>
    <row r="14" spans="3:5" x14ac:dyDescent="0.3">
      <c r="C14">
        <v>13</v>
      </c>
      <c r="D14">
        <f>0.4698*C14+ 1.1411</f>
        <v>7.2484999999999999</v>
      </c>
      <c r="E14">
        <f>0.445*C14 - 0.8487</f>
        <v>4.9363000000000001</v>
      </c>
    </row>
    <row r="15" spans="3:5" x14ac:dyDescent="0.3">
      <c r="C15">
        <v>13.25</v>
      </c>
      <c r="E15">
        <f>0.445*C15 - 0.8487</f>
        <v>5.0475500000000002</v>
      </c>
    </row>
    <row r="16" spans="3:5" x14ac:dyDescent="0.3">
      <c r="C16">
        <v>13.5</v>
      </c>
      <c r="E16">
        <f>0.445*C16 - 0.8487</f>
        <v>5.1588000000000003</v>
      </c>
    </row>
    <row r="17" spans="3:5" x14ac:dyDescent="0.3">
      <c r="C17">
        <v>14</v>
      </c>
      <c r="E17">
        <f>0.445*C17 - 0.8487</f>
        <v>5.3813000000000004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C852-AE16-432E-91B0-6C171671FCE3}">
  <dimension ref="A1:A9"/>
  <sheetViews>
    <sheetView workbookViewId="0">
      <selection activeCell="L28" sqref="L28"/>
    </sheetView>
  </sheetViews>
  <sheetFormatPr defaultRowHeight="14.4" x14ac:dyDescent="0.3"/>
  <sheetData>
    <row r="1" spans="1:1" x14ac:dyDescent="0.3">
      <c r="A1" s="59" t="s">
        <v>196</v>
      </c>
    </row>
    <row r="2" spans="1:1" x14ac:dyDescent="0.3">
      <c r="A2" s="59"/>
    </row>
    <row r="3" spans="1:1" x14ac:dyDescent="0.3">
      <c r="A3" s="59">
        <v>13.25</v>
      </c>
    </row>
    <row r="4" spans="1:1" x14ac:dyDescent="0.3">
      <c r="A4" s="59" t="s">
        <v>197</v>
      </c>
    </row>
    <row r="5" spans="1:1" x14ac:dyDescent="0.3">
      <c r="A5" s="59" t="s">
        <v>198</v>
      </c>
    </row>
    <row r="6" spans="1:1" x14ac:dyDescent="0.3">
      <c r="A6" s="59" t="s">
        <v>199</v>
      </c>
    </row>
    <row r="7" spans="1:1" x14ac:dyDescent="0.3">
      <c r="A7" s="59"/>
    </row>
    <row r="8" spans="1:1" x14ac:dyDescent="0.3">
      <c r="A8" s="59" t="s">
        <v>200</v>
      </c>
    </row>
    <row r="9" spans="1:1" x14ac:dyDescent="0.3">
      <c r="A9" s="59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39BD-2051-4EAF-BFE5-4F257A9C4294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165</v>
      </c>
    </row>
    <row r="2" spans="1:1" x14ac:dyDescent="0.3">
      <c r="A2" t="s">
        <v>166</v>
      </c>
    </row>
    <row r="3" spans="1:1" x14ac:dyDescent="0.3">
      <c r="A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Brake Calc</vt:lpstr>
      <vt:lpstr>Brake Calc (with rear)</vt:lpstr>
      <vt:lpstr>Sheet3</vt:lpstr>
      <vt:lpstr>Parking Brake Calc</vt:lpstr>
      <vt:lpstr>Mass Breakdown</vt:lpstr>
      <vt:lpstr>Fake BoM </vt:lpstr>
      <vt:lpstr>Sheet4</vt:lpstr>
      <vt:lpstr>Rear Rotor </vt:lpstr>
      <vt:lpstr>Sheet1</vt:lpstr>
      <vt:lpstr>Miscellaneous</vt:lpstr>
      <vt:lpstr>Bolt 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Anandajith Jinesh</cp:lastModifiedBy>
  <cp:lastPrinted>2023-01-22T13:57:51Z</cp:lastPrinted>
  <dcterms:created xsi:type="dcterms:W3CDTF">2022-01-11T16:45:47Z</dcterms:created>
  <dcterms:modified xsi:type="dcterms:W3CDTF">2024-06-08T13:49:30Z</dcterms:modified>
</cp:coreProperties>
</file>