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tabRatio="776"/>
  </bookViews>
  <sheets>
    <sheet name="Investissement &amp; Financement" sheetId="1" r:id="rId1"/>
    <sheet name="CA" sheetId="11" r:id="rId2"/>
    <sheet name="Charges du personnel" sheetId="3" r:id="rId3"/>
    <sheet name="Charges d'exploitation" sheetId="27" r:id="rId4"/>
    <sheet name="Amortissement" sheetId="5" r:id="rId5"/>
    <sheet name="Compte d'exploitation" sheetId="6" r:id="rId6"/>
    <sheet name="BFR" sheetId="8" r:id="rId7"/>
    <sheet name="Trésorerie" sheetId="7" r:id="rId8"/>
    <sheet name="Graph" sheetId="17" state="hidden" r:id="rId9"/>
  </sheets>
  <definedNames>
    <definedName name="__IntlFixup">1</definedName>
    <definedName name="__IntlFixupTable">"#REF!"</definedName>
    <definedName name="_Order1">0</definedName>
    <definedName name="AA.Report.Files">"#REF!"</definedName>
    <definedName name="AA.Reports.Available">"#REF!"</definedName>
    <definedName name="DATA_01">#N/A</definedName>
    <definedName name="DATA_02">#N/A</definedName>
    <definedName name="DATA_03">#N/A</definedName>
    <definedName name="DATA_04">#N/A</definedName>
    <definedName name="Database.File">"#REF!"</definedName>
    <definedName name="File.Type">"#REF!"</definedName>
    <definedName name="Fixed_costs">"#REF!"</definedName>
    <definedName name="Gross_margin">"#REF!"</definedName>
    <definedName name="HTML_CodePage">1252</definedName>
    <definedName name="HTML_Control">{"'Leverage'!$B$2:$M$418"}</definedName>
    <definedName name="HTML_Description">""</definedName>
    <definedName name="HTML_Email">""</definedName>
    <definedName name="HTML_Header">"Leverage"</definedName>
    <definedName name="HTML_LastUpdate">"8/21/00"</definedName>
    <definedName name="HTML_LineAfter">0</definedName>
    <definedName name="HTML_LineBefore">0</definedName>
    <definedName name="HTML_Name">"Frank Vickers"</definedName>
    <definedName name="HTML_OBDlg2">1</definedName>
    <definedName name="HTML_OBDlg4">1</definedName>
    <definedName name="HTML_OS">0</definedName>
    <definedName name="HTML_PathFile">"C:\my documents\lever.htm"</definedName>
    <definedName name="HTML_Title">"leverage"</definedName>
    <definedName name="LABOR_TAX">#N/A</definedName>
    <definedName name="Macro1">"[0]!macro1"</definedName>
    <definedName name="Macro2">"[0]!macro2"</definedName>
    <definedName name="PARTS_TAX">#N/A</definedName>
    <definedName name="Sales_price_unit">"#REF!"</definedName>
    <definedName name="Sales_volume_units">"#REF!"</definedName>
    <definedName name="Show.Acct.Update.Warning">"#REF!"</definedName>
    <definedName name="Show.MDB.Update.Warning">"#REF!"</definedName>
    <definedName name="Total_fixed">"#REF!"</definedName>
    <definedName name="Total_Sales">"#REF!"</definedName>
    <definedName name="Total_variable">"#REF!"</definedName>
    <definedName name="Unit_contrib_margin">"#REF!"</definedName>
    <definedName name="Variable_costs_unit">"#REF!"</definedName>
    <definedName name="Variable_Unit_Cost">"#REF!"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27" l="1"/>
  <c r="H29" i="27"/>
  <c r="I29" i="27"/>
  <c r="F29" i="27"/>
  <c r="D27" i="1"/>
  <c r="C27" i="1"/>
  <c r="D9" i="1"/>
  <c r="C9" i="1"/>
  <c r="C10" i="1"/>
  <c r="D10" i="1"/>
  <c r="D5" i="1"/>
  <c r="C5" i="1"/>
  <c r="E18" i="3"/>
  <c r="F18" i="3" s="1"/>
  <c r="D18" i="3"/>
  <c r="D16" i="3"/>
  <c r="E16" i="3" s="1"/>
  <c r="F16" i="3" s="1"/>
  <c r="E10" i="3"/>
  <c r="F10" i="3" s="1"/>
  <c r="D7" i="3"/>
  <c r="F7" i="3" s="1"/>
  <c r="E36" i="1"/>
  <c r="D37" i="1"/>
  <c r="C37" i="1"/>
  <c r="B37" i="1"/>
  <c r="F6" i="3"/>
  <c r="F8" i="3"/>
  <c r="F9" i="3"/>
  <c r="F11" i="3"/>
  <c r="F12" i="3"/>
  <c r="F51" i="3" s="1"/>
  <c r="F13" i="3"/>
  <c r="F52" i="3" s="1"/>
  <c r="F14" i="3"/>
  <c r="F15" i="3"/>
  <c r="F17" i="3"/>
  <c r="F19" i="3"/>
  <c r="E6" i="3"/>
  <c r="E8" i="3"/>
  <c r="E9" i="3"/>
  <c r="E11" i="3"/>
  <c r="E12" i="3"/>
  <c r="E51" i="3" s="1"/>
  <c r="E13" i="3"/>
  <c r="E52" i="3" s="1"/>
  <c r="E14" i="3"/>
  <c r="E15" i="3"/>
  <c r="E54" i="3" s="1"/>
  <c r="E17" i="3"/>
  <c r="E56" i="3" s="1"/>
  <c r="E19" i="3"/>
  <c r="D6" i="3"/>
  <c r="D8" i="3"/>
  <c r="D9" i="3"/>
  <c r="D11" i="3"/>
  <c r="D12" i="3"/>
  <c r="D51" i="3" s="1"/>
  <c r="D13" i="3"/>
  <c r="D52" i="3" s="1"/>
  <c r="D14" i="3"/>
  <c r="D15" i="3"/>
  <c r="D17" i="3"/>
  <c r="D19" i="3"/>
  <c r="C6" i="3"/>
  <c r="C8" i="3"/>
  <c r="C9" i="3"/>
  <c r="C11" i="3"/>
  <c r="C12" i="3"/>
  <c r="C51" i="3" s="1"/>
  <c r="C13" i="3"/>
  <c r="C52" i="3" s="1"/>
  <c r="C14" i="3"/>
  <c r="C15" i="3"/>
  <c r="C17" i="3"/>
  <c r="C19" i="3"/>
  <c r="B46" i="3"/>
  <c r="B10" i="1"/>
  <c r="B5" i="7" s="1"/>
  <c r="C31" i="11"/>
  <c r="C30" i="11"/>
  <c r="B8" i="27"/>
  <c r="B44" i="3"/>
  <c r="B45" i="3"/>
  <c r="B47" i="3"/>
  <c r="B48" i="3"/>
  <c r="B49" i="3"/>
  <c r="B68" i="3" s="1"/>
  <c r="B50" i="3"/>
  <c r="B51" i="3"/>
  <c r="B52" i="3"/>
  <c r="B53" i="3"/>
  <c r="B54" i="3"/>
  <c r="B55" i="3"/>
  <c r="B69" i="3" s="1"/>
  <c r="B56" i="3"/>
  <c r="B57" i="3"/>
  <c r="B70" i="3" s="1"/>
  <c r="B58" i="3"/>
  <c r="C25" i="3"/>
  <c r="D25" i="3" s="1"/>
  <c r="E25" i="3" s="1"/>
  <c r="F25" i="3" s="1"/>
  <c r="C26" i="3"/>
  <c r="D26" i="3"/>
  <c r="C45" i="3"/>
  <c r="C27" i="3"/>
  <c r="D27" i="3" s="1"/>
  <c r="E27" i="3" s="1"/>
  <c r="F27" i="3" s="1"/>
  <c r="C28" i="3"/>
  <c r="C47" i="3"/>
  <c r="C29" i="3"/>
  <c r="C48" i="3"/>
  <c r="D30" i="3"/>
  <c r="C31" i="3"/>
  <c r="C50" i="3"/>
  <c r="C33" i="3"/>
  <c r="C34" i="3"/>
  <c r="C53" i="3"/>
  <c r="C35" i="3"/>
  <c r="C36" i="3"/>
  <c r="C37" i="3"/>
  <c r="C38" i="3"/>
  <c r="D38" i="3" s="1"/>
  <c r="E38" i="3" s="1"/>
  <c r="F38" i="3" s="1"/>
  <c r="C39" i="3"/>
  <c r="B24" i="11"/>
  <c r="B5" i="6" s="1"/>
  <c r="C5" i="8" s="1"/>
  <c r="B25" i="11"/>
  <c r="C4" i="11"/>
  <c r="D4" i="11"/>
  <c r="C5" i="11"/>
  <c r="D5" i="11" s="1"/>
  <c r="E21" i="27"/>
  <c r="F21" i="27" s="1"/>
  <c r="F26" i="27"/>
  <c r="D15" i="8" s="1"/>
  <c r="E20" i="27"/>
  <c r="F20" i="27" s="1"/>
  <c r="E22" i="27"/>
  <c r="C11" i="8" s="1"/>
  <c r="E23" i="27"/>
  <c r="F23" i="27" s="1"/>
  <c r="E25" i="27"/>
  <c r="F25" i="27"/>
  <c r="D14" i="8" s="1"/>
  <c r="E27" i="27"/>
  <c r="C16" i="8" s="1"/>
  <c r="E28" i="27"/>
  <c r="C17" i="8" s="1"/>
  <c r="E30" i="27"/>
  <c r="C19" i="8" s="1"/>
  <c r="D28" i="3"/>
  <c r="D29" i="3"/>
  <c r="D48" i="3"/>
  <c r="D31" i="3"/>
  <c r="D34" i="3"/>
  <c r="D36" i="3"/>
  <c r="E36" i="3" s="1"/>
  <c r="F36" i="3" s="1"/>
  <c r="E29" i="3"/>
  <c r="E48" i="3"/>
  <c r="F29" i="3"/>
  <c r="F48" i="3"/>
  <c r="B36" i="27"/>
  <c r="B6" i="6"/>
  <c r="C6" i="8" s="1"/>
  <c r="B16" i="11"/>
  <c r="F7" i="7"/>
  <c r="B10" i="7"/>
  <c r="B35" i="1"/>
  <c r="B11" i="5"/>
  <c r="D11" i="5"/>
  <c r="B20" i="3"/>
  <c r="C14" i="8"/>
  <c r="C15" i="8"/>
  <c r="C18" i="8"/>
  <c r="A6" i="8"/>
  <c r="A5" i="8"/>
  <c r="A10" i="8"/>
  <c r="A11" i="8"/>
  <c r="A12" i="8"/>
  <c r="A13" i="8"/>
  <c r="A14" i="8"/>
  <c r="A15" i="8"/>
  <c r="A16" i="8"/>
  <c r="A17" i="8"/>
  <c r="A18" i="8"/>
  <c r="A19" i="8"/>
  <c r="B5" i="5"/>
  <c r="E5" i="5" s="1"/>
  <c r="F5" i="5"/>
  <c r="D5" i="5"/>
  <c r="B8" i="5"/>
  <c r="D8" i="5"/>
  <c r="F8" i="6"/>
  <c r="E11" i="5"/>
  <c r="A9" i="8"/>
  <c r="C25" i="1"/>
  <c r="D25" i="1"/>
  <c r="E25" i="1"/>
  <c r="F25" i="1"/>
  <c r="A8" i="8"/>
  <c r="C26" i="1"/>
  <c r="D26" i="1"/>
  <c r="E26" i="1"/>
  <c r="F26" i="1"/>
  <c r="A11" i="5"/>
  <c r="A12" i="5"/>
  <c r="B26" i="1"/>
  <c r="E27" i="1"/>
  <c r="F27" i="1"/>
  <c r="C7" i="7"/>
  <c r="D7" i="7"/>
  <c r="E7" i="7"/>
  <c r="B7" i="7"/>
  <c r="E9" i="7"/>
  <c r="E24" i="3"/>
  <c r="F24" i="3"/>
  <c r="E66" i="3"/>
  <c r="F66" i="3"/>
  <c r="C24" i="3"/>
  <c r="D24" i="3"/>
  <c r="B24" i="3"/>
  <c r="B66" i="3"/>
  <c r="D66" i="3"/>
  <c r="C66" i="3"/>
  <c r="B24" i="1"/>
  <c r="B27" i="1"/>
  <c r="B21" i="1"/>
  <c r="B25" i="1"/>
  <c r="B9" i="7"/>
  <c r="D53" i="3"/>
  <c r="E34" i="3"/>
  <c r="C54" i="3"/>
  <c r="D35" i="3"/>
  <c r="D45" i="3"/>
  <c r="E26" i="3"/>
  <c r="D50" i="3"/>
  <c r="E31" i="3"/>
  <c r="C56" i="3"/>
  <c r="D37" i="3"/>
  <c r="E28" i="3"/>
  <c r="C58" i="3"/>
  <c r="D39" i="3"/>
  <c r="D33" i="3"/>
  <c r="F11" i="5"/>
  <c r="F8" i="5"/>
  <c r="E8" i="5"/>
  <c r="F28" i="3"/>
  <c r="F47" i="3"/>
  <c r="E53" i="3"/>
  <c r="F34" i="3"/>
  <c r="F53" i="3"/>
  <c r="D56" i="3"/>
  <c r="E37" i="3"/>
  <c r="D58" i="3"/>
  <c r="E39" i="3"/>
  <c r="E45" i="3"/>
  <c r="F26" i="3"/>
  <c r="F45" i="3"/>
  <c r="D54" i="3"/>
  <c r="E35" i="3"/>
  <c r="E33" i="3"/>
  <c r="E50" i="3"/>
  <c r="F31" i="3"/>
  <c r="F50" i="3"/>
  <c r="F33" i="3"/>
  <c r="F39" i="3"/>
  <c r="F58" i="3"/>
  <c r="E58" i="3"/>
  <c r="F35" i="3"/>
  <c r="F54" i="3"/>
  <c r="F37" i="3"/>
  <c r="F56" i="3"/>
  <c r="C10" i="8" l="1"/>
  <c r="D12" i="8"/>
  <c r="G23" i="27"/>
  <c r="G21" i="27"/>
  <c r="E10" i="8" s="1"/>
  <c r="D10" i="8"/>
  <c r="G25" i="27"/>
  <c r="H25" i="27" s="1"/>
  <c r="F14" i="8" s="1"/>
  <c r="F22" i="27"/>
  <c r="G22" i="27" s="1"/>
  <c r="H22" i="27" s="1"/>
  <c r="B37" i="27"/>
  <c r="C12" i="8"/>
  <c r="B35" i="27"/>
  <c r="B38" i="27" s="1"/>
  <c r="F28" i="27"/>
  <c r="G28" i="27" s="1"/>
  <c r="F27" i="27"/>
  <c r="G27" i="27" s="1"/>
  <c r="G26" i="27"/>
  <c r="E14" i="8"/>
  <c r="F13" i="8"/>
  <c r="G13" i="8"/>
  <c r="E11" i="8"/>
  <c r="D11" i="8"/>
  <c r="G20" i="27"/>
  <c r="D9" i="8"/>
  <c r="C9" i="8"/>
  <c r="H28" i="27"/>
  <c r="I28" i="27" s="1"/>
  <c r="E17" i="8"/>
  <c r="D17" i="8"/>
  <c r="E16" i="8"/>
  <c r="H27" i="27"/>
  <c r="E37" i="27" s="1"/>
  <c r="D37" i="27"/>
  <c r="D16" i="8"/>
  <c r="C37" i="27"/>
  <c r="F30" i="27"/>
  <c r="E31" i="27"/>
  <c r="B10" i="6" s="1"/>
  <c r="C24" i="11"/>
  <c r="C5" i="6" s="1"/>
  <c r="D5" i="8" s="1"/>
  <c r="D24" i="11"/>
  <c r="B8" i="6"/>
  <c r="C25" i="11"/>
  <c r="C49" i="3"/>
  <c r="C68" i="3" s="1"/>
  <c r="C57" i="3"/>
  <c r="C70" i="3" s="1"/>
  <c r="D57" i="3"/>
  <c r="D70" i="3" s="1"/>
  <c r="D49" i="3"/>
  <c r="D68" i="3" s="1"/>
  <c r="E30" i="3"/>
  <c r="F30" i="3" s="1"/>
  <c r="E57" i="3"/>
  <c r="E70" i="3" s="1"/>
  <c r="F57" i="3"/>
  <c r="F70" i="3" s="1"/>
  <c r="D46" i="3"/>
  <c r="C46" i="3"/>
  <c r="B59" i="3"/>
  <c r="B60" i="3" s="1"/>
  <c r="B61" i="3" s="1"/>
  <c r="D44" i="3"/>
  <c r="B67" i="3"/>
  <c r="B71" i="3" s="1"/>
  <c r="D55" i="3"/>
  <c r="D69" i="3" s="1"/>
  <c r="C55" i="3"/>
  <c r="C69" i="3" s="1"/>
  <c r="D20" i="3"/>
  <c r="D31" i="11"/>
  <c r="B26" i="11"/>
  <c r="E4" i="11"/>
  <c r="F4" i="11" s="1"/>
  <c r="C7" i="8"/>
  <c r="E5" i="11"/>
  <c r="B7" i="6"/>
  <c r="D5" i="6"/>
  <c r="E47" i="3"/>
  <c r="D47" i="3"/>
  <c r="C20" i="3"/>
  <c r="C44" i="3"/>
  <c r="C35" i="1"/>
  <c r="D35" i="1"/>
  <c r="E35" i="1" s="1"/>
  <c r="F35" i="1" s="1"/>
  <c r="D13" i="5"/>
  <c r="B13" i="6" s="1"/>
  <c r="H21" i="27" l="1"/>
  <c r="I25" i="27"/>
  <c r="G14" i="8" s="1"/>
  <c r="H23" i="27"/>
  <c r="E12" i="8"/>
  <c r="F17" i="8"/>
  <c r="H26" i="27"/>
  <c r="E15" i="8"/>
  <c r="I21" i="27"/>
  <c r="G10" i="8" s="1"/>
  <c r="F10" i="8"/>
  <c r="I22" i="27"/>
  <c r="G11" i="8" s="1"/>
  <c r="F11" i="8"/>
  <c r="H20" i="27"/>
  <c r="E9" i="8"/>
  <c r="F16" i="8"/>
  <c r="I27" i="27"/>
  <c r="G16" i="8" s="1"/>
  <c r="F37" i="27"/>
  <c r="G17" i="8"/>
  <c r="C35" i="27"/>
  <c r="D19" i="8"/>
  <c r="G30" i="27"/>
  <c r="B9" i="6"/>
  <c r="C8" i="8" s="1"/>
  <c r="C20" i="8" s="1"/>
  <c r="C21" i="8" s="1"/>
  <c r="C22" i="8" s="1"/>
  <c r="B6" i="7" s="1"/>
  <c r="B8" i="7" s="1"/>
  <c r="C26" i="11"/>
  <c r="C36" i="27" s="1"/>
  <c r="F24" i="11"/>
  <c r="F5" i="6" s="1"/>
  <c r="G5" i="8" s="1"/>
  <c r="C6" i="6"/>
  <c r="C7" i="6" s="1"/>
  <c r="E49" i="3"/>
  <c r="E68" i="3" s="1"/>
  <c r="F49" i="3"/>
  <c r="F68" i="3" s="1"/>
  <c r="B9" i="5"/>
  <c r="G9" i="5" s="1"/>
  <c r="C24" i="1"/>
  <c r="B10" i="5"/>
  <c r="G10" i="5" s="1"/>
  <c r="B7" i="5"/>
  <c r="E46" i="3"/>
  <c r="F46" i="3"/>
  <c r="D59" i="3"/>
  <c r="D60" i="3" s="1"/>
  <c r="D61" i="3" s="1"/>
  <c r="F44" i="3"/>
  <c r="E44" i="3"/>
  <c r="E20" i="3"/>
  <c r="D67" i="3"/>
  <c r="D71" i="3" s="1"/>
  <c r="B11" i="6"/>
  <c r="B12" i="6" s="1"/>
  <c r="E55" i="3"/>
  <c r="E69" i="3" s="1"/>
  <c r="E24" i="11"/>
  <c r="E5" i="6" s="1"/>
  <c r="C8" i="6"/>
  <c r="D8" i="6"/>
  <c r="E31" i="11"/>
  <c r="E25" i="11" s="1"/>
  <c r="E6" i="6" s="1"/>
  <c r="F6" i="8" s="1"/>
  <c r="D25" i="11"/>
  <c r="D6" i="6" s="1"/>
  <c r="E6" i="8" s="1"/>
  <c r="F5" i="11"/>
  <c r="E5" i="8"/>
  <c r="C67" i="3"/>
  <c r="C71" i="3" s="1"/>
  <c r="C59" i="3"/>
  <c r="I23" i="27" l="1"/>
  <c r="G12" i="8" s="1"/>
  <c r="F12" i="8"/>
  <c r="I26" i="27"/>
  <c r="G15" i="8" s="1"/>
  <c r="F15" i="8"/>
  <c r="C38" i="27"/>
  <c r="I20" i="27"/>
  <c r="G9" i="8" s="1"/>
  <c r="F9" i="8"/>
  <c r="H30" i="27"/>
  <c r="D35" i="27"/>
  <c r="E19" i="8"/>
  <c r="D6" i="8"/>
  <c r="D7" i="8" s="1"/>
  <c r="D9" i="6"/>
  <c r="E8" i="8" s="1"/>
  <c r="D7" i="6"/>
  <c r="D26" i="11"/>
  <c r="G31" i="27" s="1"/>
  <c r="D10" i="6" s="1"/>
  <c r="D18" i="8"/>
  <c r="C27" i="11"/>
  <c r="C16" i="11" s="1"/>
  <c r="D16" i="11" s="1"/>
  <c r="E16" i="11" s="1"/>
  <c r="F16" i="11" s="1"/>
  <c r="G19" i="11" s="1"/>
  <c r="F31" i="27"/>
  <c r="C10" i="6" s="1"/>
  <c r="F67" i="3"/>
  <c r="D24" i="1"/>
  <c r="E67" i="3"/>
  <c r="E71" i="3" s="1"/>
  <c r="D5" i="7"/>
  <c r="B6" i="5"/>
  <c r="F6" i="5" s="1"/>
  <c r="C5" i="7"/>
  <c r="H10" i="5"/>
  <c r="E59" i="3"/>
  <c r="E60" i="3" s="1"/>
  <c r="E61" i="3" s="1"/>
  <c r="E9" i="6" s="1"/>
  <c r="B14" i="6"/>
  <c r="B17" i="6" s="1"/>
  <c r="B19" i="6" s="1"/>
  <c r="B21" i="6" s="1"/>
  <c r="B11" i="7" s="1"/>
  <c r="B12" i="7" s="1"/>
  <c r="B13" i="7" s="1"/>
  <c r="B14" i="7" s="1"/>
  <c r="F55" i="3"/>
  <c r="F20" i="3"/>
  <c r="F10" i="5"/>
  <c r="E9" i="5"/>
  <c r="F9" i="5"/>
  <c r="E8" i="6"/>
  <c r="F31" i="11"/>
  <c r="E7" i="8"/>
  <c r="E26" i="11"/>
  <c r="F5" i="8"/>
  <c r="F7" i="8" s="1"/>
  <c r="E7" i="6"/>
  <c r="F7" i="5"/>
  <c r="H7" i="5"/>
  <c r="G7" i="5"/>
  <c r="C60" i="3"/>
  <c r="C61" i="3" s="1"/>
  <c r="C9" i="6" s="1"/>
  <c r="F19" i="8" l="1"/>
  <c r="I30" i="27"/>
  <c r="E35" i="27"/>
  <c r="D11" i="6"/>
  <c r="D12" i="6" s="1"/>
  <c r="E18" i="8"/>
  <c r="E20" i="8" s="1"/>
  <c r="E21" i="8" s="1"/>
  <c r="D36" i="27"/>
  <c r="D38" i="27" s="1"/>
  <c r="D27" i="11"/>
  <c r="F25" i="11"/>
  <c r="F6" i="6" s="1"/>
  <c r="G6" i="8" s="1"/>
  <c r="G7" i="8" s="1"/>
  <c r="H13" i="5"/>
  <c r="F13" i="6" s="1"/>
  <c r="B20" i="6"/>
  <c r="E6" i="5"/>
  <c r="E13" i="5" s="1"/>
  <c r="C13" i="6" s="1"/>
  <c r="G6" i="5"/>
  <c r="G13" i="5" s="1"/>
  <c r="E13" i="6" s="1"/>
  <c r="B15" i="6"/>
  <c r="E10" i="1"/>
  <c r="E5" i="7"/>
  <c r="E24" i="1"/>
  <c r="F69" i="3"/>
  <c r="F71" i="3" s="1"/>
  <c r="F59" i="3"/>
  <c r="F13" i="5"/>
  <c r="D13" i="6" s="1"/>
  <c r="E27" i="11"/>
  <c r="E36" i="27"/>
  <c r="F18" i="8"/>
  <c r="H31" i="27"/>
  <c r="F8" i="8"/>
  <c r="D8" i="8"/>
  <c r="D20" i="8" s="1"/>
  <c r="D21" i="8" s="1"/>
  <c r="C11" i="6"/>
  <c r="C12" i="6" s="1"/>
  <c r="E10" i="6" l="1"/>
  <c r="E11" i="6" s="1"/>
  <c r="E38" i="27"/>
  <c r="F35" i="27"/>
  <c r="G19" i="8"/>
  <c r="D14" i="6"/>
  <c r="D15" i="6" s="1"/>
  <c r="F26" i="11"/>
  <c r="G18" i="8" s="1"/>
  <c r="F7" i="6"/>
  <c r="F10" i="1"/>
  <c r="F5" i="7"/>
  <c r="F24" i="1"/>
  <c r="F60" i="3"/>
  <c r="F61" i="3" s="1"/>
  <c r="F9" i="6" s="1"/>
  <c r="F20" i="8"/>
  <c r="F21" i="8" s="1"/>
  <c r="F22" i="8" s="1"/>
  <c r="E6" i="7" s="1"/>
  <c r="E8" i="7" s="1"/>
  <c r="C14" i="6"/>
  <c r="C15" i="6" s="1"/>
  <c r="E22" i="8"/>
  <c r="D6" i="7" s="1"/>
  <c r="D8" i="7" s="1"/>
  <c r="D22" i="8"/>
  <c r="C6" i="7" s="1"/>
  <c r="C8" i="7" s="1"/>
  <c r="E12" i="6" l="1"/>
  <c r="E14" i="6"/>
  <c r="E17" i="6" s="1"/>
  <c r="D17" i="6"/>
  <c r="D18" i="6" s="1"/>
  <c r="D19" i="6" s="1"/>
  <c r="D21" i="6" s="1"/>
  <c r="D20" i="1" s="1"/>
  <c r="D21" i="1" s="1"/>
  <c r="F36" i="27"/>
  <c r="F38" i="27" s="1"/>
  <c r="I31" i="27"/>
  <c r="F27" i="11"/>
  <c r="G8" i="8"/>
  <c r="G20" i="8" s="1"/>
  <c r="G21" i="8" s="1"/>
  <c r="G22" i="8" s="1"/>
  <c r="F6" i="7" s="1"/>
  <c r="F8" i="7" s="1"/>
  <c r="C17" i="6"/>
  <c r="C19" i="6" s="1"/>
  <c r="C21" i="6" s="1"/>
  <c r="E15" i="6"/>
  <c r="E18" i="6"/>
  <c r="E19" i="6" s="1"/>
  <c r="F10" i="6" l="1"/>
  <c r="F11" i="6" s="1"/>
  <c r="D11" i="7"/>
  <c r="D12" i="7" s="1"/>
  <c r="D13" i="7" s="1"/>
  <c r="D20" i="6"/>
  <c r="C20" i="6"/>
  <c r="C20" i="1"/>
  <c r="C21" i="1" s="1"/>
  <c r="C11" i="7"/>
  <c r="C12" i="7" s="1"/>
  <c r="C13" i="7" s="1"/>
  <c r="C14" i="7" s="1"/>
  <c r="E21" i="6"/>
  <c r="E20" i="6"/>
  <c r="F14" i="6" l="1"/>
  <c r="F12" i="6"/>
  <c r="D14" i="7"/>
  <c r="E11" i="7"/>
  <c r="E12" i="7" s="1"/>
  <c r="E13" i="7" s="1"/>
  <c r="E20" i="1"/>
  <c r="E21" i="1" s="1"/>
  <c r="F15" i="6" l="1"/>
  <c r="F17" i="6"/>
  <c r="F18" i="6" s="1"/>
  <c r="F19" i="6" s="1"/>
  <c r="E14" i="7"/>
  <c r="F20" i="6" l="1"/>
  <c r="F21" i="6"/>
  <c r="F20" i="1" l="1"/>
  <c r="F21" i="1" s="1"/>
  <c r="F11" i="7"/>
  <c r="F12" i="7" s="1"/>
  <c r="F13" i="7" s="1"/>
  <c r="F14" i="7" s="1"/>
</calcChain>
</file>

<file path=xl/sharedStrings.xml><?xml version="1.0" encoding="utf-8"?>
<sst xmlns="http://schemas.openxmlformats.org/spreadsheetml/2006/main" count="298" uniqueCount="142">
  <si>
    <t>Total</t>
  </si>
  <si>
    <t xml:space="preserve">Taux d'accroissement </t>
  </si>
  <si>
    <t>Investissement :</t>
  </si>
  <si>
    <t>Valeur brute</t>
  </si>
  <si>
    <t>Taux d'amortissement</t>
  </si>
  <si>
    <t>Cash Flow</t>
  </si>
  <si>
    <t>Total dotations</t>
  </si>
  <si>
    <t>Hypothèses</t>
  </si>
  <si>
    <t>Trésorerie :</t>
  </si>
  <si>
    <t>Cash flow</t>
  </si>
  <si>
    <t>Ressources</t>
  </si>
  <si>
    <t>BFR :</t>
  </si>
  <si>
    <t>Financement :</t>
  </si>
  <si>
    <t>Délai en mois</t>
  </si>
  <si>
    <t>Année 1</t>
  </si>
  <si>
    <t>Année 2</t>
  </si>
  <si>
    <t>Année 3</t>
  </si>
  <si>
    <t>Marketing</t>
  </si>
  <si>
    <t>NA</t>
  </si>
  <si>
    <t>Amortissement :</t>
  </si>
  <si>
    <t>Année 4</t>
  </si>
  <si>
    <t>Année 5</t>
  </si>
  <si>
    <t>En KTND</t>
  </si>
  <si>
    <t>Cash flow de l'entreprise</t>
  </si>
  <si>
    <t>Matériel informatique année 1</t>
  </si>
  <si>
    <t>Matériel informatique année 2</t>
  </si>
  <si>
    <t>Matériel informatique année 3</t>
  </si>
  <si>
    <t>MMB année 1</t>
  </si>
  <si>
    <t>MMB année 2</t>
  </si>
  <si>
    <t>MMB année 3</t>
  </si>
  <si>
    <t>Capital</t>
  </si>
  <si>
    <t>Nb de clients</t>
  </si>
  <si>
    <t>Marketing &amp; missions</t>
  </si>
  <si>
    <t>Missions</t>
  </si>
  <si>
    <t>OCA</t>
  </si>
  <si>
    <t>Remboursement OCA</t>
  </si>
  <si>
    <t>Montant</t>
  </si>
  <si>
    <t>Taux d'intérêt</t>
  </si>
  <si>
    <t>Durée</t>
  </si>
  <si>
    <t>5 ans</t>
  </si>
  <si>
    <t>Intérêts</t>
  </si>
  <si>
    <t>Principal</t>
  </si>
  <si>
    <t>Restant dû</t>
  </si>
  <si>
    <t>CAGR</t>
  </si>
  <si>
    <t>Scénario 1 : Low Road</t>
  </si>
  <si>
    <t>Scénario 3 : High Road</t>
  </si>
  <si>
    <t>Scénario 2 : Expected outcome</t>
  </si>
  <si>
    <t>Evolution</t>
  </si>
  <si>
    <t>Closing</t>
  </si>
  <si>
    <t>Technical lead</t>
  </si>
  <si>
    <t>Marketer</t>
  </si>
  <si>
    <t>Designer</t>
  </si>
  <si>
    <t>Motion designer</t>
  </si>
  <si>
    <t>Leasing</t>
  </si>
  <si>
    <t>Year 1</t>
  </si>
  <si>
    <t>Year 2</t>
  </si>
  <si>
    <t>Year 3</t>
  </si>
  <si>
    <t>Year 4</t>
  </si>
  <si>
    <t>Year 5</t>
  </si>
  <si>
    <t>Product</t>
  </si>
  <si>
    <t>Production manager</t>
  </si>
  <si>
    <t>Dev</t>
  </si>
  <si>
    <t>3D designer</t>
  </si>
  <si>
    <t>Export expert</t>
  </si>
  <si>
    <t>Administration</t>
  </si>
  <si>
    <t>Matériel informatique</t>
  </si>
  <si>
    <t>Budget marketing</t>
  </si>
  <si>
    <t>Frais de dossier d'investissement</t>
  </si>
  <si>
    <t>Prix</t>
  </si>
  <si>
    <t>Home Mode</t>
  </si>
  <si>
    <t>Kiosk Mode (Hardware + freemium app)</t>
  </si>
  <si>
    <t>Evolution par an</t>
  </si>
  <si>
    <t>Produits</t>
  </si>
  <si>
    <t>Quantités</t>
  </si>
  <si>
    <t>Ventes</t>
  </si>
  <si>
    <t>TND</t>
  </si>
  <si>
    <t>K TND</t>
  </si>
  <si>
    <t>Matériel informatique &amp; MMB</t>
  </si>
  <si>
    <t>FR</t>
  </si>
  <si>
    <t>Effectif :</t>
  </si>
  <si>
    <t>Equipe de prod</t>
  </si>
  <si>
    <t>Dir Artistique</t>
  </si>
  <si>
    <t>Ventes et marketing</t>
  </si>
  <si>
    <t>évolution</t>
  </si>
  <si>
    <t>Charges sociales</t>
  </si>
  <si>
    <t>Charges nettes</t>
  </si>
  <si>
    <t>Saliare net/mois</t>
  </si>
  <si>
    <t>Frais de production à l'unité</t>
  </si>
  <si>
    <t>Frais total de production</t>
  </si>
  <si>
    <t>Charges d'exploitation</t>
  </si>
  <si>
    <t>Loyer</t>
  </si>
  <si>
    <t>Télécommunication</t>
  </si>
  <si>
    <t>Energie</t>
  </si>
  <si>
    <t>Fourniture de bureau</t>
  </si>
  <si>
    <t>Entretien, carburant et assurance voiture</t>
  </si>
  <si>
    <t>Tenue de comptabilité</t>
  </si>
  <si>
    <t>Commissaire aux comptes</t>
  </si>
  <si>
    <t>Divers et imprévus</t>
  </si>
  <si>
    <t>Frais généraux</t>
  </si>
  <si>
    <t>Honoraires</t>
  </si>
  <si>
    <t>Par an</t>
  </si>
  <si>
    <t>du CA</t>
  </si>
  <si>
    <t>Thérapeute</t>
  </si>
  <si>
    <t>Direction Artistique</t>
  </si>
  <si>
    <t>Dir Ventes</t>
  </si>
  <si>
    <t>Commercial</t>
  </si>
  <si>
    <t>SAV/Hotline</t>
  </si>
  <si>
    <t>Comtpable</t>
  </si>
  <si>
    <t>Assitante</t>
  </si>
  <si>
    <t>Compte d'exploitation</t>
  </si>
  <si>
    <t>Achats consommés</t>
  </si>
  <si>
    <t>Charges du personnel</t>
  </si>
  <si>
    <t>Autres charges d'exploitation</t>
  </si>
  <si>
    <t>Chiffre d'affaires global</t>
  </si>
  <si>
    <t>RBE</t>
  </si>
  <si>
    <t>RBE/CA</t>
  </si>
  <si>
    <t>Amortissements</t>
  </si>
  <si>
    <t>Résultat d'exploitation</t>
  </si>
  <si>
    <t>Résultat d'exploitation/CA</t>
  </si>
  <si>
    <t>Charges financières</t>
  </si>
  <si>
    <t>Bénéfice avant impôt</t>
  </si>
  <si>
    <t>IS</t>
  </si>
  <si>
    <t>Résultat net</t>
  </si>
  <si>
    <t>Résultat net/CA</t>
  </si>
  <si>
    <t>Actifs circulants</t>
  </si>
  <si>
    <t>Passifs circulants</t>
  </si>
  <si>
    <t>BFR</t>
  </si>
  <si>
    <t>Variation du BFR</t>
  </si>
  <si>
    <t>Investissement</t>
  </si>
  <si>
    <t>Emplois</t>
  </si>
  <si>
    <t>Trésorerie</t>
  </si>
  <si>
    <t>Trésorerie cumulée</t>
  </si>
  <si>
    <t>en K DT</t>
  </si>
  <si>
    <t>Revnus</t>
  </si>
  <si>
    <t>Fond de roulement</t>
  </si>
  <si>
    <t>Matériel Mobilier et Bureatique</t>
  </si>
  <si>
    <t>Apport Personnel</t>
  </si>
  <si>
    <t>BF PME</t>
  </si>
  <si>
    <t>Abonnement Mensuel/ facultée</t>
  </si>
  <si>
    <t>Achat des données recruteurs et Publicitaire</t>
  </si>
  <si>
    <t>-</t>
  </si>
  <si>
    <t>Abonnement facultée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</si>
</sst>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_(* #,##0.00_);_(* \(#,##0.00\);_(* &quot;-&quot;??_);_(@_)"/>
    <numFmt numFmtId="165" formatCode="_-* #,##0.00\ _D_T_-;\-* #,##0.00\ _D_T_-;_-* &quot;-&quot;??\ _D_T_-;_-@_-"/>
    <numFmt numFmtId="166" formatCode="_-* #,##0\ _D_T_-;\-* #,##0\ _D_T_-;_-* &quot;-&quot;??\ _D_T_-;_-@_-"/>
    <numFmt numFmtId="167" formatCode="_-* #,##0.000\ _D_T_-;\-* #,##0.000\ _D_T_-;_-* &quot;-&quot;??\ _D_T_-;_-@_-"/>
    <numFmt numFmtId="168" formatCode="0.0%"/>
    <numFmt numFmtId="169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entury Gothic"/>
      <family val="2"/>
    </font>
    <font>
      <sz val="11"/>
      <color indexed="8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i/>
      <sz val="10"/>
      <color rgb="FF000000"/>
      <name val="Century Gothic"/>
      <family val="2"/>
    </font>
    <font>
      <b/>
      <i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C00000"/>
      <name val="Century Gothic"/>
      <family val="2"/>
    </font>
    <font>
      <sz val="10"/>
      <color indexed="8"/>
      <name val="Century Gothic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Montserrat"/>
    </font>
    <font>
      <sz val="11"/>
      <color theme="1"/>
      <name val="Montserrat"/>
    </font>
    <font>
      <b/>
      <sz val="10"/>
      <color theme="1"/>
      <name val="Montserrat"/>
    </font>
    <font>
      <sz val="10"/>
      <name val="Montserrat"/>
    </font>
    <font>
      <b/>
      <sz val="10"/>
      <name val="Montserrat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</cellStyleXfs>
  <cellXfs count="132">
    <xf numFmtId="0" fontId="0" fillId="0" borderId="0" xfId="0"/>
    <xf numFmtId="0" fontId="2" fillId="3" borderId="0" xfId="0" applyFont="1" applyFill="1"/>
    <xf numFmtId="0" fontId="0" fillId="0" borderId="1" xfId="0" applyBorder="1"/>
    <xf numFmtId="166" fontId="0" fillId="0" borderId="1" xfId="1" applyNumberFormat="1" applyFont="1" applyBorder="1"/>
    <xf numFmtId="0" fontId="2" fillId="0" borderId="1" xfId="0" applyFont="1" applyFill="1" applyBorder="1"/>
    <xf numFmtId="166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166" fontId="0" fillId="0" borderId="0" xfId="0" applyNumberFormat="1"/>
    <xf numFmtId="0" fontId="2" fillId="6" borderId="0" xfId="0" applyFont="1" applyFill="1"/>
    <xf numFmtId="0" fontId="8" fillId="0" borderId="0" xfId="0" applyFont="1"/>
    <xf numFmtId="0" fontId="5" fillId="5" borderId="0" xfId="0" applyFont="1" applyFill="1"/>
    <xf numFmtId="0" fontId="9" fillId="0" borderId="0" xfId="0" applyFont="1"/>
    <xf numFmtId="0" fontId="5" fillId="0" borderId="0" xfId="0" applyFont="1" applyFill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0" xfId="0" applyFont="1" applyFill="1"/>
    <xf numFmtId="166" fontId="9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9" fillId="0" borderId="0" xfId="0" applyNumberFormat="1" applyFont="1"/>
    <xf numFmtId="0" fontId="7" fillId="3" borderId="0" xfId="0" applyFont="1" applyFill="1"/>
    <xf numFmtId="0" fontId="11" fillId="0" borderId="2" xfId="0" applyFont="1" applyBorder="1"/>
    <xf numFmtId="0" fontId="13" fillId="0" borderId="1" xfId="0" applyFont="1" applyFill="1" applyBorder="1"/>
    <xf numFmtId="9" fontId="14" fillId="0" borderId="1" xfId="0" applyNumberFormat="1" applyFont="1" applyBorder="1"/>
    <xf numFmtId="166" fontId="9" fillId="0" borderId="0" xfId="1" applyNumberFormat="1" applyFont="1" applyBorder="1" applyAlignment="1">
      <alignment horizontal="center"/>
    </xf>
    <xf numFmtId="0" fontId="9" fillId="0" borderId="1" xfId="0" applyFont="1" applyBorder="1"/>
    <xf numFmtId="0" fontId="5" fillId="0" borderId="1" xfId="0" applyFont="1" applyBorder="1"/>
    <xf numFmtId="9" fontId="9" fillId="0" borderId="1" xfId="0" applyNumberFormat="1" applyFont="1" applyBorder="1" applyAlignment="1">
      <alignment horizontal="center"/>
    </xf>
    <xf numFmtId="0" fontId="5" fillId="6" borderId="0" xfId="0" applyFont="1" applyFill="1"/>
    <xf numFmtId="0" fontId="5" fillId="7" borderId="0" xfId="0" applyFont="1" applyFill="1"/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1" fontId="15" fillId="0" borderId="1" xfId="3" applyNumberFormat="1" applyFont="1" applyBorder="1" applyAlignment="1">
      <alignment horizontal="center" vertical="center"/>
    </xf>
    <xf numFmtId="9" fontId="15" fillId="0" borderId="1" xfId="2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" fontId="1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0" xfId="1" applyNumberFormat="1" applyFont="1"/>
    <xf numFmtId="166" fontId="12" fillId="0" borderId="1" xfId="1" applyNumberFormat="1" applyFont="1" applyBorder="1" applyAlignment="1">
      <alignment horizontal="center" vertical="center"/>
    </xf>
    <xf numFmtId="166" fontId="15" fillId="5" borderId="1" xfId="1" applyNumberFormat="1" applyFont="1" applyFill="1" applyBorder="1" applyAlignment="1">
      <alignment horizontal="center" vertical="center"/>
    </xf>
    <xf numFmtId="9" fontId="9" fillId="0" borderId="1" xfId="2" applyFont="1" applyBorder="1" applyAlignment="1">
      <alignment horizontal="center"/>
    </xf>
    <xf numFmtId="166" fontId="5" fillId="0" borderId="1" xfId="0" applyNumberFormat="1" applyFont="1" applyBorder="1"/>
    <xf numFmtId="9" fontId="9" fillId="0" borderId="0" xfId="2" applyFont="1"/>
    <xf numFmtId="0" fontId="5" fillId="0" borderId="1" xfId="0" applyFont="1" applyBorder="1" applyAlignment="1">
      <alignment horizontal="center"/>
    </xf>
    <xf numFmtId="0" fontId="11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/>
    </xf>
    <xf numFmtId="166" fontId="9" fillId="0" borderId="1" xfId="0" applyNumberFormat="1" applyFont="1" applyBorder="1"/>
    <xf numFmtId="9" fontId="14" fillId="0" borderId="0" xfId="0" applyNumberFormat="1" applyFont="1" applyBorder="1"/>
    <xf numFmtId="167" fontId="9" fillId="0" borderId="1" xfId="1" applyNumberFormat="1" applyFont="1" applyBorder="1" applyAlignment="1">
      <alignment horizontal="center"/>
    </xf>
    <xf numFmtId="1" fontId="12" fillId="0" borderId="1" xfId="3" applyNumberFormat="1" applyFont="1" applyBorder="1" applyAlignment="1">
      <alignment horizontal="center" vertical="center"/>
    </xf>
    <xf numFmtId="166" fontId="9" fillId="0" borderId="1" xfId="1" applyNumberFormat="1" applyFont="1" applyBorder="1"/>
    <xf numFmtId="0" fontId="10" fillId="0" borderId="2" xfId="0" applyFont="1" applyBorder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8" fontId="9" fillId="0" borderId="1" xfId="0" applyNumberFormat="1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9" fontId="15" fillId="0" borderId="1" xfId="2" applyNumberFormat="1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5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0" xfId="0" applyFont="1" applyFill="1"/>
    <xf numFmtId="0" fontId="19" fillId="0" borderId="0" xfId="0" applyFont="1"/>
    <xf numFmtId="166" fontId="19" fillId="0" borderId="0" xfId="0" applyNumberFormat="1" applyFont="1"/>
    <xf numFmtId="9" fontId="19" fillId="0" borderId="0" xfId="0" applyNumberFormat="1" applyFont="1"/>
    <xf numFmtId="9" fontId="9" fillId="0" borderId="1" xfId="0" applyNumberFormat="1" applyFont="1" applyBorder="1"/>
    <xf numFmtId="0" fontId="9" fillId="0" borderId="1" xfId="0" applyFont="1" applyBorder="1" applyAlignment="1"/>
    <xf numFmtId="0" fontId="9" fillId="0" borderId="7" xfId="0" applyFont="1" applyBorder="1" applyAlignment="1"/>
    <xf numFmtId="169" fontId="9" fillId="0" borderId="1" xfId="0" applyNumberFormat="1" applyFont="1" applyBorder="1"/>
    <xf numFmtId="0" fontId="8" fillId="2" borderId="1" xfId="0" applyFont="1" applyFill="1" applyBorder="1" applyAlignment="1">
      <alignment horizontal="left"/>
    </xf>
    <xf numFmtId="9" fontId="0" fillId="0" borderId="4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6" fontId="9" fillId="0" borderId="1" xfId="1" applyNumberFormat="1" applyFont="1" applyBorder="1" applyAlignment="1"/>
    <xf numFmtId="166" fontId="5" fillId="0" borderId="1" xfId="1" applyNumberFormat="1" applyFont="1" applyBorder="1" applyAlignment="1"/>
    <xf numFmtId="0" fontId="7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indent="1"/>
    </xf>
    <xf numFmtId="166" fontId="12" fillId="0" borderId="1" xfId="1" applyNumberFormat="1" applyFont="1" applyBorder="1" applyAlignment="1">
      <alignment horizontal="left" vertical="center" indent="1"/>
    </xf>
    <xf numFmtId="166" fontId="15" fillId="7" borderId="1" xfId="1" applyNumberFormat="1" applyFont="1" applyFill="1" applyBorder="1" applyAlignment="1">
      <alignment horizontal="left" vertical="center" indent="1"/>
    </xf>
    <xf numFmtId="0" fontId="9" fillId="0" borderId="1" xfId="0" applyFont="1" applyBorder="1" applyAlignment="1">
      <alignment horizontal="center"/>
    </xf>
    <xf numFmtId="1" fontId="9" fillId="0" borderId="0" xfId="0" applyNumberFormat="1" applyFont="1"/>
    <xf numFmtId="0" fontId="10" fillId="0" borderId="0" xfId="0" applyFont="1"/>
    <xf numFmtId="0" fontId="11" fillId="0" borderId="0" xfId="0" applyFont="1"/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4" borderId="10" xfId="0" applyFont="1" applyFill="1" applyBorder="1" applyAlignment="1">
      <alignment wrapText="1"/>
    </xf>
    <xf numFmtId="0" fontId="9" fillId="0" borderId="8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5" fillId="9" borderId="8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9" borderId="10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wrapText="1"/>
    </xf>
    <xf numFmtId="0" fontId="7" fillId="10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164" fontId="9" fillId="0" borderId="0" xfId="0" applyNumberFormat="1" applyFont="1"/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0" fillId="6" borderId="0" xfId="0" applyFont="1" applyFill="1"/>
    <xf numFmtId="0" fontId="21" fillId="0" borderId="0" xfId="0" applyFont="1"/>
    <xf numFmtId="0" fontId="20" fillId="2" borderId="1" xfId="0" applyFont="1" applyFill="1" applyBorder="1" applyAlignment="1">
      <alignment horizontal="center"/>
    </xf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1" fillId="0" borderId="8" xfId="0" applyFont="1" applyBorder="1" applyAlignment="1">
      <alignment wrapText="1"/>
    </xf>
    <xf numFmtId="166" fontId="23" fillId="0" borderId="1" xfId="1" applyNumberFormat="1" applyFont="1" applyBorder="1" applyAlignment="1">
      <alignment horizontal="center" vertical="center"/>
    </xf>
    <xf numFmtId="0" fontId="21" fillId="0" borderId="10" xfId="0" applyFont="1" applyBorder="1" applyAlignment="1">
      <alignment wrapText="1"/>
    </xf>
    <xf numFmtId="0" fontId="20" fillId="9" borderId="10" xfId="0" applyFont="1" applyFill="1" applyBorder="1" applyAlignment="1">
      <alignment wrapText="1"/>
    </xf>
    <xf numFmtId="166" fontId="24" fillId="5" borderId="1" xfId="1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9">
    <cellStyle name="Comma 2" xfId="4"/>
    <cellStyle name="Excel Built-in Normal" xfId="7"/>
    <cellStyle name="Milliers" xfId="1" builtinId="3"/>
    <cellStyle name="Milliers 2" xfId="6"/>
    <cellStyle name="Milliers 2 2" xfId="8"/>
    <cellStyle name="Normal" xfId="0" builtinId="0"/>
    <cellStyle name="Normal 4" xfId="3"/>
    <cellStyle name="Percent 2" xfId="5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fr-FR" sz="1320" b="1" i="0" u="none" strike="noStrike" baseline="0">
                <a:effectLst/>
              </a:rPr>
              <a:t>Investment repartition</a:t>
            </a:r>
            <a:endParaRPr lang="fr-F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08-4C37-9160-868DD66CB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08-4C37-9160-868DD66CBD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08-4C37-9160-868DD66CBD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08-4C37-9160-868DD66CBD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08-4C37-9160-868DD66CBD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'Investissement &amp; Financement'!$A$24:$A$27</c:f>
              <c:strCache>
                <c:ptCount val="4"/>
                <c:pt idx="0">
                  <c:v>Matériel informatique &amp; MMB</c:v>
                </c:pt>
                <c:pt idx="1">
                  <c:v>Closing</c:v>
                </c:pt>
                <c:pt idx="2">
                  <c:v>Budget marketing</c:v>
                </c:pt>
                <c:pt idx="3">
                  <c:v>FR</c:v>
                </c:pt>
              </c:strCache>
            </c:strRef>
          </c:cat>
          <c:val>
            <c:numRef>
              <c:f>'Investissement &amp; Financement'!$B$24:$B$27</c:f>
              <c:numCache>
                <c:formatCode>_-* #\ ##0\ _D_T_-;\-* #\ ##0\ _D_T_-;_-* "-"??\ _D_T_-;_-@_-</c:formatCode>
                <c:ptCount val="4"/>
                <c:pt idx="0">
                  <c:v>19000</c:v>
                </c:pt>
                <c:pt idx="1">
                  <c:v>160</c:v>
                </c:pt>
                <c:pt idx="2">
                  <c:v>2000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F-4950-9E9C-0FA31045FB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'Charges d''exploitation'!$A$20</c:f>
              <c:strCache>
                <c:ptCount val="1"/>
                <c:pt idx="0">
                  <c:v>Loyer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d''exploitation'!$E$20:$G$20</c:f>
              <c:numCache>
                <c:formatCode>_-* #\ ##0\ _D_T_-;\-* #\ ##0\ _D_T_-;_-* "-"??\ _D_T_-;_-@_-</c:formatCode>
                <c:ptCount val="3"/>
                <c:pt idx="0">
                  <c:v>3000</c:v>
                </c:pt>
                <c:pt idx="1">
                  <c:v>3150</c:v>
                </c:pt>
                <c:pt idx="2">
                  <c:v>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BA-9B4A-0384E6626139}"/>
            </c:ext>
          </c:extLst>
        </c:ser>
        <c:ser>
          <c:idx val="1"/>
          <c:order val="1"/>
          <c:tx>
            <c:strRef>
              <c:f>'Charges d''exploitation'!$A$22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d''exploitation'!$E$22:$G$22</c:f>
              <c:numCache>
                <c:formatCode>_-* #\ ##0\ _D_T_-;\-* #\ ##0\ _D_T_-;_-* "-"??\ _D_T_-;_-@_-</c:formatCode>
                <c:ptCount val="3"/>
                <c:pt idx="0">
                  <c:v>3000</c:v>
                </c:pt>
                <c:pt idx="1">
                  <c:v>3150</c:v>
                </c:pt>
                <c:pt idx="2">
                  <c:v>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EBA-9B4A-0384E6626139}"/>
            </c:ext>
          </c:extLst>
        </c:ser>
        <c:ser>
          <c:idx val="2"/>
          <c:order val="2"/>
          <c:tx>
            <c:strRef>
              <c:f>'Charges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EBA-9B4A-0384E6626139}"/>
            </c:ext>
          </c:extLst>
        </c:ser>
        <c:ser>
          <c:idx val="3"/>
          <c:order val="3"/>
          <c:tx>
            <c:strRef>
              <c:f>'Charges d''exploitation'!$A$23</c:f>
              <c:strCache>
                <c:ptCount val="1"/>
                <c:pt idx="0">
                  <c:v>Fourniture de bureau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d''exploitation'!$E$23:$G$23</c:f>
              <c:numCache>
                <c:formatCode>_-* #\ ##0\ _D_T_-;\-* #\ ##0\ _D_T_-;_-* "-"??\ _D_T_-;_-@_-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4-4EBA-9B4A-0384E6626139}"/>
            </c:ext>
          </c:extLst>
        </c:ser>
        <c:ser>
          <c:idx val="4"/>
          <c:order val="4"/>
          <c:tx>
            <c:strRef>
              <c:f>'Charges d''exploitation'!$A$28</c:f>
              <c:strCache>
                <c:ptCount val="1"/>
                <c:pt idx="0">
                  <c:v>Commissaire aux comptes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d''exploitation'!$E$28:$G$28</c:f>
              <c:numCache>
                <c:formatCode>_-* #\ ##0\ _D_T_-;\-* #\ ##0\ _D_T_-;_-* "-"??\ _D_T_-;_-@_-</c:formatCode>
                <c:ptCount val="3"/>
                <c:pt idx="0">
                  <c:v>4000</c:v>
                </c:pt>
                <c:pt idx="1">
                  <c:v>4200</c:v>
                </c:pt>
                <c:pt idx="2">
                  <c:v>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4-4EBA-9B4A-0384E6626139}"/>
            </c:ext>
          </c:extLst>
        </c:ser>
        <c:ser>
          <c:idx val="5"/>
          <c:order val="5"/>
          <c:tx>
            <c:strRef>
              <c:f>'Charges d''exploitation'!$A$29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d''exploitation'!$E$29:$G$29</c:f>
              <c:numCache>
                <c:formatCode>_-* #\ ##0\ _D_T_-;\-* #\ ##0\ _D_T_-;_-* "-"??\ _D_T_-;_-@_-</c:formatCode>
                <c:ptCount val="3"/>
                <c:pt idx="0">
                  <c:v>0</c:v>
                </c:pt>
                <c:pt idx="1">
                  <c:v>6987</c:v>
                </c:pt>
                <c:pt idx="2">
                  <c:v>17687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84-4EBA-9B4A-0384E6626139}"/>
            </c:ext>
          </c:extLst>
        </c:ser>
        <c:ser>
          <c:idx val="6"/>
          <c:order val="6"/>
          <c:tx>
            <c:strRef>
              <c:f>'Charges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84-4EBA-9B4A-0384E6626139}"/>
            </c:ext>
          </c:extLst>
        </c:ser>
        <c:ser>
          <c:idx val="7"/>
          <c:order val="7"/>
          <c:tx>
            <c:strRef>
              <c:f>'Charges d''exploitation'!$A$30</c:f>
              <c:strCache>
                <c:ptCount val="1"/>
                <c:pt idx="0">
                  <c:v>Divers et imprévus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'Charges d''exploitation'!$E$30:$G$30</c:f>
              <c:numCache>
                <c:formatCode>_-* #\ ##0\ _D_T_-;\-* #\ ##0\ _D_T_-;_-* "-"??\ _D_T_-;_-@_-</c:formatCode>
                <c:ptCount val="3"/>
                <c:pt idx="0">
                  <c:v>5000</c:v>
                </c:pt>
                <c:pt idx="1">
                  <c:v>5250</c:v>
                </c:pt>
                <c:pt idx="2">
                  <c:v>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84-4EBA-9B4A-0384E6626139}"/>
            </c:ext>
          </c:extLst>
        </c:ser>
        <c:ser>
          <c:idx val="8"/>
          <c:order val="8"/>
          <c:tx>
            <c:strRef>
              <c:f>Graph!#REF!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84-4EBA-9B4A-0384E6626139}"/>
            </c:ext>
          </c:extLst>
        </c:ser>
        <c:ser>
          <c:idx val="9"/>
          <c:order val="9"/>
          <c:tx>
            <c:strRef>
              <c:f>Graph!#REF!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'Charges d''exploitation'!$E$19:$G$19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84-4EBA-9B4A-0384E662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362960"/>
        <c:axId val="282363520"/>
      </c:barChart>
      <c:catAx>
        <c:axId val="2823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363520"/>
        <c:crosses val="autoZero"/>
        <c:auto val="1"/>
        <c:lblAlgn val="ctr"/>
        <c:lblOffset val="100"/>
        <c:noMultiLvlLbl val="0"/>
      </c:catAx>
      <c:valAx>
        <c:axId val="2823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3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fr-FR"/>
              <a:t>Répartition des salaires 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70B-4116-9652-83FC5CDF87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70B-4116-9652-83FC5CDF87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70B-4116-9652-83FC5CDF877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70B-4116-9652-83FC5CDF877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70B-4116-9652-83FC5CDF877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B70B-4116-9652-83FC5CDF877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B70B-4116-9652-83FC5CDF877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B70B-4116-9652-83FC5CDF877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B70B-4116-9652-83FC5CDF877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'Charges du personnel'!#REF!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'Charges du personnel'!#REF!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B70B-4116-9652-83FC5CDF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686992"/>
        <c:axId val="282687552"/>
      </c:barChart>
      <c:catAx>
        <c:axId val="2826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687552"/>
        <c:crosses val="autoZero"/>
        <c:auto val="1"/>
        <c:lblAlgn val="ctr"/>
        <c:lblOffset val="100"/>
        <c:noMultiLvlLbl val="0"/>
      </c:catAx>
      <c:valAx>
        <c:axId val="2826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6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'Compte d''exploitation'!$A$7</c:f>
              <c:strCache>
                <c:ptCount val="1"/>
                <c:pt idx="0">
                  <c:v>Chiffre d'affaires global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d''exploitation'!$B$7:$D$7</c:f>
              <c:numCache>
                <c:formatCode>_-* #\ ##0\ _D_T_-;\-* #\ ##0\ _D_T_-;_-* "-"??\ _D_T_-;_-@_-</c:formatCode>
                <c:ptCount val="3"/>
                <c:pt idx="0">
                  <c:v>330000</c:v>
                </c:pt>
                <c:pt idx="1">
                  <c:v>698700</c:v>
                </c:pt>
                <c:pt idx="2">
                  <c:v>1768680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6A8-89CE-106F67168F4D}"/>
            </c:ext>
          </c:extLst>
        </c:ser>
        <c:ser>
          <c:idx val="12"/>
          <c:order val="12"/>
          <c:tx>
            <c:strRef>
              <c:f>'Compte d''exploitation'!$A$11</c:f>
              <c:strCache>
                <c:ptCount val="1"/>
                <c:pt idx="0">
                  <c:v>RBE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d''exploitation'!$B$11:$D$11</c:f>
              <c:numCache>
                <c:formatCode>_-* #\ ##0\ _D_T_-;\-* #\ ##0\ _D_T_-;_-* "-"??\ _D_T_-;_-@_-</c:formatCode>
                <c:ptCount val="3"/>
                <c:pt idx="0">
                  <c:v>178550</c:v>
                </c:pt>
                <c:pt idx="1">
                  <c:v>426851</c:v>
                </c:pt>
                <c:pt idx="2">
                  <c:v>1395698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1-46A8-89CE-106F67168F4D}"/>
            </c:ext>
          </c:extLst>
        </c:ser>
        <c:ser>
          <c:idx val="15"/>
          <c:order val="15"/>
          <c:tx>
            <c:strRef>
              <c:f>'Compte d''exploitation'!$A$14</c:f>
              <c:strCache>
                <c:ptCount val="1"/>
                <c:pt idx="0">
                  <c:v>Résultat d'exploitation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d''exploitation'!$B$14:$D$14</c:f>
              <c:numCache>
                <c:formatCode>_-* #\ ##0\ _D_T_-;\-* #\ ##0\ _D_T_-;_-* "-"??\ _D_T_-;_-@_-</c:formatCode>
                <c:ptCount val="3"/>
                <c:pt idx="0">
                  <c:v>171620</c:v>
                </c:pt>
                <c:pt idx="1">
                  <c:v>408371</c:v>
                </c:pt>
                <c:pt idx="2">
                  <c:v>1365668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1-46A8-89CE-106F67168F4D}"/>
            </c:ext>
          </c:extLst>
        </c:ser>
        <c:ser>
          <c:idx val="20"/>
          <c:order val="20"/>
          <c:tx>
            <c:strRef>
              <c:f>'Compte d''exploitation'!$A$19</c:f>
              <c:strCache>
                <c:ptCount val="1"/>
                <c:pt idx="0">
                  <c:v>Résultat net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d''exploitation'!$B$19:$D$19</c:f>
              <c:numCache>
                <c:formatCode>_-* #\ ##0\ _D_T_-;\-* #\ ##0\ _D_T_-;_-* "-"??\ _D_T_-;_-@_-</c:formatCode>
                <c:ptCount val="3"/>
                <c:pt idx="0">
                  <c:v>171620</c:v>
                </c:pt>
                <c:pt idx="1">
                  <c:v>408371</c:v>
                </c:pt>
                <c:pt idx="2">
                  <c:v>1024251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1-46A8-89CE-106F67168F4D}"/>
            </c:ext>
          </c:extLst>
        </c:ser>
        <c:ser>
          <c:idx val="22"/>
          <c:order val="22"/>
          <c:tx>
            <c:strRef>
              <c:f>'Compte d''exploitation'!$A$21</c:f>
              <c:strCache>
                <c:ptCount val="1"/>
                <c:pt idx="0">
                  <c:v>Cash Flow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d''exploitation'!$B$21:$D$21</c:f>
              <c:numCache>
                <c:formatCode>_-* #\ ##0\ _D_T_-;\-* #\ ##0\ _D_T_-;_-* "-"??\ _D_T_-;_-@_-</c:formatCode>
                <c:ptCount val="3"/>
                <c:pt idx="0">
                  <c:v>178550</c:v>
                </c:pt>
                <c:pt idx="1">
                  <c:v>426851</c:v>
                </c:pt>
                <c:pt idx="2">
                  <c:v>1054281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1-46A8-89CE-106F6716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2702112"/>
        <c:axId val="282702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'Compte d''exploitation'!$A$6</c15:sqref>
                        </c15:formulaRef>
                      </c:ext>
                    </c:extLst>
                    <c:strCache>
                      <c:ptCount val="1"/>
                      <c:pt idx="0">
                        <c:v>Kiosk Mode (Hardware + freemium app)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'Compte d''exploitation'!$B$6:$D$6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280000</c:v>
                      </c:pt>
                      <c:pt idx="1">
                        <c:v>571200</c:v>
                      </c:pt>
                      <c:pt idx="2">
                        <c:v>1456560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141-46A8-89CE-106F67168F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41-46A8-89CE-106F67168F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41-46A8-89CE-106F67168F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41-46A8-89CE-106F67168F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41-46A8-89CE-106F67168F4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41-46A8-89CE-106F67168F4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41-46A8-89CE-106F67168F4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41-46A8-89CE-106F67168F4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141-46A8-89CE-106F67168F4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d''exploitation'!$A$9</c15:sqref>
                        </c15:formulaRef>
                      </c:ext>
                    </c:extLst>
                    <c:strCache>
                      <c:ptCount val="1"/>
                      <c:pt idx="0">
                        <c:v>Charges du personnel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d''exploitation'!$B$9:$D$9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120600</c:v>
                      </c:pt>
                      <c:pt idx="1">
                        <c:v>233712</c:v>
                      </c:pt>
                      <c:pt idx="2">
                        <c:v>323793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41-46A8-89CE-106F67168F4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d''exploitation'!$A$10</c15:sqref>
                        </c15:formulaRef>
                      </c:ext>
                    </c:extLst>
                    <c:strCache>
                      <c:ptCount val="1"/>
                      <c:pt idx="0">
                        <c:v>Autres charges d'exploitation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d''exploitation'!$B$10:$D$10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30850</c:v>
                      </c:pt>
                      <c:pt idx="1">
                        <c:v>38137</c:v>
                      </c:pt>
                      <c:pt idx="2">
                        <c:v>49189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141-46A8-89CE-106F67168F4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d''exploitation'!$A$12</c15:sqref>
                        </c15:formulaRef>
                      </c:ext>
                    </c:extLst>
                    <c:strCache>
                      <c:ptCount val="1"/>
                      <c:pt idx="0">
                        <c:v>RBE/CA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d''exploitation'!$B$12:$D$12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0.54106060606060602</c:v>
                      </c:pt>
                      <c:pt idx="1">
                        <c:v>0.61092171175039356</c:v>
                      </c:pt>
                      <c:pt idx="2">
                        <c:v>0.78911843860958453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41-46A8-89CE-106F67168F4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d''exploitation'!$A$13</c15:sqref>
                        </c15:formulaRef>
                      </c:ext>
                    </c:extLst>
                    <c:strCache>
                      <c:ptCount val="1"/>
                      <c:pt idx="0">
                        <c:v>Amortissements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d''exploitation'!$B$13:$D$13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6930</c:v>
                      </c:pt>
                      <c:pt idx="1">
                        <c:v>18480</c:v>
                      </c:pt>
                      <c:pt idx="2">
                        <c:v>30030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141-46A8-89CE-106F67168F4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d''exploitation'!$A$15</c15:sqref>
                        </c15:formulaRef>
                      </c:ext>
                    </c:extLst>
                    <c:strCache>
                      <c:ptCount val="1"/>
                      <c:pt idx="0">
                        <c:v>Résultat d'exploitation/CA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d''exploitation'!$B$15:$D$15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0.52006060606060611</c:v>
                      </c:pt>
                      <c:pt idx="1">
                        <c:v>0.58447259195649059</c:v>
                      </c:pt>
                      <c:pt idx="2">
                        <c:v>0.77213967478571588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141-46A8-89CE-106F67168F4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d''exploitation'!$A$16</c15:sqref>
                        </c15:formulaRef>
                      </c:ext>
                    </c:extLst>
                    <c:strCache>
                      <c:ptCount val="1"/>
                      <c:pt idx="0">
                        <c:v>Charges financières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d''exploitation'!$B$16:$D$16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141-46A8-89CE-106F67168F4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d''exploitation'!$A$17</c15:sqref>
                        </c15:formulaRef>
                      </c:ext>
                    </c:extLst>
                    <c:strCache>
                      <c:ptCount val="1"/>
                      <c:pt idx="0">
                        <c:v>Bénéfice avant impôt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d''exploitation'!$B$17:$D$17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171620</c:v>
                      </c:pt>
                      <c:pt idx="1">
                        <c:v>408371</c:v>
                      </c:pt>
                      <c:pt idx="2">
                        <c:v>1365668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141-46A8-89CE-106F67168F4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d''exploitation'!$A$18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d''exploitation'!$B$18:$D$18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341417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141-46A8-89CE-106F67168F4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d''exploitation'!$A$20</c15:sqref>
                        </c15:formulaRef>
                      </c:ext>
                    </c:extLst>
                    <c:strCache>
                      <c:ptCount val="1"/>
                      <c:pt idx="0">
                        <c:v>Résultat net/CA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d''exploitation'!$B$20:$D$20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0.52006060606060611</c:v>
                      </c:pt>
                      <c:pt idx="1">
                        <c:v>0.58447259195649059</c:v>
                      </c:pt>
                      <c:pt idx="2">
                        <c:v>0.57910475608928691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141-46A8-89CE-106F67168F4D}"/>
                  </c:ext>
                </c:extLst>
              </c15:ser>
            </c15:filteredBarSeries>
          </c:ext>
        </c:extLst>
      </c:barChart>
      <c:catAx>
        <c:axId val="2827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702672"/>
        <c:crosses val="autoZero"/>
        <c:auto val="1"/>
        <c:lblAlgn val="ctr"/>
        <c:lblOffset val="100"/>
        <c:noMultiLvlLbl val="0"/>
      </c:catAx>
      <c:valAx>
        <c:axId val="282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7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fr-FR"/>
              <a:t>Répartition investissement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B-4AEA-89C9-887898914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B-4AEA-89C9-887898914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B-4AEA-89C9-8878989141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B-4AEA-89C9-8878989141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7B-4AEA-89C9-8878989141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7B-4AEA-89C9-8878989141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7B-4AEA-89C9-8878989141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D7B-4AEA-89C9-8878989141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D7B-4AEA-89C9-887898914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D7B-4AEA-89C9-887898914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BF-4F6F-8495-3F856A5C380D}"/>
              </c:ext>
            </c:extLst>
          </c:dPt>
          <c:cat>
            <c:strRef>
              <c:f>'Investissement &amp; Financement'!$A$5:$A$6</c:f>
              <c:strCache>
                <c:ptCount val="2"/>
                <c:pt idx="0">
                  <c:v>Matériel informatique</c:v>
                </c:pt>
                <c:pt idx="1">
                  <c:v>Matériel Mobilier et Bureatique</c:v>
                </c:pt>
              </c:strCache>
            </c:strRef>
          </c:cat>
          <c:val>
            <c:numRef>
              <c:f>'Investissement &amp; Financement'!$B$5:$B$6</c:f>
              <c:numCache>
                <c:formatCode>_-* #\ ##0\ _D_T_-;\-* #\ ##0\ _D_T_-;_-* "-"??\ _D_T_-;_-@_-</c:formatCode>
                <c:ptCount val="2"/>
                <c:pt idx="0">
                  <c:v>14000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7B-4AEA-89C9-88789891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Trésorerie!$A$13</c:f>
              <c:strCache>
                <c:ptCount val="1"/>
                <c:pt idx="0">
                  <c:v>Trésorerie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Trésorerie!$B$4:$D$4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Trésorerie!$B$13:$D$13</c:f>
              <c:numCache>
                <c:formatCode>_-* #\ ##0\ _D_T_-;\-* #\ ##0\ _D_T_-;_-* "-"??\ _D_T_-;_-@_-</c:formatCode>
                <c:ptCount val="3"/>
                <c:pt idx="0">
                  <c:v>-129216</c:v>
                </c:pt>
                <c:pt idx="1">
                  <c:v>30618</c:v>
                </c:pt>
                <c:pt idx="2">
                  <c:v>-41411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8-4CD3-9955-0E26217038EF}"/>
            </c:ext>
          </c:extLst>
        </c:ser>
        <c:ser>
          <c:idx val="11"/>
          <c:order val="11"/>
          <c:tx>
            <c:strRef>
              <c:f>Trésorerie!$A$14</c:f>
              <c:strCache>
                <c:ptCount val="1"/>
                <c:pt idx="0">
                  <c:v>Trésorerie cumulée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Trésorerie!$B$4:$D$4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Trésorerie!$B$14:$D$14</c:f>
              <c:numCache>
                <c:formatCode>_-* #\ ##0\ _D_T_-;\-* #\ ##0\ _D_T_-;_-* "-"??\ _D_T_-;_-@_-</c:formatCode>
                <c:ptCount val="3"/>
                <c:pt idx="0">
                  <c:v>-129216</c:v>
                </c:pt>
                <c:pt idx="1">
                  <c:v>-98598</c:v>
                </c:pt>
                <c:pt idx="2">
                  <c:v>-140009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8-4CD3-9955-0E2621703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22992"/>
        <c:axId val="283123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Trésorerie!$A$4</c15:sqref>
                        </c15:formulaRef>
                      </c:ext>
                    </c:extLst>
                    <c:strCache>
                      <c:ptCount val="1"/>
                      <c:pt idx="0">
                        <c:v>TND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F8-4CD3-9955-0E26217038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Trésorerie!$A$5</c15:sqref>
                        </c15:formulaRef>
                      </c:ext>
                    </c:extLst>
                    <c:strCache>
                      <c:ptCount val="1"/>
                      <c:pt idx="0">
                        <c:v>Investissement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Trésorerie!$B$5:$D$5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37160</c:v>
                      </c:pt>
                      <c:pt idx="1">
                        <c:v>35000</c:v>
                      </c:pt>
                      <c:pt idx="2">
                        <c:v>35000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F8-4CD3-9955-0E26217038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Trésorerie!$A$6</c15:sqref>
                        </c15:formulaRef>
                      </c:ext>
                    </c:extLst>
                    <c:strCache>
                      <c:ptCount val="1"/>
                      <c:pt idx="0">
                        <c:v>Variation du BFR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Trésorerie!$B$6:$D$6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299016</c:v>
                      </c:pt>
                      <c:pt idx="1">
                        <c:v>352483</c:v>
                      </c:pt>
                      <c:pt idx="2">
                        <c:v>1051942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F8-4CD3-9955-0E26217038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F8-4CD3-9955-0E26217038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Trésorerie!$A$8</c15:sqref>
                        </c15:formulaRef>
                      </c:ext>
                    </c:extLst>
                    <c:strCache>
                      <c:ptCount val="1"/>
                      <c:pt idx="0">
                        <c:v>Emplois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Trésorerie!$B$8:$D$8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344926</c:v>
                      </c:pt>
                      <c:pt idx="1">
                        <c:v>396233</c:v>
                      </c:pt>
                      <c:pt idx="2">
                        <c:v>1095692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F8-4CD3-9955-0E26217038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Trésorerie!$A$9</c15:sqref>
                        </c15:formulaRef>
                      </c:ext>
                    </c:extLst>
                    <c:strCache>
                      <c:ptCount val="1"/>
                      <c:pt idx="0">
                        <c:v>Capital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Trésorerie!$B$9:$D$9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18160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F8-4CD3-9955-0E26217038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F8-4CD3-9955-0E26217038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Trésorerie!$A$11</c15:sqref>
                        </c15:formulaRef>
                      </c:ext>
                    </c:extLst>
                    <c:strCache>
                      <c:ptCount val="1"/>
                      <c:pt idx="0">
                        <c:v>Cash flow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Trésorerie!$B$11:$D$11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178550</c:v>
                      </c:pt>
                      <c:pt idx="1">
                        <c:v>426851</c:v>
                      </c:pt>
                      <c:pt idx="2">
                        <c:v>1054281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8-4CD3-9955-0E26217038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Trésorerie!$A$12</c15:sqref>
                        </c15:formulaRef>
                      </c:ext>
                    </c:extLst>
                    <c:strCache>
                      <c:ptCount val="1"/>
                      <c:pt idx="0">
                        <c:v>Ressources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Trésorerie!$B$12:$D$12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215710</c:v>
                      </c:pt>
                      <c:pt idx="1">
                        <c:v>426851</c:v>
                      </c:pt>
                      <c:pt idx="2">
                        <c:v>1054281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8-4CD3-9955-0E26217038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8-4CD3-9955-0E26217038EF}"/>
                  </c:ext>
                </c:extLst>
              </c15:ser>
            </c15:filteredLineSeries>
          </c:ext>
        </c:extLst>
      </c:lineChart>
      <c:catAx>
        <c:axId val="2831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123552"/>
        <c:crosses val="autoZero"/>
        <c:auto val="1"/>
        <c:lblAlgn val="ctr"/>
        <c:lblOffset val="100"/>
        <c:noMultiLvlLbl val="0"/>
      </c:catAx>
      <c:valAx>
        <c:axId val="2831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1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Turnover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CA!$A$24</c:f>
              <c:strCache>
                <c:ptCount val="1"/>
                <c:pt idx="0">
                  <c:v>Abonnement Mensuel/ facultée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CA!$B$11:$F$11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CA!$B$24:$F$24</c:f>
              <c:numCache>
                <c:formatCode>_-* #\ ##0\ _D_T_-;\-* #\ ##0\ _D_T_-;_-* "-"??\ _D_T_-;_-@_-</c:formatCode>
                <c:ptCount val="5"/>
                <c:pt idx="0">
                  <c:v>50000</c:v>
                </c:pt>
                <c:pt idx="1">
                  <c:v>127500</c:v>
                </c:pt>
                <c:pt idx="2">
                  <c:v>312120</c:v>
                </c:pt>
                <c:pt idx="3">
                  <c:v>318362.40000000002</c:v>
                </c:pt>
                <c:pt idx="4">
                  <c:v>324729.64799999999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7-45EB-A553-AFA15B1078B4}"/>
            </c:ext>
          </c:extLst>
        </c:ser>
        <c:ser>
          <c:idx val="1"/>
          <c:order val="1"/>
          <c:tx>
            <c:strRef>
              <c:f>CA!$A$25</c:f>
              <c:strCache>
                <c:ptCount val="1"/>
                <c:pt idx="0">
                  <c:v>Achat des données recruteurs et Publicitaire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CA!$B$25:$F$25</c:f>
              <c:numCache>
                <c:formatCode>_-* #\ ##0\ _D_T_-;\-* #\ ##0\ _D_T_-;_-* "-"??\ _D_T_-;_-@_-</c:formatCode>
                <c:ptCount val="5"/>
                <c:pt idx="0">
                  <c:v>280000</c:v>
                </c:pt>
                <c:pt idx="1">
                  <c:v>571200</c:v>
                </c:pt>
                <c:pt idx="2">
                  <c:v>1456560</c:v>
                </c:pt>
                <c:pt idx="3">
                  <c:v>2228536.7999999998</c:v>
                </c:pt>
                <c:pt idx="4">
                  <c:v>2955039.7967999997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47-45EB-A553-AFA15B10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16448"/>
        <c:axId val="280217008"/>
        <c:extLst/>
      </c:barChart>
      <c:catAx>
        <c:axId val="2802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17008"/>
        <c:crosses val="autoZero"/>
        <c:auto val="1"/>
        <c:lblAlgn val="ctr"/>
        <c:lblOffset val="100"/>
        <c:noMultiLvlLbl val="0"/>
      </c:catAx>
      <c:valAx>
        <c:axId val="2802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Quantity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CA!$A$30</c:f>
              <c:strCache>
                <c:ptCount val="1"/>
                <c:pt idx="0">
                  <c:v>Abonnement Mensuel/ facultée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CA!$B$29:$F$29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CA!$B$30:$F$30</c:f>
              <c:numCache>
                <c:formatCode>_-* #\ ##0\ _D_T_-;\-* #\ ##0\ _D_T_-;_-* "-"??\ _D_T_-;_-@_-</c:formatCode>
                <c:ptCount val="5"/>
                <c:pt idx="0">
                  <c:v>5</c:v>
                </c:pt>
                <c:pt idx="1">
                  <c:v>12.5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FC8-9BFE-910F8FCF7136}"/>
            </c:ext>
          </c:extLst>
        </c:ser>
        <c:ser>
          <c:idx val="1"/>
          <c:order val="1"/>
          <c:tx>
            <c:strRef>
              <c:f>CA!$A$31</c:f>
              <c:strCache>
                <c:ptCount val="1"/>
                <c:pt idx="0">
                  <c:v>Achat des données recruteurs et Publicitaire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CA!$B$29:$F$29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CA!$B$31:$F$31</c:f>
              <c:numCache>
                <c:formatCode>_-* #\ ##0\ _D_T_-;\-* #\ ##0\ _D_T_-;_-* "-"??\ _D_T_-;_-@_-</c:formatCode>
                <c:ptCount val="5"/>
                <c:pt idx="0">
                  <c:v>14</c:v>
                </c:pt>
                <c:pt idx="1">
                  <c:v>28</c:v>
                </c:pt>
                <c:pt idx="2">
                  <c:v>70</c:v>
                </c:pt>
                <c:pt idx="3">
                  <c:v>105</c:v>
                </c:pt>
                <c:pt idx="4">
                  <c:v>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F-4FC8-9BFE-910F8FCF7136}"/>
            </c:ext>
          </c:extLst>
        </c:ser>
        <c:ser>
          <c:idx val="2"/>
          <c:order val="2"/>
          <c:tx>
            <c:strRef>
              <c:f>CA!#REF!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CA!$B$29:$F$29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CA!#REF!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F-4FC8-9BFE-910F8FCF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20928"/>
        <c:axId val="280221488"/>
      </c:lineChart>
      <c:catAx>
        <c:axId val="2802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21488"/>
        <c:crosses val="autoZero"/>
        <c:auto val="1"/>
        <c:lblAlgn val="ctr"/>
        <c:lblOffset val="100"/>
        <c:noMultiLvlLbl val="0"/>
      </c:catAx>
      <c:valAx>
        <c:axId val="280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'Charges du personnel'!$A$67</c:f>
              <c:strCache>
                <c:ptCount val="1"/>
                <c:pt idx="0">
                  <c:v>Equipe de 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du personnel'!$B$66:$F$66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du personnel'!$B$67:$F$67</c:f>
              <c:numCache>
                <c:formatCode>_-* #\ ##0\ _D_T_-;\-* #\ ##0\ _D_T_-;_-* "-"??\ _D_T_-;_-@_-</c:formatCode>
                <c:ptCount val="5"/>
                <c:pt idx="0">
                  <c:v>79200</c:v>
                </c:pt>
                <c:pt idx="1">
                  <c:v>175392</c:v>
                </c:pt>
                <c:pt idx="2">
                  <c:v>214618.5</c:v>
                </c:pt>
                <c:pt idx="3">
                  <c:v>319798.5</c:v>
                </c:pt>
                <c:pt idx="4">
                  <c:v>469822.5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A-41E9-A60A-DF9640B6F1CD}"/>
            </c:ext>
          </c:extLst>
        </c:ser>
        <c:ser>
          <c:idx val="1"/>
          <c:order val="1"/>
          <c:tx>
            <c:strRef>
              <c:f>'Charges du personnel'!$A$68</c:f>
              <c:strCache>
                <c:ptCount val="1"/>
                <c:pt idx="0">
                  <c:v>Dir Artistique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'Charges du personnel'!$B$66:$F$66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du personnel'!$B$68:$F$68</c:f>
              <c:numCache>
                <c:formatCode>_-* #\ ##0\ _D_T_-;\-* #\ ##0\ _D_T_-;_-* "-"??\ _D_T_-;_-@_-</c:formatCode>
                <c:ptCount val="5"/>
                <c:pt idx="0">
                  <c:v>14400</c:v>
                </c:pt>
                <c:pt idx="1">
                  <c:v>43200</c:v>
                </c:pt>
                <c:pt idx="2">
                  <c:v>46656</c:v>
                </c:pt>
                <c:pt idx="3">
                  <c:v>83980.5</c:v>
                </c:pt>
                <c:pt idx="4">
                  <c:v>126979.5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A-41E9-A60A-DF9640B6F1CD}"/>
            </c:ext>
          </c:extLst>
        </c:ser>
        <c:ser>
          <c:idx val="2"/>
          <c:order val="2"/>
          <c:tx>
            <c:strRef>
              <c:f>'Charges du personnel'!$A$69</c:f>
              <c:strCache>
                <c:ptCount val="1"/>
                <c:pt idx="0">
                  <c:v>Ventes et 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'Charges du personnel'!$B$66:$F$66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du personnel'!$B$69:$F$69</c:f>
              <c:numCache>
                <c:formatCode>_-* #\ ##0\ _D_T_-;\-* #\ ##0\ _D_T_-;_-* "-"??\ _D_T_-;_-@_-</c:formatCode>
                <c:ptCount val="5"/>
                <c:pt idx="0">
                  <c:v>14400</c:v>
                </c:pt>
                <c:pt idx="1">
                  <c:v>31104</c:v>
                </c:pt>
                <c:pt idx="2">
                  <c:v>50388</c:v>
                </c:pt>
                <c:pt idx="3">
                  <c:v>72559.5</c:v>
                </c:pt>
                <c:pt idx="4">
                  <c:v>97954.5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A-41E9-A60A-DF9640B6F1CD}"/>
            </c:ext>
          </c:extLst>
        </c:ser>
        <c:ser>
          <c:idx val="3"/>
          <c:order val="3"/>
          <c:tx>
            <c:strRef>
              <c:f>'Charges du personnel'!$A$70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'Charges du personnel'!$B$66:$F$66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du personnel'!$B$70:$F$70</c:f>
              <c:numCache>
                <c:formatCode>_-* #\ ##0\ _D_T_-;\-* #\ ##0\ _D_T_-;_-* "-"??\ _D_T_-;_-@_-</c:formatCode>
                <c:ptCount val="5"/>
                <c:pt idx="0">
                  <c:v>12600</c:v>
                </c:pt>
                <c:pt idx="1">
                  <c:v>27216</c:v>
                </c:pt>
                <c:pt idx="2">
                  <c:v>58786.5</c:v>
                </c:pt>
                <c:pt idx="3">
                  <c:v>79362</c:v>
                </c:pt>
                <c:pt idx="4">
                  <c:v>119995.5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79A-41E9-A60A-DF9640B6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472720"/>
        <c:axId val="2804732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'Charges du personnel'!$A$71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'Charges du personnel'!$B$66:$F$66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'Charges du personnel'!$B$71:$F$71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120600</c:v>
                      </c:pt>
                      <c:pt idx="1">
                        <c:v>276912</c:v>
                      </c:pt>
                      <c:pt idx="2">
                        <c:v>370449</c:v>
                      </c:pt>
                      <c:pt idx="3">
                        <c:v>555700.5</c:v>
                      </c:pt>
                      <c:pt idx="4">
                        <c:v>814752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04-457F-8E67-A1FBE2AE2BB9}"/>
                  </c:ext>
                </c:extLst>
              </c15:ser>
            </c15:filteredBarSeries>
          </c:ext>
        </c:extLst>
      </c:barChart>
      <c:catAx>
        <c:axId val="2804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73280"/>
        <c:crosses val="autoZero"/>
        <c:auto val="1"/>
        <c:lblAlgn val="ctr"/>
        <c:lblOffset val="100"/>
        <c:noMultiLvlLbl val="0"/>
      </c:catAx>
      <c:valAx>
        <c:axId val="2804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4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'Charges d''exploitation'!$A$35</c:f>
              <c:strCache>
                <c:ptCount val="1"/>
                <c:pt idx="0">
                  <c:v>Frais généraux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d''exploitation'!$B$34:$F$34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d''exploitation'!$B$35:$F$35</c:f>
              <c:numCache>
                <c:formatCode>_-* #\ ##0\ _D_T_-;\-* #\ ##0\ _D_T_-;_-* "-"??\ _D_T_-;_-@_-</c:formatCode>
                <c:ptCount val="5"/>
                <c:pt idx="0">
                  <c:v>24850</c:v>
                </c:pt>
                <c:pt idx="1">
                  <c:v>24850</c:v>
                </c:pt>
                <c:pt idx="2">
                  <c:v>24887</c:v>
                </c:pt>
                <c:pt idx="3">
                  <c:v>16208</c:v>
                </c:pt>
                <c:pt idx="4">
                  <c:v>17019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6F3-B689-AFC290711B5C}"/>
            </c:ext>
          </c:extLst>
        </c:ser>
        <c:ser>
          <c:idx val="1"/>
          <c:order val="1"/>
          <c:tx>
            <c:strRef>
              <c:f>'Charges d''exploitation'!$A$36</c:f>
              <c:strCache>
                <c:ptCount val="1"/>
                <c:pt idx="0">
                  <c:v>Marketing &amp; 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'Charges d''exploitation'!$B$34:$F$34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d''exploitation'!$B$36:$F$36</c:f>
              <c:numCache>
                <c:formatCode>_-* #\ ##0\ _D_T_-;\-* #\ ##0\ _D_T_-;_-* "-"??\ _D_T_-;_-@_-</c:formatCode>
                <c:ptCount val="5"/>
                <c:pt idx="0">
                  <c:v>0</c:v>
                </c:pt>
                <c:pt idx="1">
                  <c:v>6987</c:v>
                </c:pt>
                <c:pt idx="2">
                  <c:v>17687</c:v>
                </c:pt>
                <c:pt idx="3">
                  <c:v>25469</c:v>
                </c:pt>
                <c:pt idx="4">
                  <c:v>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6F3-B689-AFC290711B5C}"/>
            </c:ext>
          </c:extLst>
        </c:ser>
        <c:ser>
          <c:idx val="2"/>
          <c:order val="2"/>
          <c:tx>
            <c:strRef>
              <c:f>'Charges d''exploitation'!$A$37</c:f>
              <c:strCache>
                <c:ptCount val="1"/>
                <c:pt idx="0">
                  <c:v>Honoraires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'Charges d''exploitation'!$B$34:$F$34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'Charges d''exploitation'!$B$37:$F$37</c:f>
              <c:numCache>
                <c:formatCode>_-* #\ ##0\ _D_T_-;\-* #\ ##0\ _D_T_-;_-* "-"??\ _D_T_-;_-@_-</c:formatCode>
                <c:ptCount val="5"/>
                <c:pt idx="0">
                  <c:v>6000</c:v>
                </c:pt>
                <c:pt idx="1">
                  <c:v>6300</c:v>
                </c:pt>
                <c:pt idx="2">
                  <c:v>6615</c:v>
                </c:pt>
                <c:pt idx="3">
                  <c:v>6946</c:v>
                </c:pt>
                <c:pt idx="4">
                  <c:v>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2-46F3-B689-AFC29071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66592"/>
        <c:axId val="28156715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'Charges d''exploitation'!$A$38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'Charges d''exploitation'!$B$34:$F$34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'Charges d''exploitation'!$B$38:$F$38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30850</c:v>
                      </c:pt>
                      <c:pt idx="1">
                        <c:v>38137</c:v>
                      </c:pt>
                      <c:pt idx="2">
                        <c:v>49189</c:v>
                      </c:pt>
                      <c:pt idx="3">
                        <c:v>48623</c:v>
                      </c:pt>
                      <c:pt idx="4">
                        <c:v>57111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C2-46F3-B689-AFC290711B5C}"/>
                  </c:ext>
                </c:extLst>
              </c15:ser>
            </c15:filteredBarSeries>
          </c:ext>
        </c:extLst>
      </c:barChart>
      <c:catAx>
        <c:axId val="2815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67152"/>
        <c:crosses val="autoZero"/>
        <c:auto val="1"/>
        <c:lblAlgn val="ctr"/>
        <c:lblOffset val="100"/>
        <c:noMultiLvlLbl val="0"/>
      </c:catAx>
      <c:valAx>
        <c:axId val="2815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4501104581449"/>
          <c:y val="5.4116719964297171E-2"/>
          <c:w val="0.79025403387725723"/>
          <c:h val="0.75872919737660327"/>
        </c:manualLayout>
      </c:layout>
      <c:lineChart>
        <c:grouping val="standard"/>
        <c:varyColors val="0"/>
        <c:ser>
          <c:idx val="4"/>
          <c:order val="4"/>
          <c:tx>
            <c:strRef>
              <c:f>'Compte d''exploitation'!$A$7</c:f>
              <c:strCache>
                <c:ptCount val="1"/>
                <c:pt idx="0">
                  <c:v>Chiffre d'affaires 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'Compte d''exploitation'!$B$4:$F$4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'Compte d''exploitation'!$B$7:$F$7</c:f>
              <c:numCache>
                <c:formatCode>_-* #\ ##0\ _D_T_-;\-* #\ ##0\ _D_T_-;_-* "-"??\ _D_T_-;_-@_-</c:formatCode>
                <c:ptCount val="5"/>
                <c:pt idx="0">
                  <c:v>330000</c:v>
                </c:pt>
                <c:pt idx="1">
                  <c:v>698700</c:v>
                </c:pt>
                <c:pt idx="2">
                  <c:v>1768680</c:v>
                </c:pt>
                <c:pt idx="3">
                  <c:v>2546899.1999999997</c:v>
                </c:pt>
                <c:pt idx="4">
                  <c:v>3279769.4447999997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588-A40A-FD314BE55525}"/>
            </c:ext>
          </c:extLst>
        </c:ser>
        <c:ser>
          <c:idx val="9"/>
          <c:order val="9"/>
          <c:tx>
            <c:strRef>
              <c:f>'Compte d''exploitation'!$A$11</c:f>
              <c:strCache>
                <c:ptCount val="1"/>
                <c:pt idx="0">
                  <c:v>RBE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'Compte d''exploitation'!$B$4:$F$4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'Compte d''exploitation'!$B$11:$F$11</c:f>
              <c:numCache>
                <c:formatCode>_-* #\ ##0\ _D_T_-;\-* #\ ##0\ _D_T_-;_-* "-"??\ _D_T_-;_-@_-</c:formatCode>
                <c:ptCount val="5"/>
                <c:pt idx="0">
                  <c:v>178550</c:v>
                </c:pt>
                <c:pt idx="1">
                  <c:v>426851</c:v>
                </c:pt>
                <c:pt idx="2">
                  <c:v>1395698</c:v>
                </c:pt>
                <c:pt idx="3">
                  <c:v>2026556.1999999997</c:v>
                </c:pt>
                <c:pt idx="4">
                  <c:v>2534885.9447999997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D-4588-A40A-FD314BE55525}"/>
            </c:ext>
          </c:extLst>
        </c:ser>
        <c:ser>
          <c:idx val="17"/>
          <c:order val="17"/>
          <c:tx>
            <c:strRef>
              <c:f>'Compte d''exploitation'!$A$19</c:f>
              <c:strCache>
                <c:ptCount val="1"/>
                <c:pt idx="0">
                  <c:v>Résultat net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'Compte d''exploitation'!$B$4:$F$4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'Compte d''exploitation'!$B$19:$F$19</c:f>
              <c:numCache>
                <c:formatCode>_-* #\ ##0\ _D_T_-;\-* #\ ##0\ _D_T_-;_-* "-"??\ _D_T_-;_-@_-</c:formatCode>
                <c:ptCount val="5"/>
                <c:pt idx="0">
                  <c:v>171620</c:v>
                </c:pt>
                <c:pt idx="1">
                  <c:v>408371</c:v>
                </c:pt>
                <c:pt idx="2">
                  <c:v>1024251</c:v>
                </c:pt>
                <c:pt idx="3">
                  <c:v>1502592.15</c:v>
                </c:pt>
                <c:pt idx="4">
                  <c:v>1892501.9585999998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5D-4588-A40A-FD314BE55525}"/>
            </c:ext>
          </c:extLst>
        </c:ser>
        <c:ser>
          <c:idx val="19"/>
          <c:order val="19"/>
          <c:tx>
            <c:strRef>
              <c:f>'Compte d''exploitation'!$A$21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'Compte d''exploitation'!$B$4:$F$4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'Compte d''exploitation'!$B$21:$F$21</c:f>
              <c:numCache>
                <c:formatCode>_-* #\ ##0\ _D_T_-;\-* #\ ##0\ _D_T_-;_-* "-"??\ _D_T_-;_-@_-</c:formatCode>
                <c:ptCount val="5"/>
                <c:pt idx="0">
                  <c:v>178550</c:v>
                </c:pt>
                <c:pt idx="1">
                  <c:v>426851</c:v>
                </c:pt>
                <c:pt idx="2">
                  <c:v>1054281</c:v>
                </c:pt>
                <c:pt idx="3">
                  <c:v>1525692.15</c:v>
                </c:pt>
                <c:pt idx="4">
                  <c:v>1904051.9585999998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5D-4588-A40A-FD314BE5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13056"/>
        <c:axId val="28171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'Compte d''exploitation'!$A$6</c15:sqref>
                        </c15:formulaRef>
                      </c:ext>
                    </c:extLst>
                    <c:strCache>
                      <c:ptCount val="1"/>
                      <c:pt idx="0">
                        <c:v>Kiosk Mode (Hardware + freemium app)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'Compte d''exploitation'!$B$6:$F$6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280000</c:v>
                      </c:pt>
                      <c:pt idx="1">
                        <c:v>571200</c:v>
                      </c:pt>
                      <c:pt idx="2">
                        <c:v>1456560</c:v>
                      </c:pt>
                      <c:pt idx="3">
                        <c:v>2228536.7999999998</c:v>
                      </c:pt>
                      <c:pt idx="4">
                        <c:v>2955039.7967999997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C1-43AE-87C7-07E618FD8C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C1-43AE-87C7-07E618FD8C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C1-43AE-87C7-07E618FD8C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D-4588-A40A-FD314BE555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5D-4588-A40A-FD314BE5552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5D-4588-A40A-FD314BE555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d''exploitation'!$A$9</c15:sqref>
                        </c15:formulaRef>
                      </c:ext>
                    </c:extLst>
                    <c:strCache>
                      <c:ptCount val="1"/>
                      <c:pt idx="0">
                        <c:v>Charges du personnel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d''exploitation'!$B$9:$F$9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120600</c:v>
                      </c:pt>
                      <c:pt idx="1">
                        <c:v>233712</c:v>
                      </c:pt>
                      <c:pt idx="2">
                        <c:v>323793</c:v>
                      </c:pt>
                      <c:pt idx="3">
                        <c:v>471720</c:v>
                      </c:pt>
                      <c:pt idx="4">
                        <c:v>687772.5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5D-4588-A40A-FD314BE5552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d''exploitation'!$A$10</c15:sqref>
                        </c15:formulaRef>
                      </c:ext>
                    </c:extLst>
                    <c:strCache>
                      <c:ptCount val="1"/>
                      <c:pt idx="0">
                        <c:v>Autres charges d'exploitation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d''exploitation'!$B$10:$F$10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30850</c:v>
                      </c:pt>
                      <c:pt idx="1">
                        <c:v>38137</c:v>
                      </c:pt>
                      <c:pt idx="2">
                        <c:v>49189</c:v>
                      </c:pt>
                      <c:pt idx="3">
                        <c:v>48623</c:v>
                      </c:pt>
                      <c:pt idx="4">
                        <c:v>57111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5D-4588-A40A-FD314BE5552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d''exploitation'!$A$12</c15:sqref>
                        </c15:formulaRef>
                      </c:ext>
                    </c:extLst>
                    <c:strCache>
                      <c:ptCount val="1"/>
                      <c:pt idx="0">
                        <c:v>RBE/CA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0.54106060606060602</c:v>
                      </c:pt>
                      <c:pt idx="1">
                        <c:v>0.61092171175039356</c:v>
                      </c:pt>
                      <c:pt idx="2">
                        <c:v>0.78911843860958453</c:v>
                      </c:pt>
                      <c:pt idx="3">
                        <c:v>0.79569548728116135</c:v>
                      </c:pt>
                      <c:pt idx="4">
                        <c:v>0.77288540778956405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5D-4588-A40A-FD314BE5552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d''exploitation'!$A$13</c15:sqref>
                        </c15:formulaRef>
                      </c:ext>
                    </c:extLst>
                    <c:strCache>
                      <c:ptCount val="1"/>
                      <c:pt idx="0">
                        <c:v>Amortissements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d''exploitation'!$B$13:$F$13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6930</c:v>
                      </c:pt>
                      <c:pt idx="1">
                        <c:v>18480</c:v>
                      </c:pt>
                      <c:pt idx="2">
                        <c:v>30030</c:v>
                      </c:pt>
                      <c:pt idx="3">
                        <c:v>23100</c:v>
                      </c:pt>
                      <c:pt idx="4">
                        <c:v>11550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5D-4588-A40A-FD314BE5552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d''exploitation'!$A$14</c15:sqref>
                        </c15:formulaRef>
                      </c:ext>
                    </c:extLst>
                    <c:strCache>
                      <c:ptCount val="1"/>
                      <c:pt idx="0">
                        <c:v>Résultat d'exploitation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d''exploitation'!$B$14:$F$14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171620</c:v>
                      </c:pt>
                      <c:pt idx="1">
                        <c:v>408371</c:v>
                      </c:pt>
                      <c:pt idx="2">
                        <c:v>1365668</c:v>
                      </c:pt>
                      <c:pt idx="3">
                        <c:v>2003456.1999999997</c:v>
                      </c:pt>
                      <c:pt idx="4">
                        <c:v>2523335.9447999997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5D-4588-A40A-FD314BE5552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d''exploitation'!$A$15</c15:sqref>
                        </c15:formulaRef>
                      </c:ext>
                    </c:extLst>
                    <c:strCache>
                      <c:ptCount val="1"/>
                      <c:pt idx="0">
                        <c:v>Résultat d'exploitation/CA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0.52006060606060611</c:v>
                      </c:pt>
                      <c:pt idx="1">
                        <c:v>0.58447259195649059</c:v>
                      </c:pt>
                      <c:pt idx="2">
                        <c:v>0.77213967478571588</c:v>
                      </c:pt>
                      <c:pt idx="3">
                        <c:v>0.786625634811146</c:v>
                      </c:pt>
                      <c:pt idx="4">
                        <c:v>0.76936381878936388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5D-4588-A40A-FD314BE5552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d''exploitation'!$A$16</c15:sqref>
                        </c15:formulaRef>
                      </c:ext>
                    </c:extLst>
                    <c:strCache>
                      <c:ptCount val="1"/>
                      <c:pt idx="0">
                        <c:v>Charges financières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d''exploitation'!$B$16:$F$16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5D-4588-A40A-FD314BE5552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d''exploitation'!$A$17</c15:sqref>
                        </c15:formulaRef>
                      </c:ext>
                    </c:extLst>
                    <c:strCache>
                      <c:ptCount val="1"/>
                      <c:pt idx="0">
                        <c:v>Bénéfice avant impôt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d''exploitation'!$B$17:$F$17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171620</c:v>
                      </c:pt>
                      <c:pt idx="1">
                        <c:v>408371</c:v>
                      </c:pt>
                      <c:pt idx="2">
                        <c:v>1365668</c:v>
                      </c:pt>
                      <c:pt idx="3">
                        <c:v>2003456.1999999997</c:v>
                      </c:pt>
                      <c:pt idx="4">
                        <c:v>2523335.9447999997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5D-4588-A40A-FD314BE5552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d''exploitation'!$A$18</c15:sqref>
                        </c15:formulaRef>
                      </c:ext>
                    </c:extLst>
                    <c:strCache>
                      <c:ptCount val="1"/>
                      <c:pt idx="0">
                        <c:v>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d''exploitation'!$B$18:$F$18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341417</c:v>
                      </c:pt>
                      <c:pt idx="3">
                        <c:v>500864.04999999993</c:v>
                      </c:pt>
                      <c:pt idx="4">
                        <c:v>630833.98619999993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5D-4588-A40A-FD314BE5552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d''exploitation'!$A$20</c15:sqref>
                        </c15:formulaRef>
                      </c:ext>
                    </c:extLst>
                    <c:strCache>
                      <c:ptCount val="1"/>
                      <c:pt idx="0">
                        <c:v>Résultat net/CA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d''exploitation'!$B$20:$F$20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0.52006060606060611</c:v>
                      </c:pt>
                      <c:pt idx="1">
                        <c:v>0.58447259195649059</c:v>
                      </c:pt>
                      <c:pt idx="2">
                        <c:v>0.57910475608928691</c:v>
                      </c:pt>
                      <c:pt idx="3">
                        <c:v>0.58996922610835956</c:v>
                      </c:pt>
                      <c:pt idx="4">
                        <c:v>0.57702286409202297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5D-4588-A40A-FD314BE55525}"/>
                  </c:ext>
                </c:extLst>
              </c15:ser>
            </c15:filteredLineSeries>
          </c:ext>
        </c:extLst>
      </c:lineChart>
      <c:catAx>
        <c:axId val="2817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13616"/>
        <c:crosses val="autoZero"/>
        <c:auto val="1"/>
        <c:lblAlgn val="ctr"/>
        <c:lblOffset val="100"/>
        <c:noMultiLvlLbl val="0"/>
      </c:catAx>
      <c:valAx>
        <c:axId val="2817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1206862749439"/>
          <c:y val="2.6128178841025831E-2"/>
          <c:w val="0.79281811037774397"/>
          <c:h val="0.78652691683743969"/>
        </c:manualLayout>
      </c:layout>
      <c:lineChart>
        <c:grouping val="standard"/>
        <c:varyColors val="0"/>
        <c:ser>
          <c:idx val="8"/>
          <c:order val="8"/>
          <c:tx>
            <c:strRef>
              <c:f>Trésorerie!$A$13</c:f>
              <c:strCache>
                <c:ptCount val="1"/>
                <c:pt idx="0">
                  <c:v>Trésorerie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Trésorerie!$B$4:$F$4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Trésorerie!$B$13:$F$13</c:f>
              <c:numCache>
                <c:formatCode>_-* #\ ##0\ _D_T_-;\-* #\ ##0\ _D_T_-;_-* "-"??\ _D_T_-;_-@_-</c:formatCode>
                <c:ptCount val="5"/>
                <c:pt idx="0">
                  <c:v>-129216</c:v>
                </c:pt>
                <c:pt idx="1">
                  <c:v>30618</c:v>
                </c:pt>
                <c:pt idx="2">
                  <c:v>-41411</c:v>
                </c:pt>
                <c:pt idx="3">
                  <c:v>758687.14999999991</c:v>
                </c:pt>
                <c:pt idx="4">
                  <c:v>1162098.9585999998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F-42B0-92CE-7C85992783ED}"/>
            </c:ext>
          </c:extLst>
        </c:ser>
        <c:ser>
          <c:idx val="9"/>
          <c:order val="9"/>
          <c:tx>
            <c:strRef>
              <c:f>Trésorerie!$A$14</c:f>
              <c:strCache>
                <c:ptCount val="1"/>
                <c:pt idx="0">
                  <c:v>Trésorerie cumulée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Trésorerie!$B$4:$F$4</c:f>
              <c:strCache>
                <c:ptCount val="5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</c:strCache>
            </c:strRef>
          </c:cat>
          <c:val>
            <c:numRef>
              <c:f>Trésorerie!$B$14:$F$14</c:f>
              <c:numCache>
                <c:formatCode>_-* #\ ##0\ _D_T_-;\-* #\ ##0\ _D_T_-;_-* "-"??\ _D_T_-;_-@_-</c:formatCode>
                <c:ptCount val="5"/>
                <c:pt idx="0">
                  <c:v>-129216</c:v>
                </c:pt>
                <c:pt idx="1">
                  <c:v>-98598</c:v>
                </c:pt>
                <c:pt idx="2">
                  <c:v>-140009</c:v>
                </c:pt>
                <c:pt idx="3">
                  <c:v>618678.14999999991</c:v>
                </c:pt>
                <c:pt idx="4">
                  <c:v>1780777.1085999997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F-42B0-92CE-7C859927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12976"/>
        <c:axId val="281484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Trésorerie!$A$5</c15:sqref>
                        </c15:formulaRef>
                      </c:ext>
                    </c:extLst>
                    <c:strCache>
                      <c:ptCount val="1"/>
                      <c:pt idx="0">
                        <c:v>Investissement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Trésorerie!$B$5:$F$5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37160</c:v>
                      </c:pt>
                      <c:pt idx="1">
                        <c:v>35000</c:v>
                      </c:pt>
                      <c:pt idx="2">
                        <c:v>35000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4F-42B0-92CE-7C85992783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Trésorerie!$A$6</c15:sqref>
                        </c15:formulaRef>
                      </c:ext>
                    </c:extLst>
                    <c:strCache>
                      <c:ptCount val="1"/>
                      <c:pt idx="0">
                        <c:v>Variation du BFR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Trésorerie!$B$6:$F$6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299016</c:v>
                      </c:pt>
                      <c:pt idx="1">
                        <c:v>352483</c:v>
                      </c:pt>
                      <c:pt idx="2">
                        <c:v>1051942</c:v>
                      </c:pt>
                      <c:pt idx="3">
                        <c:v>767005</c:v>
                      </c:pt>
                      <c:pt idx="4">
                        <c:v>706953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4F-42B0-92CE-7C85992783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4F-42B0-92CE-7C85992783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Trésorerie!$A$8</c15:sqref>
                        </c15:formulaRef>
                      </c:ext>
                    </c:extLst>
                    <c:strCache>
                      <c:ptCount val="1"/>
                      <c:pt idx="0">
                        <c:v>Emplois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Trésorerie!$B$8:$F$8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344926</c:v>
                      </c:pt>
                      <c:pt idx="1">
                        <c:v>396233</c:v>
                      </c:pt>
                      <c:pt idx="2">
                        <c:v>1095692</c:v>
                      </c:pt>
                      <c:pt idx="3">
                        <c:v>767005</c:v>
                      </c:pt>
                      <c:pt idx="4">
                        <c:v>741953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4F-42B0-92CE-7C85992783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Trésorerie!$A$9</c15:sqref>
                        </c15:formulaRef>
                      </c:ext>
                    </c:extLst>
                    <c:strCache>
                      <c:ptCount val="1"/>
                      <c:pt idx="0">
                        <c:v>Capital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Trésorerie!$B$9:$F$9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18160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4F-42B0-92CE-7C85992783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Trésorerie!$A$10</c15:sqref>
                        </c15:formulaRef>
                      </c:ext>
                    </c:extLst>
                    <c:strCache>
                      <c:ptCount val="1"/>
                      <c:pt idx="0">
                        <c:v>OCA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Trésorerie!$B$10:$F$10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19000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4F-42B0-92CE-7C85992783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Trésorerie!$A$11</c15:sqref>
                        </c15:formulaRef>
                      </c:ext>
                    </c:extLst>
                    <c:strCache>
                      <c:ptCount val="1"/>
                      <c:pt idx="0">
                        <c:v>Cash flow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Trésorerie!$B$11:$F$11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178550</c:v>
                      </c:pt>
                      <c:pt idx="1">
                        <c:v>426851</c:v>
                      </c:pt>
                      <c:pt idx="2">
                        <c:v>1054281</c:v>
                      </c:pt>
                      <c:pt idx="3">
                        <c:v>1525692.15</c:v>
                      </c:pt>
                      <c:pt idx="4">
                        <c:v>1904051.9585999998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4F-42B0-92CE-7C85992783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Trésorerie!$A$12</c15:sqref>
                        </c15:formulaRef>
                      </c:ext>
                    </c:extLst>
                    <c:strCache>
                      <c:ptCount val="1"/>
                      <c:pt idx="0">
                        <c:v>Ressources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Trésorerie!$B$4:$F$4</c15:sqref>
                        </c15:formulaRef>
                      </c:ext>
                    </c:extLst>
                    <c:strCache>
                      <c:ptCount val="5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  <c:pt idx="3">
                        <c:v>Année 4</c:v>
                      </c:pt>
                      <c:pt idx="4">
                        <c:v>Année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Trésorerie!$B$12:$F$12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5"/>
                      <c:pt idx="0">
                        <c:v>215710</c:v>
                      </c:pt>
                      <c:pt idx="1">
                        <c:v>426851</c:v>
                      </c:pt>
                      <c:pt idx="2">
                        <c:v>1054281</c:v>
                      </c:pt>
                      <c:pt idx="3">
                        <c:v>1525692.15</c:v>
                      </c:pt>
                      <c:pt idx="4">
                        <c:v>1904051.9585999998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4F-42B0-92CE-7C85992783ED}"/>
                  </c:ext>
                </c:extLst>
              </c15:ser>
            </c15:filteredLineSeries>
          </c:ext>
        </c:extLst>
      </c:lineChart>
      <c:catAx>
        <c:axId val="2808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84096"/>
        <c:crosses val="autoZero"/>
        <c:auto val="1"/>
        <c:lblAlgn val="ctr"/>
        <c:lblOffset val="100"/>
        <c:noMultiLvlLbl val="0"/>
      </c:catAx>
      <c:valAx>
        <c:axId val="2814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8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'Compte d''exploitation'!$A$6</c:f>
              <c:strCache>
                <c:ptCount val="1"/>
                <c:pt idx="0">
                  <c:v>Kiosk Mode (Hardware + freemium app)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d''exploitation'!$B$6:$D$6</c:f>
              <c:numCache>
                <c:formatCode>_-* #\ ##0\ _D_T_-;\-* #\ ##0\ _D_T_-;_-* "-"??\ _D_T_-;_-@_-</c:formatCode>
                <c:ptCount val="3"/>
                <c:pt idx="0">
                  <c:v>280000</c:v>
                </c:pt>
                <c:pt idx="1">
                  <c:v>571200</c:v>
                </c:pt>
                <c:pt idx="2">
                  <c:v>1456560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7-4C32-80DA-1A48107E6C47}"/>
            </c:ext>
          </c:extLst>
        </c:ser>
        <c:ser>
          <c:idx val="1"/>
          <c:order val="1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7-4C32-80DA-1A48107E6C47}"/>
            </c:ext>
          </c:extLst>
        </c:ser>
        <c:ser>
          <c:idx val="2"/>
          <c:order val="2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7-4C32-80DA-1A48107E6C47}"/>
            </c:ext>
          </c:extLst>
        </c:ser>
        <c:ser>
          <c:idx val="3"/>
          <c:order val="3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7-4C32-80DA-1A48107E6C47}"/>
            </c:ext>
          </c:extLst>
        </c:ser>
        <c:ser>
          <c:idx val="4"/>
          <c:order val="4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7-4C32-80DA-1A48107E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489696"/>
        <c:axId val="28149025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'Compte d''exploitation'!$A$7</c15:sqref>
                        </c15:formulaRef>
                      </c:ext>
                    </c:extLst>
                    <c:strCache>
                      <c:ptCount val="1"/>
                      <c:pt idx="0">
                        <c:v>Chiffre d'affaires global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'Compte d''exploitation'!$B$7:$D$7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330000</c:v>
                      </c:pt>
                      <c:pt idx="1">
                        <c:v>698700</c:v>
                      </c:pt>
                      <c:pt idx="2">
                        <c:v>1768680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637-4C32-80DA-1A48107E6C47}"/>
                  </c:ext>
                </c:extLst>
              </c15:ser>
            </c15:filteredBarSeries>
          </c:ext>
        </c:extLst>
      </c:barChart>
      <c:catAx>
        <c:axId val="2814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1490256"/>
        <c:crosses val="autoZero"/>
        <c:auto val="1"/>
        <c:lblAlgn val="ctr"/>
        <c:lblOffset val="100"/>
        <c:noMultiLvlLbl val="0"/>
      </c:catAx>
      <c:valAx>
        <c:axId val="2814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D_T_-;\-* #\ ##0\ _D_T_-;_-* &quot;-&quot;??\ _D_T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14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6"/>
          <c:order val="6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8-4AFE-8B70-C4A7E6BCFB0D}"/>
            </c:ext>
          </c:extLst>
        </c:ser>
        <c:ser>
          <c:idx val="7"/>
          <c:order val="7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8-4AFE-8B70-C4A7E6BCFB0D}"/>
            </c:ext>
          </c:extLst>
        </c:ser>
        <c:ser>
          <c:idx val="8"/>
          <c:order val="8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8-4AFE-8B70-C4A7E6BCFB0D}"/>
            </c:ext>
          </c:extLst>
        </c:ser>
        <c:ser>
          <c:idx val="9"/>
          <c:order val="9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8-4AFE-8B70-C4A7E6BCFB0D}"/>
            </c:ext>
          </c:extLst>
        </c:ser>
        <c:ser>
          <c:idx val="10"/>
          <c:order val="10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8-4AFE-8B70-C4A7E6BCFB0D}"/>
            </c:ext>
          </c:extLst>
        </c:ser>
        <c:ser>
          <c:idx val="11"/>
          <c:order val="11"/>
          <c:tx>
            <c:strRef>
              <c:f>'Compte d''exploitation'!#REF!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'Compte d''exploitation'!$B$4:$D$4</c:f>
              <c:strCache>
                <c:ptCount val="3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</c:strCache>
            </c:strRef>
          </c:cat>
          <c:val>
            <c:numRef>
              <c:f>'Compte d''exploitation'!#REF!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38-4AFE-8B70-C4A7E6BC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288656"/>
        <c:axId val="282355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'Compte d''exploitation'!$A$6</c15:sqref>
                        </c15:formulaRef>
                      </c:ext>
                    </c:extLst>
                    <c:strCache>
                      <c:ptCount val="1"/>
                      <c:pt idx="0">
                        <c:v>Kiosk Mode (Hardware + freemium app)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'Compte d''exploitation'!$B$6:$D$6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280000</c:v>
                      </c:pt>
                      <c:pt idx="1">
                        <c:v>571200</c:v>
                      </c:pt>
                      <c:pt idx="2">
                        <c:v>1456560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338-4AFE-8B70-C4A7E6BCFB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38-4AFE-8B70-C4A7E6BCFB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38-4AFE-8B70-C4A7E6BCFB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38-4AFE-8B70-C4A7E6BCFB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38-4AFE-8B70-C4A7E6BCFB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d''exploitation'!$A$7</c15:sqref>
                        </c15:formulaRef>
                      </c:ext>
                    </c:extLst>
                    <c:strCache>
                      <c:ptCount val="1"/>
                      <c:pt idx="0">
                        <c:v>Chiffre d'affaires global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d''exploitation'!$B$4:$D$4</c15:sqref>
                        </c15:formulaRef>
                      </c:ext>
                    </c:extLst>
                    <c:strCache>
                      <c:ptCount val="3"/>
                      <c:pt idx="0">
                        <c:v>Année 1</c:v>
                      </c:pt>
                      <c:pt idx="1">
                        <c:v>Année 2</c:v>
                      </c:pt>
                      <c:pt idx="2">
                        <c:v>Année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'Compte d''exploitation'!$B$7:$D$7</c15:sqref>
                        </c15:formulaRef>
                      </c:ext>
                    </c:extLst>
                    <c:numCache>
                      <c:formatCode>_-* #\ ##0\ _D_T_-;\-* #\ ##0\ _D_T_-;_-* "-"??\ _D_T_-;_-@_-</c:formatCode>
                      <c:ptCount val="3"/>
                      <c:pt idx="0">
                        <c:v>330000</c:v>
                      </c:pt>
                      <c:pt idx="1">
                        <c:v>698700</c:v>
                      </c:pt>
                      <c:pt idx="2">
                        <c:v>1768680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338-4AFE-8B70-C4A7E6BCFB0D}"/>
                  </c:ext>
                </c:extLst>
              </c15:ser>
            </c15:filteredBarSeries>
          </c:ext>
        </c:extLst>
      </c:barChart>
      <c:catAx>
        <c:axId val="2822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355120"/>
        <c:crosses val="autoZero"/>
        <c:auto val="1"/>
        <c:lblAlgn val="ctr"/>
        <c:lblOffset val="100"/>
        <c:noMultiLvlLbl val="0"/>
      </c:catAx>
      <c:valAx>
        <c:axId val="282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822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241099</xdr:colOff>
      <xdr:row>3</xdr:row>
      <xdr:rowOff>48304</xdr:rowOff>
    </xdr:from>
    <xdr:to>
      <xdr:col>11</xdr:col>
      <xdr:colOff>680780</xdr:colOff>
      <xdr:row>21</xdr:row>
      <xdr:rowOff>82663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DD2AB1-09D3-4081-9851-27696C09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599736</xdr:colOff>
      <xdr:row>1</xdr:row>
      <xdr:rowOff>163285</xdr:rowOff>
    </xdr:from>
    <xdr:to>
      <xdr:col>15</xdr:col>
      <xdr:colOff>508566</xdr:colOff>
      <xdr:row>35</xdr:row>
      <xdr:rowOff>89295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F2EEA1C-FFB9-4D08-861A-C7138809B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248330</xdr:colOff>
      <xdr:row>52</xdr:row>
      <xdr:rowOff>23132</xdr:rowOff>
    </xdr:from>
    <xdr:to>
      <xdr:col>14</xdr:col>
      <xdr:colOff>248330</xdr:colOff>
      <xdr:row>68</xdr:row>
      <xdr:rowOff>44904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E1B958-7F86-4EAF-BE93-44F76993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562655</xdr:colOff>
      <xdr:row>45</xdr:row>
      <xdr:rowOff>28575</xdr:rowOff>
    </xdr:from>
    <xdr:to>
      <xdr:col>11</xdr:col>
      <xdr:colOff>25173</xdr:colOff>
      <xdr:row>58</xdr:row>
      <xdr:rowOff>163286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152B0-D08A-42D3-9C1F-250869F8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73562</xdr:colOff>
      <xdr:row>32</xdr:row>
      <xdr:rowOff>125184</xdr:rowOff>
    </xdr:from>
    <xdr:to>
      <xdr:col>12</xdr:col>
      <xdr:colOff>711398</xdr:colOff>
      <xdr:row>40</xdr:row>
      <xdr:rowOff>133519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2290FD-3EFF-43E6-A552-2B6060F08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908277</xdr:colOff>
      <xdr:row>2</xdr:row>
      <xdr:rowOff>137431</xdr:rowOff>
    </xdr:from>
    <xdr:to>
      <xdr:col>12</xdr:col>
      <xdr:colOff>445634</xdr:colOff>
      <xdr:row>21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C49890-CE8B-4733-BC93-40C7DCD6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524895</xdr:colOff>
      <xdr:row>2</xdr:row>
      <xdr:rowOff>206827</xdr:rowOff>
    </xdr:from>
    <xdr:to>
      <xdr:col>12</xdr:col>
      <xdr:colOff>242546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5B51C8-35C1-4B91-A129-FD4BA36F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90487</xdr:rowOff>
    </xdr:from>
    <xdr:to>
      <xdr:col>8</xdr:col>
      <xdr:colOff>457200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0</xdr:row>
      <xdr:rowOff>0</xdr:rowOff>
    </xdr:from>
    <xdr:to>
      <xdr:col>17</xdr:col>
      <xdr:colOff>457200</xdr:colOff>
      <xdr:row>11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247648</xdr:colOff>
      <xdr:row>11</xdr:row>
      <xdr:rowOff>142874</xdr:rowOff>
    </xdr:from>
    <xdr:to>
      <xdr:col>9</xdr:col>
      <xdr:colOff>428625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12</xdr:row>
      <xdr:rowOff>23811</xdr:rowOff>
    </xdr:from>
    <xdr:to>
      <xdr:col>19</xdr:col>
      <xdr:colOff>238124</xdr:colOff>
      <xdr:row>27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28</xdr:row>
      <xdr:rowOff>52387</xdr:rowOff>
    </xdr:from>
    <xdr:to>
      <xdr:col>7</xdr:col>
      <xdr:colOff>552450</xdr:colOff>
      <xdr:row>42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27</xdr:row>
      <xdr:rowOff>14287</xdr:rowOff>
    </xdr:from>
    <xdr:to>
      <xdr:col>18</xdr:col>
      <xdr:colOff>333375</xdr:colOff>
      <xdr:row>41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43</xdr:row>
      <xdr:rowOff>166687</xdr:rowOff>
    </xdr:from>
    <xdr:to>
      <xdr:col>9</xdr:col>
      <xdr:colOff>457200</xdr:colOff>
      <xdr:row>58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Normal="100" workbookViewId="0">
      <selection activeCell="C14" sqref="C14"/>
    </sheetView>
  </sheetViews>
  <sheetFormatPr baseColWidth="10" defaultColWidth="11.42578125" defaultRowHeight="13.5" x14ac:dyDescent="0.25"/>
  <cols>
    <col min="1" max="1" width="64.85546875" style="11" bestFit="1" customWidth="1"/>
    <col min="2" max="2" width="17.5703125" style="11" customWidth="1"/>
    <col min="3" max="4" width="17.140625" style="11" bestFit="1" customWidth="1"/>
    <col min="5" max="5" width="15.7109375" style="11" bestFit="1" customWidth="1"/>
    <col min="6" max="6" width="17.5703125" style="11" customWidth="1"/>
    <col min="7" max="16384" width="11.42578125" style="11"/>
  </cols>
  <sheetData>
    <row r="2" spans="1:6" ht="12.6" x14ac:dyDescent="0.25">
      <c r="A2" s="27" t="s">
        <v>2</v>
      </c>
      <c r="B2" s="15"/>
    </row>
    <row r="3" spans="1:6" ht="12.95" thickBot="1" x14ac:dyDescent="0.3"/>
    <row r="4" spans="1:6" ht="14.25" thickBot="1" x14ac:dyDescent="0.3">
      <c r="A4" s="93" t="s">
        <v>22</v>
      </c>
      <c r="B4" s="95" t="s">
        <v>14</v>
      </c>
      <c r="C4" s="96" t="s">
        <v>15</v>
      </c>
      <c r="D4" s="96" t="s">
        <v>16</v>
      </c>
      <c r="E4" s="96" t="s">
        <v>20</v>
      </c>
      <c r="F4" s="96" t="s">
        <v>21</v>
      </c>
    </row>
    <row r="5" spans="1:6" ht="14.25" thickBot="1" x14ac:dyDescent="0.3">
      <c r="A5" s="94" t="s">
        <v>65</v>
      </c>
      <c r="B5" s="42">
        <v>14000</v>
      </c>
      <c r="C5" s="109">
        <f>20000</f>
        <v>20000</v>
      </c>
      <c r="D5" s="109">
        <f>20000</f>
        <v>20000</v>
      </c>
      <c r="E5" s="42"/>
      <c r="F5" s="42"/>
    </row>
    <row r="6" spans="1:6" ht="14.25" thickBot="1" x14ac:dyDescent="0.3">
      <c r="A6" s="94" t="s">
        <v>135</v>
      </c>
      <c r="B6" s="42">
        <v>5000</v>
      </c>
      <c r="C6" s="110">
        <v>15000</v>
      </c>
      <c r="D6" s="110">
        <v>15000</v>
      </c>
      <c r="E6" s="42"/>
      <c r="F6" s="42"/>
    </row>
    <row r="7" spans="1:6" ht="12.95" thickBot="1" x14ac:dyDescent="0.3">
      <c r="A7" s="94" t="s">
        <v>66</v>
      </c>
      <c r="B7" s="42">
        <v>2000</v>
      </c>
      <c r="C7" s="110" t="s">
        <v>140</v>
      </c>
      <c r="D7" s="111" t="s">
        <v>140</v>
      </c>
      <c r="E7" s="42">
        <v>0</v>
      </c>
      <c r="F7" s="42">
        <v>0</v>
      </c>
    </row>
    <row r="8" spans="1:6" ht="12.95" thickBot="1" x14ac:dyDescent="0.3">
      <c r="A8" s="94" t="s">
        <v>67</v>
      </c>
      <c r="B8" s="42">
        <v>160</v>
      </c>
      <c r="C8" s="110" t="s">
        <v>140</v>
      </c>
      <c r="D8" s="111" t="s">
        <v>140</v>
      </c>
      <c r="E8" s="42">
        <v>0</v>
      </c>
      <c r="F8" s="42">
        <v>0</v>
      </c>
    </row>
    <row r="9" spans="1:6" ht="12.95" thickBot="1" x14ac:dyDescent="0.3">
      <c r="A9" s="94" t="s">
        <v>134</v>
      </c>
      <c r="B9" s="42">
        <v>16000</v>
      </c>
      <c r="C9" s="110">
        <f>40000</f>
        <v>40000</v>
      </c>
      <c r="D9" s="110">
        <f>40000</f>
        <v>40000</v>
      </c>
      <c r="E9" s="42">
        <v>0</v>
      </c>
      <c r="F9" s="42">
        <v>0</v>
      </c>
    </row>
    <row r="10" spans="1:6" ht="12.6" x14ac:dyDescent="0.25">
      <c r="A10" s="37" t="s">
        <v>0</v>
      </c>
      <c r="B10" s="51">
        <f>SUM(B5:B9)</f>
        <v>37160</v>
      </c>
      <c r="C10" s="51">
        <f t="shared" ref="C10:D10" si="0">SUM(C5:C9)</f>
        <v>75000</v>
      </c>
      <c r="D10" s="51">
        <f t="shared" si="0"/>
        <v>75000</v>
      </c>
      <c r="E10" s="51">
        <f>SUM(E5:E9)</f>
        <v>0</v>
      </c>
      <c r="F10" s="51">
        <f>SUM(F5:F9)</f>
        <v>0</v>
      </c>
    </row>
    <row r="13" spans="1:6" ht="12.6" x14ac:dyDescent="0.25">
      <c r="A13" s="27" t="s">
        <v>12</v>
      </c>
    </row>
    <row r="15" spans="1:6" x14ac:dyDescent="0.25">
      <c r="A15" s="13" t="s">
        <v>132</v>
      </c>
      <c r="B15" s="36" t="s">
        <v>14</v>
      </c>
      <c r="C15" s="36" t="s">
        <v>15</v>
      </c>
      <c r="D15" s="36" t="s">
        <v>16</v>
      </c>
      <c r="E15" s="36" t="s">
        <v>20</v>
      </c>
      <c r="F15" s="36" t="s">
        <v>21</v>
      </c>
    </row>
    <row r="16" spans="1:6" ht="14.45" x14ac:dyDescent="0.35">
      <c r="A16" s="2" t="s">
        <v>136</v>
      </c>
      <c r="B16" s="3">
        <v>2160</v>
      </c>
      <c r="C16" s="3">
        <v>0</v>
      </c>
      <c r="D16" s="3">
        <v>0</v>
      </c>
      <c r="E16" s="3">
        <v>0</v>
      </c>
      <c r="F16" s="3">
        <v>0</v>
      </c>
    </row>
    <row r="17" spans="1:7" ht="14.45" x14ac:dyDescent="0.35">
      <c r="A17" s="2" t="s">
        <v>137</v>
      </c>
      <c r="B17" s="3">
        <v>16000</v>
      </c>
      <c r="C17" s="3">
        <v>0</v>
      </c>
      <c r="D17" s="3">
        <v>0</v>
      </c>
      <c r="E17" s="3">
        <v>0</v>
      </c>
      <c r="F17" s="3">
        <v>0</v>
      </c>
    </row>
    <row r="18" spans="1:7" ht="14.45" x14ac:dyDescent="0.35">
      <c r="A18" s="2" t="s">
        <v>53</v>
      </c>
      <c r="B18" s="3">
        <v>19000</v>
      </c>
      <c r="C18" s="3"/>
      <c r="D18" s="3"/>
      <c r="E18" s="3"/>
      <c r="F18" s="3"/>
      <c r="G18" s="108"/>
    </row>
    <row r="19" spans="1:7" ht="14.45" x14ac:dyDescent="0.35">
      <c r="A19" s="2"/>
      <c r="B19" s="3"/>
      <c r="C19" s="3"/>
      <c r="D19" s="3"/>
      <c r="E19" s="3"/>
      <c r="F19" s="3"/>
    </row>
    <row r="20" spans="1:7" ht="14.45" x14ac:dyDescent="0.35">
      <c r="A20" s="2" t="s">
        <v>23</v>
      </c>
      <c r="B20" s="3"/>
      <c r="C20" s="3">
        <f>+'Compte d''exploitation'!C21</f>
        <v>426851</v>
      </c>
      <c r="D20" s="3">
        <f>+'Compte d''exploitation'!D21</f>
        <v>1054281</v>
      </c>
      <c r="E20" s="3">
        <f>+'Compte d''exploitation'!E21</f>
        <v>1525692.15</v>
      </c>
      <c r="F20" s="3">
        <f>+'Compte d''exploitation'!F21</f>
        <v>1904051.9585999998</v>
      </c>
    </row>
    <row r="21" spans="1:7" ht="14.45" x14ac:dyDescent="0.35">
      <c r="A21" s="4" t="s">
        <v>0</v>
      </c>
      <c r="B21" s="5">
        <f>SUM(B16:B20)</f>
        <v>37160</v>
      </c>
      <c r="C21" s="5">
        <f>SUM(C16:C20)</f>
        <v>426851</v>
      </c>
      <c r="D21" s="5">
        <f>SUM(D16:D20)</f>
        <v>1054281</v>
      </c>
      <c r="E21" s="5">
        <f>SUM(E16:E20)</f>
        <v>1525692.15</v>
      </c>
      <c r="F21" s="5">
        <f>SUM(F16:F20)</f>
        <v>1904051.9585999998</v>
      </c>
    </row>
    <row r="23" spans="1:7" ht="14.25" thickBot="1" x14ac:dyDescent="0.3">
      <c r="A23" s="13" t="s">
        <v>132</v>
      </c>
      <c r="B23" s="36" t="s">
        <v>14</v>
      </c>
      <c r="C23" s="36" t="s">
        <v>15</v>
      </c>
      <c r="D23" s="36" t="s">
        <v>16</v>
      </c>
      <c r="E23" s="36" t="s">
        <v>20</v>
      </c>
      <c r="F23" s="36" t="s">
        <v>21</v>
      </c>
    </row>
    <row r="24" spans="1:7" ht="14.25" thickBot="1" x14ac:dyDescent="0.3">
      <c r="A24" s="97" t="s">
        <v>77</v>
      </c>
      <c r="B24" s="52">
        <f>+B5+B6</f>
        <v>19000</v>
      </c>
      <c r="C24" s="52">
        <f>+C5+C6</f>
        <v>35000</v>
      </c>
      <c r="D24" s="52">
        <f>+D5+D6</f>
        <v>35000</v>
      </c>
      <c r="E24" s="52">
        <f>+E5+E6</f>
        <v>0</v>
      </c>
      <c r="F24" s="52">
        <f>+F5+F6</f>
        <v>0</v>
      </c>
    </row>
    <row r="25" spans="1:7" ht="12.95" thickBot="1" x14ac:dyDescent="0.3">
      <c r="A25" s="98" t="s">
        <v>48</v>
      </c>
      <c r="B25" s="52">
        <f>+B8</f>
        <v>160</v>
      </c>
      <c r="C25" s="52" t="str">
        <f>+C8</f>
        <v>-</v>
      </c>
      <c r="D25" s="52" t="str">
        <f>+D8</f>
        <v>-</v>
      </c>
      <c r="E25" s="52">
        <f>+E8</f>
        <v>0</v>
      </c>
      <c r="F25" s="52">
        <f>+F8</f>
        <v>0</v>
      </c>
    </row>
    <row r="26" spans="1:7" ht="12.95" thickBot="1" x14ac:dyDescent="0.3">
      <c r="A26" s="98" t="s">
        <v>66</v>
      </c>
      <c r="B26" s="52">
        <f>+B7</f>
        <v>2000</v>
      </c>
      <c r="C26" s="52" t="str">
        <f>+C7</f>
        <v>-</v>
      </c>
      <c r="D26" s="52" t="str">
        <f>+D7</f>
        <v>-</v>
      </c>
      <c r="E26" s="52">
        <f>+E7</f>
        <v>0</v>
      </c>
      <c r="F26" s="52">
        <f>+F7</f>
        <v>0</v>
      </c>
    </row>
    <row r="27" spans="1:7" ht="12.95" thickBot="1" x14ac:dyDescent="0.3">
      <c r="A27" s="98" t="s">
        <v>78</v>
      </c>
      <c r="B27" s="52">
        <f>+B9</f>
        <v>16000</v>
      </c>
      <c r="C27" s="52">
        <f>C9</f>
        <v>40000</v>
      </c>
      <c r="D27" s="52">
        <f>D9</f>
        <v>40000</v>
      </c>
      <c r="E27" s="52">
        <f>+E8+E7</f>
        <v>0</v>
      </c>
      <c r="F27" s="52">
        <f>+F8+F7</f>
        <v>0</v>
      </c>
    </row>
    <row r="28" spans="1:7" ht="12.6" x14ac:dyDescent="0.25">
      <c r="A28" s="41"/>
      <c r="B28" s="46"/>
      <c r="C28" s="41"/>
      <c r="D28" s="46"/>
    </row>
    <row r="29" spans="1:7" ht="12.6" x14ac:dyDescent="0.25">
      <c r="A29" s="27" t="s">
        <v>35</v>
      </c>
      <c r="B29" s="46"/>
      <c r="C29" s="41"/>
      <c r="D29" s="46"/>
    </row>
    <row r="30" spans="1:7" ht="12.6" x14ac:dyDescent="0.25">
      <c r="A30" s="41"/>
      <c r="B30" s="46"/>
      <c r="C30" s="41"/>
      <c r="D30" s="46"/>
    </row>
    <row r="31" spans="1:7" x14ac:dyDescent="0.25">
      <c r="A31" s="58" t="s">
        <v>36</v>
      </c>
      <c r="B31" s="58" t="s">
        <v>37</v>
      </c>
      <c r="C31" s="58" t="s">
        <v>38</v>
      </c>
      <c r="D31" s="59"/>
      <c r="E31" s="59"/>
    </row>
    <row r="32" spans="1:7" ht="12.6" x14ac:dyDescent="0.25">
      <c r="A32" s="60">
        <v>35000</v>
      </c>
      <c r="B32" s="61">
        <v>0.08</v>
      </c>
      <c r="C32" s="62" t="s">
        <v>39</v>
      </c>
      <c r="D32" s="63"/>
      <c r="E32" s="64"/>
    </row>
    <row r="34" spans="1:6" x14ac:dyDescent="0.25">
      <c r="A34" s="13" t="s">
        <v>132</v>
      </c>
      <c r="B34" s="36" t="s">
        <v>14</v>
      </c>
      <c r="C34" s="36" t="s">
        <v>15</v>
      </c>
      <c r="D34" s="36" t="s">
        <v>16</v>
      </c>
      <c r="E34" s="36" t="s">
        <v>20</v>
      </c>
      <c r="F34" s="36" t="s">
        <v>21</v>
      </c>
    </row>
    <row r="35" spans="1:6" x14ac:dyDescent="0.25">
      <c r="A35" s="24" t="s">
        <v>40</v>
      </c>
      <c r="B35" s="56">
        <f>+$B$32*B37</f>
        <v>2100</v>
      </c>
      <c r="C35" s="56">
        <f t="shared" ref="C35:E35" si="1">+$B$32*C37</f>
        <v>1400</v>
      </c>
      <c r="D35" s="56">
        <f t="shared" si="1"/>
        <v>700</v>
      </c>
      <c r="E35" s="56">
        <f t="shared" si="1"/>
        <v>0</v>
      </c>
      <c r="F35" s="56">
        <f>+E35</f>
        <v>0</v>
      </c>
    </row>
    <row r="36" spans="1:6" x14ac:dyDescent="0.25">
      <c r="A36" s="24" t="s">
        <v>41</v>
      </c>
      <c r="B36" s="56">
        <v>8750</v>
      </c>
      <c r="C36" s="56">
        <v>8750</v>
      </c>
      <c r="D36" s="56">
        <v>8750</v>
      </c>
      <c r="E36" s="56">
        <f>D37-D36</f>
        <v>0</v>
      </c>
      <c r="F36" s="56"/>
    </row>
    <row r="37" spans="1:6" x14ac:dyDescent="0.25">
      <c r="A37" s="24" t="s">
        <v>42</v>
      </c>
      <c r="B37" s="56">
        <f>+A32-B36</f>
        <v>26250</v>
      </c>
      <c r="C37" s="56">
        <f>B37-C36</f>
        <v>17500</v>
      </c>
      <c r="D37" s="56">
        <f>C37-D36</f>
        <v>8750</v>
      </c>
      <c r="E37" s="56"/>
      <c r="F37" s="56"/>
    </row>
    <row r="38" spans="1:6" x14ac:dyDescent="0.25">
      <c r="B38" s="18"/>
      <c r="C38" s="18"/>
      <c r="D38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0" zoomScaleNormal="80" workbookViewId="0">
      <selection activeCell="C26" sqref="C26"/>
    </sheetView>
  </sheetViews>
  <sheetFormatPr baseColWidth="10" defaultColWidth="9.140625" defaultRowHeight="13.5" x14ac:dyDescent="0.25"/>
  <cols>
    <col min="1" max="1" width="49.28515625" style="11" bestFit="1" customWidth="1"/>
    <col min="2" max="2" width="14.140625" style="11" customWidth="1"/>
    <col min="3" max="3" width="14.42578125" style="11" customWidth="1"/>
    <col min="4" max="4" width="16.28515625" style="11" customWidth="1"/>
    <col min="5" max="5" width="16.5703125" style="11" customWidth="1"/>
    <col min="6" max="6" width="14.42578125" style="11" bestFit="1" customWidth="1"/>
    <col min="7" max="8" width="9.140625" style="11"/>
    <col min="9" max="9" width="10.42578125" style="11" bestFit="1" customWidth="1"/>
    <col min="10" max="16384" width="9.140625" style="11"/>
  </cols>
  <sheetData>
    <row r="1" spans="1:9" ht="12.6" x14ac:dyDescent="0.25">
      <c r="A1" s="10" t="s">
        <v>68</v>
      </c>
    </row>
    <row r="2" spans="1:9" ht="12.95" thickBot="1" x14ac:dyDescent="0.3"/>
    <row r="3" spans="1:9" ht="14.45" customHeight="1" thickBot="1" x14ac:dyDescent="0.3">
      <c r="A3" s="66" t="s">
        <v>59</v>
      </c>
      <c r="B3" s="95" t="s">
        <v>14</v>
      </c>
      <c r="C3" s="96" t="s">
        <v>15</v>
      </c>
      <c r="D3" s="96" t="s">
        <v>16</v>
      </c>
      <c r="E3" s="96" t="s">
        <v>20</v>
      </c>
      <c r="F3" s="96" t="s">
        <v>21</v>
      </c>
    </row>
    <row r="4" spans="1:9" ht="15" x14ac:dyDescent="0.25">
      <c r="A4" s="24" t="s">
        <v>141</v>
      </c>
      <c r="B4" s="3">
        <v>10000</v>
      </c>
      <c r="C4" s="3">
        <f t="shared" ref="C4:F5" si="0">+B4*(1+$B$7)</f>
        <v>10200</v>
      </c>
      <c r="D4" s="3">
        <f t="shared" si="0"/>
        <v>10404</v>
      </c>
      <c r="E4" s="3">
        <f t="shared" si="0"/>
        <v>10612.08</v>
      </c>
      <c r="F4" s="3">
        <f t="shared" si="0"/>
        <v>10824.321599999999</v>
      </c>
    </row>
    <row r="5" spans="1:9" ht="15" x14ac:dyDescent="0.25">
      <c r="A5" s="24" t="s">
        <v>139</v>
      </c>
      <c r="B5" s="3">
        <v>20000</v>
      </c>
      <c r="C5" s="3">
        <f t="shared" si="0"/>
        <v>20400</v>
      </c>
      <c r="D5" s="3">
        <f t="shared" si="0"/>
        <v>20808</v>
      </c>
      <c r="E5" s="3">
        <f t="shared" si="0"/>
        <v>21224.16</v>
      </c>
      <c r="F5" s="3">
        <f t="shared" si="0"/>
        <v>21648.643199999999</v>
      </c>
    </row>
    <row r="6" spans="1:9" ht="14.45" x14ac:dyDescent="0.35">
      <c r="B6" s="3"/>
      <c r="C6" s="3"/>
      <c r="D6" s="3"/>
      <c r="E6" s="3"/>
      <c r="F6" s="3"/>
    </row>
    <row r="7" spans="1:9" ht="12.6" x14ac:dyDescent="0.25">
      <c r="A7" s="24" t="s">
        <v>71</v>
      </c>
      <c r="B7" s="122">
        <v>0.02</v>
      </c>
      <c r="C7" s="123"/>
      <c r="D7" s="123"/>
      <c r="E7" s="123"/>
      <c r="F7" s="123"/>
    </row>
    <row r="9" spans="1:9" ht="12.6" x14ac:dyDescent="0.25">
      <c r="A9" s="10" t="s">
        <v>47</v>
      </c>
    </row>
    <row r="10" spans="1:9" ht="12.95" thickBot="1" x14ac:dyDescent="0.3">
      <c r="I10" s="18"/>
    </row>
    <row r="11" spans="1:9" ht="14.45" customHeight="1" thickBot="1" x14ac:dyDescent="0.3">
      <c r="A11" s="66" t="s">
        <v>72</v>
      </c>
      <c r="B11" s="95" t="s">
        <v>14</v>
      </c>
      <c r="C11" s="96" t="s">
        <v>15</v>
      </c>
      <c r="D11" s="96" t="s">
        <v>16</v>
      </c>
      <c r="E11" s="96" t="s">
        <v>20</v>
      </c>
      <c r="F11" s="96" t="s">
        <v>21</v>
      </c>
      <c r="I11" s="18"/>
    </row>
    <row r="12" spans="1:9" x14ac:dyDescent="0.25">
      <c r="A12" s="24" t="s">
        <v>138</v>
      </c>
      <c r="B12" s="76"/>
      <c r="C12" s="76">
        <v>1.5</v>
      </c>
      <c r="D12" s="76">
        <v>1.5</v>
      </c>
      <c r="E12" s="76">
        <v>1</v>
      </c>
      <c r="F12" s="76">
        <v>1</v>
      </c>
    </row>
    <row r="13" spans="1:9" x14ac:dyDescent="0.25">
      <c r="A13" s="24" t="s">
        <v>139</v>
      </c>
      <c r="B13" s="76"/>
      <c r="C13" s="76">
        <v>1</v>
      </c>
      <c r="D13" s="76">
        <v>1.5</v>
      </c>
      <c r="E13" s="76">
        <v>0.5</v>
      </c>
      <c r="F13" s="76">
        <v>0.3</v>
      </c>
    </row>
    <row r="14" spans="1:9" s="72" customFormat="1" ht="12.95" thickBot="1" x14ac:dyDescent="0.3">
      <c r="A14" s="68"/>
      <c r="B14" s="23"/>
      <c r="C14" s="67"/>
      <c r="D14" s="67"/>
      <c r="E14" s="11"/>
      <c r="F14" s="11"/>
    </row>
    <row r="15" spans="1:9" ht="12.6" hidden="1" x14ac:dyDescent="0.25">
      <c r="A15" s="40"/>
      <c r="B15" s="47" t="s">
        <v>54</v>
      </c>
      <c r="C15" s="47" t="s">
        <v>55</v>
      </c>
      <c r="D15" s="47" t="s">
        <v>56</v>
      </c>
      <c r="E15" s="47" t="s">
        <v>57</v>
      </c>
      <c r="F15" s="47" t="s">
        <v>58</v>
      </c>
    </row>
    <row r="16" spans="1:9" ht="12.6" hidden="1" x14ac:dyDescent="0.25">
      <c r="A16" s="40" t="s">
        <v>43</v>
      </c>
      <c r="B16" s="44">
        <f>+B27</f>
        <v>0</v>
      </c>
      <c r="C16" s="44">
        <f>+C27</f>
        <v>1.1172727272727272</v>
      </c>
      <c r="D16" s="44">
        <f>+$B$17*C16</f>
        <v>0.8379545454545454</v>
      </c>
      <c r="E16" s="44">
        <f>+$B$17*D16</f>
        <v>0.62846590909090905</v>
      </c>
      <c r="F16" s="44">
        <f>+$B$17*E16</f>
        <v>0.47134943181818179</v>
      </c>
    </row>
    <row r="17" spans="1:7" ht="14.45" hidden="1" x14ac:dyDescent="0.35">
      <c r="A17" s="40" t="s">
        <v>44</v>
      </c>
      <c r="B17" s="81">
        <v>0.75</v>
      </c>
      <c r="C17" s="82"/>
      <c r="D17" s="82"/>
      <c r="E17" s="82"/>
      <c r="F17" s="82"/>
    </row>
    <row r="18" spans="1:7" ht="14.45" hidden="1" x14ac:dyDescent="0.35">
      <c r="A18" s="40" t="s">
        <v>46</v>
      </c>
      <c r="B18" s="81">
        <v>0.85</v>
      </c>
      <c r="C18" s="82"/>
      <c r="D18" s="82"/>
      <c r="E18" s="82"/>
      <c r="F18" s="82"/>
      <c r="G18" s="47" t="s">
        <v>21</v>
      </c>
    </row>
    <row r="19" spans="1:7" ht="14.45" hidden="1" x14ac:dyDescent="0.35">
      <c r="A19" s="40" t="s">
        <v>45</v>
      </c>
      <c r="B19" s="81">
        <v>0.9</v>
      </c>
      <c r="C19" s="82"/>
      <c r="D19" s="82"/>
      <c r="E19" s="82"/>
      <c r="F19" s="82"/>
      <c r="G19" s="44">
        <f>+$B$17*F16</f>
        <v>0.35351207386363637</v>
      </c>
    </row>
    <row r="20" spans="1:7" ht="14.45" hidden="1" customHeight="1" x14ac:dyDescent="0.35">
      <c r="C20" s="67"/>
      <c r="D20" s="67"/>
      <c r="G20" s="83"/>
    </row>
    <row r="21" spans="1:7" ht="14.45" hidden="1" customHeight="1" x14ac:dyDescent="0.35">
      <c r="A21" s="10" t="s">
        <v>31</v>
      </c>
      <c r="G21" s="83"/>
    </row>
    <row r="22" spans="1:7" ht="14.45" hidden="1" customHeight="1" x14ac:dyDescent="0.35">
      <c r="G22" s="83"/>
    </row>
    <row r="23" spans="1:7" ht="14.25" thickBot="1" x14ac:dyDescent="0.3">
      <c r="A23" s="47" t="s">
        <v>74</v>
      </c>
      <c r="B23" s="95" t="s">
        <v>14</v>
      </c>
      <c r="C23" s="96" t="s">
        <v>15</v>
      </c>
      <c r="D23" s="96" t="s">
        <v>16</v>
      </c>
      <c r="E23" s="96" t="s">
        <v>20</v>
      </c>
      <c r="F23" s="96" t="s">
        <v>21</v>
      </c>
    </row>
    <row r="24" spans="1:7" x14ac:dyDescent="0.25">
      <c r="A24" s="24" t="s">
        <v>138</v>
      </c>
      <c r="B24" s="60">
        <f t="shared" ref="B24:F25" si="1">B30*B4</f>
        <v>50000</v>
      </c>
      <c r="C24" s="60">
        <f t="shared" si="1"/>
        <v>127500</v>
      </c>
      <c r="D24" s="60">
        <f t="shared" si="1"/>
        <v>312120</v>
      </c>
      <c r="E24" s="60">
        <f t="shared" si="1"/>
        <v>318362.40000000002</v>
      </c>
      <c r="F24" s="60">
        <f t="shared" si="1"/>
        <v>324729.64799999999</v>
      </c>
    </row>
    <row r="25" spans="1:7" x14ac:dyDescent="0.25">
      <c r="A25" s="24" t="s">
        <v>139</v>
      </c>
      <c r="B25" s="60">
        <f t="shared" si="1"/>
        <v>280000</v>
      </c>
      <c r="C25" s="60">
        <f t="shared" si="1"/>
        <v>571200</v>
      </c>
      <c r="D25" s="60">
        <f t="shared" si="1"/>
        <v>1456560</v>
      </c>
      <c r="E25" s="60">
        <f t="shared" si="1"/>
        <v>2228536.7999999998</v>
      </c>
      <c r="F25" s="60">
        <f t="shared" si="1"/>
        <v>2955039.7967999997</v>
      </c>
    </row>
    <row r="26" spans="1:7" ht="12.6" x14ac:dyDescent="0.25">
      <c r="A26" s="25" t="s">
        <v>133</v>
      </c>
      <c r="B26" s="69">
        <f>SUM(B24:B25)</f>
        <v>330000</v>
      </c>
      <c r="C26" s="69">
        <f t="shared" ref="C26:F26" si="2">SUM(C24:C25)</f>
        <v>698700</v>
      </c>
      <c r="D26" s="69">
        <f t="shared" si="2"/>
        <v>1768680</v>
      </c>
      <c r="E26" s="69">
        <f t="shared" si="2"/>
        <v>2546899.1999999997</v>
      </c>
      <c r="F26" s="69">
        <f t="shared" si="2"/>
        <v>3279769.4447999997</v>
      </c>
    </row>
    <row r="27" spans="1:7" ht="12.6" x14ac:dyDescent="0.25">
      <c r="B27" s="46"/>
      <c r="C27" s="46">
        <f>+(C26-B26)/B26</f>
        <v>1.1172727272727272</v>
      </c>
      <c r="D27" s="46">
        <f t="shared" ref="D27:F27" si="3">+(D26-C26)/C26</f>
        <v>1.5313868613138686</v>
      </c>
      <c r="E27" s="46">
        <f t="shared" si="3"/>
        <v>0.43999999999999984</v>
      </c>
      <c r="F27" s="46">
        <f t="shared" si="3"/>
        <v>0.28775000000000001</v>
      </c>
    </row>
    <row r="28" spans="1:7" ht="12.95" thickBot="1" x14ac:dyDescent="0.3">
      <c r="A28" s="10" t="s">
        <v>74</v>
      </c>
      <c r="B28" s="18"/>
      <c r="C28" s="18"/>
      <c r="D28" s="18"/>
      <c r="E28" s="18"/>
      <c r="F28" s="18"/>
    </row>
    <row r="29" spans="1:7" ht="14.25" thickBot="1" x14ac:dyDescent="0.3">
      <c r="A29" s="47" t="s">
        <v>73</v>
      </c>
      <c r="B29" s="95" t="s">
        <v>14</v>
      </c>
      <c r="C29" s="96" t="s">
        <v>15</v>
      </c>
      <c r="D29" s="96" t="s">
        <v>16</v>
      </c>
      <c r="E29" s="96" t="s">
        <v>20</v>
      </c>
      <c r="F29" s="96" t="s">
        <v>21</v>
      </c>
    </row>
    <row r="30" spans="1:7" x14ac:dyDescent="0.25">
      <c r="A30" s="24" t="s">
        <v>138</v>
      </c>
      <c r="B30" s="52">
        <v>5</v>
      </c>
      <c r="C30" s="52">
        <f t="shared" ref="C30:F31" si="4">B30*(1+C12)</f>
        <v>12.5</v>
      </c>
      <c r="D30" s="52">
        <v>30</v>
      </c>
      <c r="E30" s="52">
        <v>30</v>
      </c>
      <c r="F30" s="52">
        <v>30</v>
      </c>
    </row>
    <row r="31" spans="1:7" x14ac:dyDescent="0.25">
      <c r="A31" s="24" t="s">
        <v>139</v>
      </c>
      <c r="B31" s="52">
        <v>14</v>
      </c>
      <c r="C31" s="52">
        <f t="shared" si="4"/>
        <v>28</v>
      </c>
      <c r="D31" s="52">
        <f t="shared" si="4"/>
        <v>70</v>
      </c>
      <c r="E31" s="52">
        <f t="shared" si="4"/>
        <v>105</v>
      </c>
      <c r="F31" s="52">
        <f t="shared" si="4"/>
        <v>136.5</v>
      </c>
    </row>
    <row r="54" spans="7:7" x14ac:dyDescent="0.25">
      <c r="G54" s="18"/>
    </row>
  </sheetData>
  <mergeCells count="1">
    <mergeCell ref="B7:F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zoomScaleNormal="100" workbookViewId="0">
      <selection activeCell="H16" sqref="H16"/>
    </sheetView>
  </sheetViews>
  <sheetFormatPr baseColWidth="10" defaultColWidth="11.42578125" defaultRowHeight="13.5" x14ac:dyDescent="0.25"/>
  <cols>
    <col min="1" max="1" width="33.7109375" style="11" customWidth="1"/>
    <col min="2" max="2" width="14.28515625" style="11" bestFit="1" customWidth="1"/>
    <col min="3" max="4" width="13.85546875" style="11" bestFit="1" customWidth="1"/>
    <col min="5" max="5" width="14.5703125" style="11" customWidth="1"/>
    <col min="6" max="6" width="14.28515625" style="11" customWidth="1"/>
    <col min="7" max="8" width="11.42578125" style="11"/>
    <col min="9" max="13" width="16.42578125" style="11" bestFit="1" customWidth="1"/>
    <col min="14" max="16384" width="11.42578125" style="11"/>
  </cols>
  <sheetData>
    <row r="2" spans="1:6" ht="12.6" x14ac:dyDescent="0.25">
      <c r="A2" s="28" t="s">
        <v>79</v>
      </c>
    </row>
    <row r="3" spans="1:6" ht="12.6" x14ac:dyDescent="0.25">
      <c r="A3" s="12"/>
    </row>
    <row r="4" spans="1:6" x14ac:dyDescent="0.25">
      <c r="A4" s="29"/>
      <c r="B4" s="39" t="s">
        <v>14</v>
      </c>
      <c r="C4" s="47" t="s">
        <v>15</v>
      </c>
      <c r="D4" s="47" t="s">
        <v>16</v>
      </c>
      <c r="E4" s="47" t="s">
        <v>20</v>
      </c>
      <c r="F4" s="47" t="s">
        <v>21</v>
      </c>
    </row>
    <row r="5" spans="1:6" ht="12.6" x14ac:dyDescent="0.25">
      <c r="A5" s="30" t="s">
        <v>60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</row>
    <row r="6" spans="1:6" ht="12.6" x14ac:dyDescent="0.25">
      <c r="A6" s="20" t="s">
        <v>49</v>
      </c>
      <c r="B6" s="16"/>
      <c r="C6" s="16">
        <f t="shared" ref="C6:F19" si="0">B6*0.03</f>
        <v>0</v>
      </c>
      <c r="D6" s="16">
        <f t="shared" si="0"/>
        <v>0</v>
      </c>
      <c r="E6" s="16">
        <f t="shared" si="0"/>
        <v>0</v>
      </c>
      <c r="F6" s="16">
        <f t="shared" si="0"/>
        <v>0</v>
      </c>
    </row>
    <row r="7" spans="1:6" ht="12.6" x14ac:dyDescent="0.25">
      <c r="A7" s="30" t="s">
        <v>61</v>
      </c>
      <c r="B7" s="16">
        <v>2</v>
      </c>
      <c r="C7" s="16">
        <v>4</v>
      </c>
      <c r="D7" s="16">
        <f t="shared" ref="D7" si="1">C7+1</f>
        <v>5</v>
      </c>
      <c r="E7" s="16">
        <v>7</v>
      </c>
      <c r="F7" s="16">
        <f>E7+3</f>
        <v>10</v>
      </c>
    </row>
    <row r="8" spans="1:6" x14ac:dyDescent="0.25">
      <c r="A8" s="30" t="s">
        <v>102</v>
      </c>
      <c r="B8" s="16"/>
      <c r="C8" s="16">
        <f t="shared" si="0"/>
        <v>0</v>
      </c>
      <c r="D8" s="16">
        <f t="shared" si="0"/>
        <v>0</v>
      </c>
      <c r="E8" s="16">
        <f t="shared" si="0"/>
        <v>0</v>
      </c>
      <c r="F8" s="16">
        <f t="shared" si="0"/>
        <v>0</v>
      </c>
    </row>
    <row r="9" spans="1:6" ht="12.6" x14ac:dyDescent="0.25">
      <c r="A9" s="30" t="s">
        <v>103</v>
      </c>
      <c r="B9" s="16"/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</row>
    <row r="10" spans="1:6" ht="12.6" x14ac:dyDescent="0.25">
      <c r="A10" s="30" t="s">
        <v>51</v>
      </c>
      <c r="B10" s="16">
        <v>1</v>
      </c>
      <c r="C10" s="16">
        <v>3</v>
      </c>
      <c r="D10" s="16">
        <v>3</v>
      </c>
      <c r="E10" s="16">
        <f>D10+2</f>
        <v>5</v>
      </c>
      <c r="F10" s="16">
        <f>E10+2</f>
        <v>7</v>
      </c>
    </row>
    <row r="11" spans="1:6" ht="12.6" x14ac:dyDescent="0.25">
      <c r="A11" s="30" t="s">
        <v>52</v>
      </c>
      <c r="B11" s="16"/>
      <c r="C11" s="16">
        <f t="shared" si="0"/>
        <v>0</v>
      </c>
      <c r="D11" s="16">
        <f t="shared" si="0"/>
        <v>0</v>
      </c>
      <c r="E11" s="16">
        <f t="shared" si="0"/>
        <v>0</v>
      </c>
      <c r="F11" s="16">
        <f t="shared" si="0"/>
        <v>0</v>
      </c>
    </row>
    <row r="12" spans="1:6" ht="12.6" x14ac:dyDescent="0.25">
      <c r="A12" s="30" t="s">
        <v>62</v>
      </c>
      <c r="B12" s="16"/>
      <c r="C12" s="16">
        <f t="shared" si="0"/>
        <v>0</v>
      </c>
      <c r="D12" s="16">
        <f t="shared" si="0"/>
        <v>0</v>
      </c>
      <c r="E12" s="16">
        <f t="shared" si="0"/>
        <v>0</v>
      </c>
      <c r="F12" s="16">
        <f t="shared" si="0"/>
        <v>0</v>
      </c>
    </row>
    <row r="13" spans="1:6" ht="12.6" x14ac:dyDescent="0.25">
      <c r="A13" s="30" t="s">
        <v>104</v>
      </c>
      <c r="B13" s="16"/>
      <c r="C13" s="16">
        <f t="shared" si="0"/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</row>
    <row r="14" spans="1:6" ht="12.6" x14ac:dyDescent="0.25">
      <c r="A14" s="30" t="s">
        <v>105</v>
      </c>
      <c r="B14" s="16"/>
      <c r="C14" s="16">
        <f t="shared" si="0"/>
        <v>0</v>
      </c>
      <c r="D14" s="16">
        <f t="shared" si="0"/>
        <v>0</v>
      </c>
      <c r="E14" s="16">
        <f t="shared" si="0"/>
        <v>0</v>
      </c>
      <c r="F14" s="16">
        <f t="shared" si="0"/>
        <v>0</v>
      </c>
    </row>
    <row r="15" spans="1:6" ht="12.6" x14ac:dyDescent="0.25">
      <c r="A15" s="30" t="s">
        <v>63</v>
      </c>
      <c r="B15" s="16"/>
      <c r="C15" s="16">
        <f t="shared" si="0"/>
        <v>0</v>
      </c>
      <c r="D15" s="16">
        <f t="shared" si="0"/>
        <v>0</v>
      </c>
      <c r="E15" s="16">
        <f t="shared" si="0"/>
        <v>0</v>
      </c>
      <c r="F15" s="16">
        <f t="shared" si="0"/>
        <v>0</v>
      </c>
    </row>
    <row r="16" spans="1:6" ht="12.6" x14ac:dyDescent="0.25">
      <c r="A16" s="30" t="s">
        <v>50</v>
      </c>
      <c r="B16" s="16">
        <v>1</v>
      </c>
      <c r="C16" s="16">
        <v>2</v>
      </c>
      <c r="D16" s="16">
        <f t="shared" ref="D16:F16" si="2">C16+1</f>
        <v>3</v>
      </c>
      <c r="E16" s="16">
        <f t="shared" si="2"/>
        <v>4</v>
      </c>
      <c r="F16" s="16">
        <f t="shared" si="2"/>
        <v>5</v>
      </c>
    </row>
    <row r="17" spans="1:6" x14ac:dyDescent="0.25">
      <c r="A17" s="30" t="s">
        <v>106</v>
      </c>
      <c r="B17" s="16"/>
      <c r="C17" s="16">
        <f t="shared" si="0"/>
        <v>0</v>
      </c>
      <c r="D17" s="16">
        <f t="shared" si="0"/>
        <v>0</v>
      </c>
      <c r="E17" s="16">
        <f t="shared" si="0"/>
        <v>0</v>
      </c>
      <c r="F17" s="16">
        <f t="shared" si="0"/>
        <v>0</v>
      </c>
    </row>
    <row r="18" spans="1:6" x14ac:dyDescent="0.25">
      <c r="A18" s="30" t="s">
        <v>107</v>
      </c>
      <c r="B18" s="16">
        <v>1</v>
      </c>
      <c r="C18" s="16">
        <v>2</v>
      </c>
      <c r="D18" s="16">
        <f>C18+2</f>
        <v>4</v>
      </c>
      <c r="E18" s="16">
        <f>D18+1</f>
        <v>5</v>
      </c>
      <c r="F18" s="16">
        <f>E18+2</f>
        <v>7</v>
      </c>
    </row>
    <row r="19" spans="1:6" x14ac:dyDescent="0.25">
      <c r="A19" s="30" t="s">
        <v>108</v>
      </c>
      <c r="B19" s="16"/>
      <c r="C19" s="16">
        <f t="shared" si="0"/>
        <v>0</v>
      </c>
      <c r="D19" s="16">
        <f t="shared" si="0"/>
        <v>0</v>
      </c>
      <c r="E19" s="16">
        <f t="shared" si="0"/>
        <v>0</v>
      </c>
      <c r="F19" s="16">
        <f t="shared" si="0"/>
        <v>0</v>
      </c>
    </row>
    <row r="20" spans="1:6" x14ac:dyDescent="0.25">
      <c r="A20" s="29" t="s">
        <v>0</v>
      </c>
      <c r="B20" s="17">
        <f>SUM(B5:B19)</f>
        <v>6</v>
      </c>
      <c r="C20" s="17">
        <f>SUM(C5:C19)</f>
        <v>12</v>
      </c>
      <c r="D20" s="17">
        <f>SUM(D5:D19)</f>
        <v>16</v>
      </c>
      <c r="E20" s="17">
        <f>SUM(E5:E19)</f>
        <v>22</v>
      </c>
      <c r="F20" s="17">
        <f>SUM(F5:F19)</f>
        <v>30</v>
      </c>
    </row>
    <row r="22" spans="1:6" x14ac:dyDescent="0.25">
      <c r="A22" s="28" t="s">
        <v>86</v>
      </c>
    </row>
    <row r="24" spans="1:6" ht="15" x14ac:dyDescent="0.25">
      <c r="A24" s="6" t="s">
        <v>76</v>
      </c>
      <c r="B24" s="14" t="str">
        <f>+B4</f>
        <v>Année 1</v>
      </c>
      <c r="C24" s="14" t="str">
        <f>+C4</f>
        <v>Année 2</v>
      </c>
      <c r="D24" s="14" t="str">
        <f>+D4</f>
        <v>Année 3</v>
      </c>
      <c r="E24" s="47" t="str">
        <f>+E4</f>
        <v>Année 4</v>
      </c>
      <c r="F24" s="47" t="str">
        <f>+F4</f>
        <v>Année 5</v>
      </c>
    </row>
    <row r="25" spans="1:6" x14ac:dyDescent="0.25">
      <c r="A25" s="30" t="s">
        <v>60</v>
      </c>
      <c r="B25" s="54">
        <v>2000</v>
      </c>
      <c r="C25" s="54">
        <f t="shared" ref="C25:F31" si="3">+B25*(1+$B$63)</f>
        <v>2160</v>
      </c>
      <c r="D25" s="54">
        <f t="shared" si="3"/>
        <v>2332.8000000000002</v>
      </c>
      <c r="E25" s="54">
        <f t="shared" si="3"/>
        <v>2519.4240000000004</v>
      </c>
      <c r="F25" s="54">
        <f t="shared" si="3"/>
        <v>2720.9779200000007</v>
      </c>
    </row>
    <row r="26" spans="1:6" x14ac:dyDescent="0.25">
      <c r="A26" s="20" t="s">
        <v>49</v>
      </c>
      <c r="B26" s="54"/>
      <c r="C26" s="54">
        <f t="shared" si="3"/>
        <v>0</v>
      </c>
      <c r="D26" s="54">
        <f t="shared" si="3"/>
        <v>0</v>
      </c>
      <c r="E26" s="54">
        <f t="shared" si="3"/>
        <v>0</v>
      </c>
      <c r="F26" s="54">
        <f t="shared" si="3"/>
        <v>0</v>
      </c>
    </row>
    <row r="27" spans="1:6" x14ac:dyDescent="0.25">
      <c r="A27" s="30" t="s">
        <v>61</v>
      </c>
      <c r="B27" s="54">
        <v>1200</v>
      </c>
      <c r="C27" s="54">
        <f t="shared" si="3"/>
        <v>1296</v>
      </c>
      <c r="D27" s="54">
        <f t="shared" si="3"/>
        <v>1399.68</v>
      </c>
      <c r="E27" s="54">
        <f t="shared" si="3"/>
        <v>1511.6544000000001</v>
      </c>
      <c r="F27" s="54">
        <f t="shared" si="3"/>
        <v>1632.5867520000002</v>
      </c>
    </row>
    <row r="28" spans="1:6" x14ac:dyDescent="0.25">
      <c r="A28" s="30" t="s">
        <v>102</v>
      </c>
      <c r="B28" s="54"/>
      <c r="C28" s="54">
        <f t="shared" si="3"/>
        <v>0</v>
      </c>
      <c r="D28" s="54">
        <f t="shared" si="3"/>
        <v>0</v>
      </c>
      <c r="E28" s="54">
        <f t="shared" si="3"/>
        <v>0</v>
      </c>
      <c r="F28" s="54">
        <f t="shared" si="3"/>
        <v>0</v>
      </c>
    </row>
    <row r="29" spans="1:6" x14ac:dyDescent="0.25">
      <c r="A29" s="30" t="s">
        <v>103</v>
      </c>
      <c r="B29" s="54"/>
      <c r="C29" s="54">
        <f t="shared" si="3"/>
        <v>0</v>
      </c>
      <c r="D29" s="54">
        <f t="shared" si="3"/>
        <v>0</v>
      </c>
      <c r="E29" s="54">
        <f t="shared" si="3"/>
        <v>0</v>
      </c>
      <c r="F29" s="54">
        <f t="shared" si="3"/>
        <v>0</v>
      </c>
    </row>
    <row r="30" spans="1:6" x14ac:dyDescent="0.25">
      <c r="A30" s="30" t="s">
        <v>51</v>
      </c>
      <c r="B30" s="54">
        <v>800</v>
      </c>
      <c r="C30" s="54">
        <v>800</v>
      </c>
      <c r="D30" s="54">
        <f t="shared" si="3"/>
        <v>864</v>
      </c>
      <c r="E30" s="54">
        <f t="shared" si="3"/>
        <v>933.12000000000012</v>
      </c>
      <c r="F30" s="54">
        <f t="shared" si="3"/>
        <v>1007.7696000000002</v>
      </c>
    </row>
    <row r="31" spans="1:6" x14ac:dyDescent="0.25">
      <c r="A31" s="30" t="s">
        <v>52</v>
      </c>
      <c r="B31" s="54"/>
      <c r="C31" s="54">
        <f t="shared" si="3"/>
        <v>0</v>
      </c>
      <c r="D31" s="54">
        <f t="shared" si="3"/>
        <v>0</v>
      </c>
      <c r="E31" s="54">
        <f t="shared" si="3"/>
        <v>0</v>
      </c>
      <c r="F31" s="54">
        <f t="shared" si="3"/>
        <v>0</v>
      </c>
    </row>
    <row r="32" spans="1:6" x14ac:dyDescent="0.25">
      <c r="A32" s="30" t="s">
        <v>62</v>
      </c>
      <c r="B32" s="54"/>
      <c r="C32" s="54"/>
      <c r="D32" s="54"/>
      <c r="E32" s="54"/>
      <c r="F32" s="54"/>
    </row>
    <row r="33" spans="1:6" x14ac:dyDescent="0.25">
      <c r="A33" s="30" t="s">
        <v>104</v>
      </c>
      <c r="B33" s="54"/>
      <c r="C33" s="54">
        <f t="shared" ref="C33:F39" si="4">+B33*(1+$B$63)</f>
        <v>0</v>
      </c>
      <c r="D33" s="54">
        <f t="shared" si="4"/>
        <v>0</v>
      </c>
      <c r="E33" s="54">
        <f t="shared" si="4"/>
        <v>0</v>
      </c>
      <c r="F33" s="54">
        <f t="shared" si="4"/>
        <v>0</v>
      </c>
    </row>
    <row r="34" spans="1:6" x14ac:dyDescent="0.25">
      <c r="A34" s="30" t="s">
        <v>105</v>
      </c>
      <c r="B34" s="54"/>
      <c r="C34" s="54">
        <f t="shared" si="4"/>
        <v>0</v>
      </c>
      <c r="D34" s="54">
        <f t="shared" si="4"/>
        <v>0</v>
      </c>
      <c r="E34" s="54">
        <f t="shared" si="4"/>
        <v>0</v>
      </c>
      <c r="F34" s="54">
        <f t="shared" si="4"/>
        <v>0</v>
      </c>
    </row>
    <row r="35" spans="1:6" x14ac:dyDescent="0.25">
      <c r="A35" s="30" t="s">
        <v>63</v>
      </c>
      <c r="B35" s="54"/>
      <c r="C35" s="54">
        <f t="shared" si="4"/>
        <v>0</v>
      </c>
      <c r="D35" s="54">
        <f t="shared" si="4"/>
        <v>0</v>
      </c>
      <c r="E35" s="54">
        <f t="shared" si="4"/>
        <v>0</v>
      </c>
      <c r="F35" s="54">
        <f t="shared" si="4"/>
        <v>0</v>
      </c>
    </row>
    <row r="36" spans="1:6" x14ac:dyDescent="0.25">
      <c r="A36" s="30" t="s">
        <v>50</v>
      </c>
      <c r="B36" s="54">
        <v>800</v>
      </c>
      <c r="C36" s="54">
        <f t="shared" si="4"/>
        <v>864</v>
      </c>
      <c r="D36" s="54">
        <f t="shared" si="4"/>
        <v>933.12000000000012</v>
      </c>
      <c r="E36" s="54">
        <f t="shared" si="4"/>
        <v>1007.7696000000002</v>
      </c>
      <c r="F36" s="54">
        <f t="shared" si="4"/>
        <v>1088.3911680000003</v>
      </c>
    </row>
    <row r="37" spans="1:6" x14ac:dyDescent="0.25">
      <c r="A37" s="30" t="s">
        <v>106</v>
      </c>
      <c r="B37" s="54"/>
      <c r="C37" s="54">
        <f t="shared" si="4"/>
        <v>0</v>
      </c>
      <c r="D37" s="54">
        <f t="shared" si="4"/>
        <v>0</v>
      </c>
      <c r="E37" s="54">
        <f t="shared" si="4"/>
        <v>0</v>
      </c>
      <c r="F37" s="54">
        <f t="shared" si="4"/>
        <v>0</v>
      </c>
    </row>
    <row r="38" spans="1:6" x14ac:dyDescent="0.25">
      <c r="A38" s="30" t="s">
        <v>107</v>
      </c>
      <c r="B38" s="54">
        <v>700</v>
      </c>
      <c r="C38" s="54">
        <f t="shared" si="4"/>
        <v>756</v>
      </c>
      <c r="D38" s="54">
        <f t="shared" si="4"/>
        <v>816.48</v>
      </c>
      <c r="E38" s="54">
        <f t="shared" si="4"/>
        <v>881.79840000000013</v>
      </c>
      <c r="F38" s="54">
        <f t="shared" si="4"/>
        <v>952.34227200000021</v>
      </c>
    </row>
    <row r="39" spans="1:6" x14ac:dyDescent="0.25">
      <c r="A39" s="30" t="s">
        <v>108</v>
      </c>
      <c r="B39" s="54"/>
      <c r="C39" s="54">
        <f t="shared" si="4"/>
        <v>0</v>
      </c>
      <c r="D39" s="54">
        <f t="shared" si="4"/>
        <v>0</v>
      </c>
      <c r="E39" s="54">
        <f t="shared" si="4"/>
        <v>0</v>
      </c>
      <c r="F39" s="54">
        <f t="shared" si="4"/>
        <v>0</v>
      </c>
    </row>
    <row r="40" spans="1:6" x14ac:dyDescent="0.25">
      <c r="A40" s="48"/>
      <c r="B40" s="23"/>
      <c r="C40" s="23"/>
      <c r="D40" s="23"/>
      <c r="E40" s="23"/>
      <c r="F40" s="23"/>
    </row>
    <row r="41" spans="1:6" x14ac:dyDescent="0.25">
      <c r="A41" s="28" t="s">
        <v>79</v>
      </c>
      <c r="B41" s="23"/>
      <c r="C41" s="23"/>
      <c r="D41" s="23"/>
      <c r="E41" s="23"/>
      <c r="F41" s="23"/>
    </row>
    <row r="42" spans="1:6" ht="14.25" thickBot="1" x14ac:dyDescent="0.3">
      <c r="A42" s="48"/>
      <c r="B42" s="23"/>
      <c r="C42" s="23"/>
      <c r="D42" s="23"/>
      <c r="E42" s="23"/>
      <c r="F42" s="23"/>
    </row>
    <row r="43" spans="1:6" ht="15.75" thickBot="1" x14ac:dyDescent="0.3">
      <c r="A43" s="6" t="s">
        <v>75</v>
      </c>
      <c r="B43" s="95" t="s">
        <v>14</v>
      </c>
      <c r="C43" s="96" t="s">
        <v>15</v>
      </c>
      <c r="D43" s="96" t="s">
        <v>16</v>
      </c>
      <c r="E43" s="96" t="s">
        <v>20</v>
      </c>
      <c r="F43" s="96" t="s">
        <v>21</v>
      </c>
    </row>
    <row r="44" spans="1:6" x14ac:dyDescent="0.25">
      <c r="A44" s="30" t="s">
        <v>60</v>
      </c>
      <c r="B44" s="16">
        <f>ROUND(B5*B25*12,0)</f>
        <v>24000</v>
      </c>
      <c r="C44" s="16">
        <f t="shared" ref="C44:F44" si="5">ROUND(C5*C25*12,0)</f>
        <v>25920</v>
      </c>
      <c r="D44" s="16">
        <f t="shared" si="5"/>
        <v>27994</v>
      </c>
      <c r="E44" s="16">
        <f t="shared" si="5"/>
        <v>30233</v>
      </c>
      <c r="F44" s="16">
        <f t="shared" si="5"/>
        <v>32652</v>
      </c>
    </row>
    <row r="45" spans="1:6" x14ac:dyDescent="0.25">
      <c r="A45" s="20" t="s">
        <v>49</v>
      </c>
      <c r="B45" s="16">
        <f t="shared" ref="B45:F45" si="6">ROUND(B6*B26*12,0)</f>
        <v>0</v>
      </c>
      <c r="C45" s="16">
        <f t="shared" si="6"/>
        <v>0</v>
      </c>
      <c r="D45" s="16">
        <f t="shared" si="6"/>
        <v>0</v>
      </c>
      <c r="E45" s="16">
        <f t="shared" si="6"/>
        <v>0</v>
      </c>
      <c r="F45" s="16">
        <f t="shared" si="6"/>
        <v>0</v>
      </c>
    </row>
    <row r="46" spans="1:6" x14ac:dyDescent="0.25">
      <c r="A46" s="30" t="s">
        <v>61</v>
      </c>
      <c r="B46" s="16">
        <f t="shared" ref="B46:F46" si="7">ROUND(B7*B27*12,0)</f>
        <v>28800</v>
      </c>
      <c r="C46" s="16">
        <f t="shared" si="7"/>
        <v>62208</v>
      </c>
      <c r="D46" s="16">
        <f t="shared" si="7"/>
        <v>83981</v>
      </c>
      <c r="E46" s="16">
        <f t="shared" si="7"/>
        <v>126979</v>
      </c>
      <c r="F46" s="16">
        <f t="shared" si="7"/>
        <v>195910</v>
      </c>
    </row>
    <row r="47" spans="1:6" x14ac:dyDescent="0.25">
      <c r="A47" s="30" t="s">
        <v>102</v>
      </c>
      <c r="B47" s="16">
        <f t="shared" ref="B47:F47" si="8">ROUND(B8*B28*12,0)</f>
        <v>0</v>
      </c>
      <c r="C47" s="16">
        <f t="shared" si="8"/>
        <v>0</v>
      </c>
      <c r="D47" s="16">
        <f t="shared" si="8"/>
        <v>0</v>
      </c>
      <c r="E47" s="16">
        <f t="shared" si="8"/>
        <v>0</v>
      </c>
      <c r="F47" s="16">
        <f t="shared" si="8"/>
        <v>0</v>
      </c>
    </row>
    <row r="48" spans="1:6" x14ac:dyDescent="0.25">
      <c r="A48" s="30" t="s">
        <v>103</v>
      </c>
      <c r="B48" s="16">
        <f t="shared" ref="B48:F48" si="9">ROUND(B9*B29*12,0)</f>
        <v>0</v>
      </c>
      <c r="C48" s="16">
        <f t="shared" si="9"/>
        <v>0</v>
      </c>
      <c r="D48" s="16">
        <f t="shared" si="9"/>
        <v>0</v>
      </c>
      <c r="E48" s="16">
        <f t="shared" si="9"/>
        <v>0</v>
      </c>
      <c r="F48" s="16">
        <f t="shared" si="9"/>
        <v>0</v>
      </c>
    </row>
    <row r="49" spans="1:6" x14ac:dyDescent="0.25">
      <c r="A49" s="30" t="s">
        <v>51</v>
      </c>
      <c r="B49" s="16">
        <f t="shared" ref="B49:F49" si="10">ROUND(B10*B30*12,0)</f>
        <v>9600</v>
      </c>
      <c r="C49" s="16">
        <f t="shared" si="10"/>
        <v>28800</v>
      </c>
      <c r="D49" s="16">
        <f t="shared" si="10"/>
        <v>31104</v>
      </c>
      <c r="E49" s="16">
        <f t="shared" si="10"/>
        <v>55987</v>
      </c>
      <c r="F49" s="16">
        <f t="shared" si="10"/>
        <v>84653</v>
      </c>
    </row>
    <row r="50" spans="1:6" x14ac:dyDescent="0.25">
      <c r="A50" s="30" t="s">
        <v>52</v>
      </c>
      <c r="B50" s="16">
        <f t="shared" ref="B50:F51" si="11">ROUND(B11*B31*12,0)</f>
        <v>0</v>
      </c>
      <c r="C50" s="16">
        <f t="shared" si="11"/>
        <v>0</v>
      </c>
      <c r="D50" s="16">
        <f t="shared" si="11"/>
        <v>0</v>
      </c>
      <c r="E50" s="16">
        <f t="shared" si="11"/>
        <v>0</v>
      </c>
      <c r="F50" s="16">
        <f t="shared" si="11"/>
        <v>0</v>
      </c>
    </row>
    <row r="51" spans="1:6" x14ac:dyDescent="0.25">
      <c r="A51" s="30" t="s">
        <v>62</v>
      </c>
      <c r="B51" s="16">
        <f t="shared" si="11"/>
        <v>0</v>
      </c>
      <c r="C51" s="16">
        <f t="shared" si="11"/>
        <v>0</v>
      </c>
      <c r="D51" s="16">
        <f t="shared" si="11"/>
        <v>0</v>
      </c>
      <c r="E51" s="16">
        <f t="shared" si="11"/>
        <v>0</v>
      </c>
      <c r="F51" s="16">
        <f t="shared" si="11"/>
        <v>0</v>
      </c>
    </row>
    <row r="52" spans="1:6" x14ac:dyDescent="0.25">
      <c r="A52" s="30" t="s">
        <v>104</v>
      </c>
      <c r="B52" s="16">
        <f t="shared" ref="B52:F52" si="12">ROUND(B13*B33*12,0)</f>
        <v>0</v>
      </c>
      <c r="C52" s="16">
        <f t="shared" si="12"/>
        <v>0</v>
      </c>
      <c r="D52" s="16">
        <f t="shared" si="12"/>
        <v>0</v>
      </c>
      <c r="E52" s="16">
        <f t="shared" si="12"/>
        <v>0</v>
      </c>
      <c r="F52" s="16">
        <f t="shared" si="12"/>
        <v>0</v>
      </c>
    </row>
    <row r="53" spans="1:6" x14ac:dyDescent="0.25">
      <c r="A53" s="30" t="s">
        <v>105</v>
      </c>
      <c r="B53" s="16">
        <f t="shared" ref="B53:F53" si="13">ROUND(B14*B34*12,0)</f>
        <v>0</v>
      </c>
      <c r="C53" s="16">
        <f t="shared" si="13"/>
        <v>0</v>
      </c>
      <c r="D53" s="16">
        <f t="shared" si="13"/>
        <v>0</v>
      </c>
      <c r="E53" s="16">
        <f t="shared" si="13"/>
        <v>0</v>
      </c>
      <c r="F53" s="16">
        <f t="shared" si="13"/>
        <v>0</v>
      </c>
    </row>
    <row r="54" spans="1:6" x14ac:dyDescent="0.25">
      <c r="A54" s="30" t="s">
        <v>63</v>
      </c>
      <c r="B54" s="16">
        <f t="shared" ref="B54:F54" si="14">ROUND(B15*B35*12,0)</f>
        <v>0</v>
      </c>
      <c r="C54" s="16">
        <f t="shared" si="14"/>
        <v>0</v>
      </c>
      <c r="D54" s="16">
        <f t="shared" si="14"/>
        <v>0</v>
      </c>
      <c r="E54" s="16">
        <f t="shared" si="14"/>
        <v>0</v>
      </c>
      <c r="F54" s="16">
        <f t="shared" si="14"/>
        <v>0</v>
      </c>
    </row>
    <row r="55" spans="1:6" x14ac:dyDescent="0.25">
      <c r="A55" s="30" t="s">
        <v>50</v>
      </c>
      <c r="B55" s="16">
        <f t="shared" ref="B55:F55" si="15">ROUND(B16*B36*12,0)</f>
        <v>9600</v>
      </c>
      <c r="C55" s="16">
        <f t="shared" si="15"/>
        <v>20736</v>
      </c>
      <c r="D55" s="16">
        <f t="shared" si="15"/>
        <v>33592</v>
      </c>
      <c r="E55" s="16">
        <f t="shared" si="15"/>
        <v>48373</v>
      </c>
      <c r="F55" s="16">
        <f t="shared" si="15"/>
        <v>65303</v>
      </c>
    </row>
    <row r="56" spans="1:6" x14ac:dyDescent="0.25">
      <c r="A56" s="30" t="s">
        <v>106</v>
      </c>
      <c r="B56" s="16">
        <f t="shared" ref="B56:F56" si="16">ROUND(B17*B37*12,0)</f>
        <v>0</v>
      </c>
      <c r="C56" s="16">
        <f t="shared" si="16"/>
        <v>0</v>
      </c>
      <c r="D56" s="16">
        <f t="shared" si="16"/>
        <v>0</v>
      </c>
      <c r="E56" s="16">
        <f t="shared" si="16"/>
        <v>0</v>
      </c>
      <c r="F56" s="16">
        <f t="shared" si="16"/>
        <v>0</v>
      </c>
    </row>
    <row r="57" spans="1:6" x14ac:dyDescent="0.25">
      <c r="A57" s="30" t="s">
        <v>107</v>
      </c>
      <c r="B57" s="16">
        <f t="shared" ref="B57:F57" si="17">ROUND(B18*B38*12,0)</f>
        <v>8400</v>
      </c>
      <c r="C57" s="16">
        <f t="shared" si="17"/>
        <v>18144</v>
      </c>
      <c r="D57" s="16">
        <f t="shared" si="17"/>
        <v>39191</v>
      </c>
      <c r="E57" s="16">
        <f t="shared" si="17"/>
        <v>52908</v>
      </c>
      <c r="F57" s="16">
        <f t="shared" si="17"/>
        <v>79997</v>
      </c>
    </row>
    <row r="58" spans="1:6" x14ac:dyDescent="0.25">
      <c r="A58" s="30" t="s">
        <v>108</v>
      </c>
      <c r="B58" s="16">
        <f t="shared" ref="B58:F58" si="18">ROUND(B19*B39*12,0)</f>
        <v>0</v>
      </c>
      <c r="C58" s="16">
        <f t="shared" si="18"/>
        <v>0</v>
      </c>
      <c r="D58" s="16">
        <f t="shared" si="18"/>
        <v>0</v>
      </c>
      <c r="E58" s="16">
        <f t="shared" si="18"/>
        <v>0</v>
      </c>
      <c r="F58" s="16">
        <f t="shared" si="18"/>
        <v>0</v>
      </c>
    </row>
    <row r="59" spans="1:6" x14ac:dyDescent="0.25">
      <c r="A59" s="57" t="s">
        <v>85</v>
      </c>
      <c r="B59" s="32">
        <f>SUM(B44:B58)</f>
        <v>80400</v>
      </c>
      <c r="C59" s="32">
        <f>SUM(C44:C58)</f>
        <v>155808</v>
      </c>
      <c r="D59" s="32">
        <f>SUM(D44:D58)</f>
        <v>215862</v>
      </c>
      <c r="E59" s="32">
        <f>SUM(E44:E58)</f>
        <v>314480</v>
      </c>
      <c r="F59" s="32">
        <f>SUM(F44:F58)</f>
        <v>458515</v>
      </c>
    </row>
    <row r="60" spans="1:6" x14ac:dyDescent="0.25">
      <c r="A60" s="94" t="s">
        <v>84</v>
      </c>
      <c r="B60" s="55">
        <f>+B59*0.5</f>
        <v>40200</v>
      </c>
      <c r="C60" s="55">
        <f t="shared" ref="C60:F60" si="19">+C59*0.5</f>
        <v>77904</v>
      </c>
      <c r="D60" s="55">
        <f t="shared" si="19"/>
        <v>107931</v>
      </c>
      <c r="E60" s="55">
        <f t="shared" si="19"/>
        <v>157240</v>
      </c>
      <c r="F60" s="55">
        <f t="shared" si="19"/>
        <v>229257.5</v>
      </c>
    </row>
    <row r="61" spans="1:6" x14ac:dyDescent="0.25">
      <c r="A61" s="31" t="s">
        <v>0</v>
      </c>
      <c r="B61" s="32">
        <f>+B59+B60</f>
        <v>120600</v>
      </c>
      <c r="C61" s="32">
        <f t="shared" ref="C61:F61" si="20">+C59+C60</f>
        <v>233712</v>
      </c>
      <c r="D61" s="32">
        <f t="shared" si="20"/>
        <v>323793</v>
      </c>
      <c r="E61" s="32">
        <f t="shared" si="20"/>
        <v>471720</v>
      </c>
      <c r="F61" s="32">
        <f t="shared" si="20"/>
        <v>687772.5</v>
      </c>
    </row>
    <row r="63" spans="1:6" x14ac:dyDescent="0.25">
      <c r="A63" s="21" t="s">
        <v>83</v>
      </c>
      <c r="B63" s="22">
        <v>0.08</v>
      </c>
      <c r="E63" s="53"/>
    </row>
    <row r="66" spans="1:6" ht="15" x14ac:dyDescent="0.25">
      <c r="A66" s="6" t="s">
        <v>76</v>
      </c>
      <c r="B66" s="32" t="str">
        <f>+B43</f>
        <v>Année 1</v>
      </c>
      <c r="C66" s="32" t="str">
        <f>+C43</f>
        <v>Année 2</v>
      </c>
      <c r="D66" s="32" t="str">
        <f>+D43</f>
        <v>Année 3</v>
      </c>
      <c r="E66" s="32" t="str">
        <f>+E43</f>
        <v>Année 4</v>
      </c>
      <c r="F66" s="32" t="str">
        <f>+F43</f>
        <v>Année 5</v>
      </c>
    </row>
    <row r="67" spans="1:6" x14ac:dyDescent="0.25">
      <c r="A67" s="24" t="s">
        <v>80</v>
      </c>
      <c r="B67" s="16">
        <f>+SUM(B44:B47)*1.5</f>
        <v>79200</v>
      </c>
      <c r="C67" s="16">
        <f t="shared" ref="C67:F67" si="21">+SUM(C44:C50)*1.5</f>
        <v>175392</v>
      </c>
      <c r="D67" s="16">
        <f t="shared" si="21"/>
        <v>214618.5</v>
      </c>
      <c r="E67" s="16">
        <f t="shared" si="21"/>
        <v>319798.5</v>
      </c>
      <c r="F67" s="16">
        <f t="shared" si="21"/>
        <v>469822.5</v>
      </c>
    </row>
    <row r="68" spans="1:6" x14ac:dyDescent="0.25">
      <c r="A68" s="24" t="s">
        <v>81</v>
      </c>
      <c r="B68" s="16">
        <f>+SUM(B48:B50)*1.5</f>
        <v>14400</v>
      </c>
      <c r="C68" s="16">
        <f t="shared" ref="C68:F68" si="22">+SUM(C48:C50)*1.5</f>
        <v>43200</v>
      </c>
      <c r="D68" s="16">
        <f t="shared" si="22"/>
        <v>46656</v>
      </c>
      <c r="E68" s="16">
        <f t="shared" si="22"/>
        <v>83980.5</v>
      </c>
      <c r="F68" s="16">
        <f t="shared" si="22"/>
        <v>126979.5</v>
      </c>
    </row>
    <row r="69" spans="1:6" x14ac:dyDescent="0.25">
      <c r="A69" s="24" t="s">
        <v>82</v>
      </c>
      <c r="B69" s="16">
        <f>+SUM(B52:B56)*1.5</f>
        <v>14400</v>
      </c>
      <c r="C69" s="16">
        <f t="shared" ref="C69:F69" si="23">+SUM(C52:C56)*1.5</f>
        <v>31104</v>
      </c>
      <c r="D69" s="16">
        <f t="shared" si="23"/>
        <v>50388</v>
      </c>
      <c r="E69" s="16">
        <f t="shared" si="23"/>
        <v>72559.5</v>
      </c>
      <c r="F69" s="16">
        <f t="shared" si="23"/>
        <v>97954.5</v>
      </c>
    </row>
    <row r="70" spans="1:6" x14ac:dyDescent="0.25">
      <c r="A70" s="24" t="s">
        <v>64</v>
      </c>
      <c r="B70" s="16">
        <f>+SUM(B57:B58)*1.5</f>
        <v>12600</v>
      </c>
      <c r="C70" s="16">
        <f t="shared" ref="C70:F70" si="24">+SUM(C57:C58)*1.5</f>
        <v>27216</v>
      </c>
      <c r="D70" s="16">
        <f t="shared" si="24"/>
        <v>58786.5</v>
      </c>
      <c r="E70" s="16">
        <f t="shared" si="24"/>
        <v>79362</v>
      </c>
      <c r="F70" s="16">
        <f t="shared" si="24"/>
        <v>119995.5</v>
      </c>
    </row>
    <row r="71" spans="1:6" x14ac:dyDescent="0.25">
      <c r="A71" s="25" t="s">
        <v>0</v>
      </c>
      <c r="B71" s="45">
        <f>SUM(B67:B70)</f>
        <v>120600</v>
      </c>
      <c r="C71" s="45">
        <f>SUM(C67:C70)</f>
        <v>276912</v>
      </c>
      <c r="D71" s="45">
        <f>SUM(D67:D70)</f>
        <v>370449</v>
      </c>
      <c r="E71" s="45">
        <f>SUM(E67:E70)</f>
        <v>555700.5</v>
      </c>
      <c r="F71" s="45">
        <f>SUM(F67:F70)</f>
        <v>814752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zoomScaleNormal="100" workbookViewId="0">
      <selection activeCell="B27" sqref="B27"/>
    </sheetView>
  </sheetViews>
  <sheetFormatPr baseColWidth="10" defaultColWidth="11.42578125" defaultRowHeight="13.5" x14ac:dyDescent="0.25"/>
  <cols>
    <col min="1" max="1" width="43.28515625" style="11" customWidth="1"/>
    <col min="2" max="2" width="30.28515625" style="11" customWidth="1"/>
    <col min="3" max="3" width="16" style="11" bestFit="1" customWidth="1"/>
    <col min="4" max="4" width="22.42578125" style="11" customWidth="1"/>
    <col min="5" max="5" width="12.42578125" style="11" bestFit="1" customWidth="1"/>
    <col min="6" max="6" width="13.28515625" style="11" bestFit="1" customWidth="1"/>
    <col min="7" max="9" width="12.42578125" style="11" bestFit="1" customWidth="1"/>
    <col min="10" max="16384" width="11.42578125" style="11"/>
  </cols>
  <sheetData>
    <row r="1" spans="1:7" ht="13.15" customHeight="1" x14ac:dyDescent="0.25">
      <c r="A1" s="28" t="s">
        <v>87</v>
      </c>
    </row>
    <row r="2" spans="1:7" ht="12.95" thickBot="1" x14ac:dyDescent="0.3"/>
    <row r="3" spans="1:7" ht="13.15" customHeight="1" thickBot="1" x14ac:dyDescent="0.3">
      <c r="A3" s="24"/>
      <c r="B3" s="95" t="s">
        <v>14</v>
      </c>
      <c r="C3" s="96" t="s">
        <v>15</v>
      </c>
      <c r="D3" s="96" t="s">
        <v>16</v>
      </c>
      <c r="E3" s="96" t="s">
        <v>20</v>
      </c>
      <c r="F3" s="96" t="s">
        <v>21</v>
      </c>
    </row>
    <row r="4" spans="1:7" ht="12.6" x14ac:dyDescent="0.25">
      <c r="A4" s="24"/>
      <c r="B4" s="84"/>
      <c r="C4" s="84"/>
      <c r="D4" s="84"/>
      <c r="E4" s="84"/>
      <c r="F4" s="84"/>
    </row>
    <row r="5" spans="1:7" ht="12.6" x14ac:dyDescent="0.25">
      <c r="A5" s="24"/>
      <c r="B5" s="84"/>
      <c r="C5" s="84"/>
      <c r="D5" s="84"/>
      <c r="E5" s="84"/>
      <c r="F5" s="84"/>
    </row>
    <row r="6" spans="1:7" ht="12.6" x14ac:dyDescent="0.25">
      <c r="A6" s="24"/>
      <c r="B6" s="24"/>
      <c r="C6" s="79"/>
      <c r="D6" s="79"/>
      <c r="E6" s="79"/>
      <c r="F6" s="79"/>
    </row>
    <row r="8" spans="1:7" ht="14.25" customHeight="1" x14ac:dyDescent="0.25">
      <c r="A8" s="77" t="s">
        <v>47</v>
      </c>
      <c r="B8" s="129">
        <f>+CA!B7</f>
        <v>0.02</v>
      </c>
      <c r="C8" s="130"/>
      <c r="D8" s="130"/>
      <c r="E8" s="130"/>
      <c r="F8" s="130"/>
      <c r="G8" s="78"/>
    </row>
    <row r="9" spans="1:7" ht="12.95" thickBot="1" x14ac:dyDescent="0.3"/>
    <row r="10" spans="1:7" ht="14.25" thickBot="1" x14ac:dyDescent="0.3">
      <c r="A10" s="28" t="s">
        <v>88</v>
      </c>
      <c r="B10" s="95" t="s">
        <v>14</v>
      </c>
      <c r="C10" s="96" t="s">
        <v>15</v>
      </c>
      <c r="D10" s="96" t="s">
        <v>16</v>
      </c>
      <c r="E10" s="96" t="s">
        <v>20</v>
      </c>
      <c r="F10" s="96" t="s">
        <v>21</v>
      </c>
    </row>
    <row r="11" spans="1:7" ht="12.6" x14ac:dyDescent="0.25">
      <c r="A11" s="24"/>
      <c r="B11" s="84"/>
      <c r="C11" s="84"/>
      <c r="D11" s="84"/>
      <c r="E11" s="84"/>
      <c r="F11" s="84"/>
    </row>
    <row r="12" spans="1:7" ht="12.6" x14ac:dyDescent="0.25">
      <c r="A12" s="24"/>
      <c r="B12" s="84"/>
      <c r="C12" s="84"/>
      <c r="D12" s="84"/>
      <c r="E12" s="84"/>
      <c r="F12" s="84"/>
    </row>
    <row r="13" spans="1:7" ht="12.6" x14ac:dyDescent="0.25">
      <c r="A13" s="24"/>
      <c r="B13" s="91"/>
      <c r="C13" s="91"/>
      <c r="D13" s="91"/>
      <c r="E13" s="91"/>
      <c r="F13" s="91"/>
    </row>
    <row r="14" spans="1:7" ht="12.6" x14ac:dyDescent="0.25">
      <c r="A14" s="24" t="s">
        <v>0</v>
      </c>
      <c r="B14" s="84"/>
      <c r="C14" s="84"/>
      <c r="D14" s="84"/>
      <c r="E14" s="84"/>
      <c r="F14" s="84"/>
    </row>
    <row r="15" spans="1:7" ht="12.6" x14ac:dyDescent="0.25">
      <c r="B15" s="92"/>
    </row>
    <row r="17" spans="1:9" ht="12.6" x14ac:dyDescent="0.25">
      <c r="A17" s="28" t="s">
        <v>89</v>
      </c>
    </row>
    <row r="19" spans="1:9" ht="14.25" thickBot="1" x14ac:dyDescent="0.3">
      <c r="A19" s="49" t="s">
        <v>76</v>
      </c>
      <c r="B19" s="127" t="s">
        <v>7</v>
      </c>
      <c r="C19" s="128"/>
      <c r="D19" s="49" t="s">
        <v>1</v>
      </c>
      <c r="E19" s="39" t="s">
        <v>14</v>
      </c>
      <c r="F19" s="39" t="s">
        <v>15</v>
      </c>
      <c r="G19" s="39" t="s">
        <v>16</v>
      </c>
      <c r="H19" s="47" t="s">
        <v>20</v>
      </c>
      <c r="I19" s="47" t="s">
        <v>21</v>
      </c>
    </row>
    <row r="20" spans="1:9" ht="13.15" customHeight="1" thickBot="1" x14ac:dyDescent="0.3">
      <c r="A20" s="97" t="s">
        <v>90</v>
      </c>
      <c r="B20" s="16">
        <v>3000</v>
      </c>
      <c r="C20" s="97" t="s">
        <v>100</v>
      </c>
      <c r="D20" s="26">
        <v>0.05</v>
      </c>
      <c r="E20" s="85">
        <f>+B20</f>
        <v>3000</v>
      </c>
      <c r="F20" s="85">
        <f t="shared" ref="F20:G25" si="0">ROUND(E20*(1+$D20),0)</f>
        <v>3150</v>
      </c>
      <c r="G20" s="85">
        <f t="shared" si="0"/>
        <v>3308</v>
      </c>
      <c r="H20" s="85">
        <f t="shared" ref="H20:I20" si="1">ROUND(G20*(1+$D20),0)</f>
        <v>3473</v>
      </c>
      <c r="I20" s="85">
        <f t="shared" si="1"/>
        <v>3647</v>
      </c>
    </row>
    <row r="21" spans="1:9" ht="13.15" customHeight="1" thickBot="1" x14ac:dyDescent="0.3">
      <c r="A21" s="98" t="s">
        <v>91</v>
      </c>
      <c r="B21" s="16">
        <v>3000</v>
      </c>
      <c r="C21" s="98" t="s">
        <v>100</v>
      </c>
      <c r="D21" s="26">
        <v>0.05</v>
      </c>
      <c r="E21" s="85">
        <f>+B21</f>
        <v>3000</v>
      </c>
      <c r="F21" s="85">
        <f t="shared" si="0"/>
        <v>3150</v>
      </c>
      <c r="G21" s="85">
        <f t="shared" si="0"/>
        <v>3308</v>
      </c>
      <c r="H21" s="85">
        <f t="shared" ref="H21:I21" si="2">ROUND(G21*(1+$D21),0)</f>
        <v>3473</v>
      </c>
      <c r="I21" s="85">
        <f t="shared" si="2"/>
        <v>3647</v>
      </c>
    </row>
    <row r="22" spans="1:9" ht="13.15" customHeight="1" thickBot="1" x14ac:dyDescent="0.3">
      <c r="A22" s="99" t="s">
        <v>92</v>
      </c>
      <c r="B22" s="16">
        <v>3000</v>
      </c>
      <c r="C22" s="98" t="s">
        <v>100</v>
      </c>
      <c r="D22" s="26">
        <v>0.05</v>
      </c>
      <c r="E22" s="85">
        <f>+B22</f>
        <v>3000</v>
      </c>
      <c r="F22" s="85">
        <f t="shared" si="0"/>
        <v>3150</v>
      </c>
      <c r="G22" s="85">
        <f t="shared" si="0"/>
        <v>3308</v>
      </c>
      <c r="H22" s="85">
        <f t="shared" ref="H22:I22" si="3">ROUND(G22*(1+$D22),0)</f>
        <v>3473</v>
      </c>
      <c r="I22" s="85">
        <f t="shared" si="3"/>
        <v>3647</v>
      </c>
    </row>
    <row r="23" spans="1:9" ht="13.15" customHeight="1" thickBot="1" x14ac:dyDescent="0.3">
      <c r="A23" s="98" t="s">
        <v>93</v>
      </c>
      <c r="B23" s="16"/>
      <c r="C23" s="98" t="s">
        <v>100</v>
      </c>
      <c r="D23" s="26">
        <v>0.05</v>
      </c>
      <c r="E23" s="85">
        <f>+B23</f>
        <v>0</v>
      </c>
      <c r="F23" s="85">
        <f t="shared" si="0"/>
        <v>0</v>
      </c>
      <c r="G23" s="85">
        <f t="shared" si="0"/>
        <v>0</v>
      </c>
      <c r="H23" s="85">
        <f t="shared" ref="H23:I23" si="4">ROUND(G23*(1+$D23),0)</f>
        <v>0</v>
      </c>
      <c r="I23" s="85">
        <f t="shared" si="4"/>
        <v>0</v>
      </c>
    </row>
    <row r="24" spans="1:9" ht="13.15" customHeight="1" thickBot="1" x14ac:dyDescent="0.3">
      <c r="A24" s="98" t="s">
        <v>53</v>
      </c>
      <c r="B24" s="16">
        <v>19000</v>
      </c>
      <c r="C24" s="98" t="s">
        <v>100</v>
      </c>
      <c r="D24" s="26">
        <v>0.1</v>
      </c>
      <c r="E24" s="24">
        <v>10850</v>
      </c>
      <c r="F24" s="24">
        <v>10150</v>
      </c>
      <c r="G24" s="24">
        <v>9450</v>
      </c>
      <c r="H24" s="85"/>
      <c r="I24" s="85"/>
    </row>
    <row r="25" spans="1:9" ht="13.15" customHeight="1" thickBot="1" x14ac:dyDescent="0.3">
      <c r="A25" s="98" t="s">
        <v>94</v>
      </c>
      <c r="B25" s="16"/>
      <c r="C25" s="98" t="s">
        <v>100</v>
      </c>
      <c r="D25" s="26">
        <v>0.05</v>
      </c>
      <c r="E25" s="85">
        <f t="shared" ref="E25" si="5">+B25</f>
        <v>0</v>
      </c>
      <c r="F25" s="85">
        <f t="shared" si="0"/>
        <v>0</v>
      </c>
      <c r="G25" s="85">
        <f t="shared" si="0"/>
        <v>0</v>
      </c>
      <c r="H25" s="85">
        <f t="shared" ref="H25:I26" si="6">ROUND(G25*(1+$D25),0)</f>
        <v>0</v>
      </c>
      <c r="I25" s="85">
        <f t="shared" si="6"/>
        <v>0</v>
      </c>
    </row>
    <row r="26" spans="1:9" ht="13.15" customHeight="1" thickBot="1" x14ac:dyDescent="0.3">
      <c r="A26" s="98" t="s">
        <v>33</v>
      </c>
      <c r="B26" s="16"/>
      <c r="C26" s="98" t="s">
        <v>100</v>
      </c>
      <c r="D26" s="26">
        <v>0.1</v>
      </c>
      <c r="E26" s="85">
        <v>0</v>
      </c>
      <c r="F26" s="85">
        <f>ROUND(B26*(1+$D$26),0)</f>
        <v>0</v>
      </c>
      <c r="G26" s="85">
        <f>ROUND(F26*(1+$D26),0)</f>
        <v>0</v>
      </c>
      <c r="H26" s="85">
        <f t="shared" si="6"/>
        <v>0</v>
      </c>
      <c r="I26" s="85">
        <f t="shared" si="6"/>
        <v>0</v>
      </c>
    </row>
    <row r="27" spans="1:9" ht="13.15" customHeight="1" thickBot="1" x14ac:dyDescent="0.3">
      <c r="A27" s="98" t="s">
        <v>95</v>
      </c>
      <c r="B27" s="16">
        <v>2000</v>
      </c>
      <c r="C27" s="98" t="s">
        <v>100</v>
      </c>
      <c r="D27" s="26">
        <v>0.05</v>
      </c>
      <c r="E27" s="85">
        <f>+B27</f>
        <v>2000</v>
      </c>
      <c r="F27" s="85">
        <f>ROUND(E27*(1+$D27),0)</f>
        <v>2100</v>
      </c>
      <c r="G27" s="85">
        <f>ROUND(F27*(1+$D27),0)</f>
        <v>2205</v>
      </c>
      <c r="H27" s="85">
        <f t="shared" ref="H27:I27" si="7">ROUND(G27*(1+$D27),0)</f>
        <v>2315</v>
      </c>
      <c r="I27" s="85">
        <f t="shared" si="7"/>
        <v>2431</v>
      </c>
    </row>
    <row r="28" spans="1:9" ht="13.15" customHeight="1" thickBot="1" x14ac:dyDescent="0.3">
      <c r="A28" s="98" t="s">
        <v>96</v>
      </c>
      <c r="B28" s="16">
        <v>4000</v>
      </c>
      <c r="C28" s="98" t="s">
        <v>100</v>
      </c>
      <c r="D28" s="26">
        <v>0.05</v>
      </c>
      <c r="E28" s="85">
        <f>+B28</f>
        <v>4000</v>
      </c>
      <c r="F28" s="85">
        <f>ROUND(E28*(1+$D28),0)</f>
        <v>4200</v>
      </c>
      <c r="G28" s="85">
        <f>ROUND(F28*(1+$D28),0)</f>
        <v>4410</v>
      </c>
      <c r="H28" s="85">
        <f t="shared" ref="H28:I28" si="8">ROUND(G28*(1+$D28),0)</f>
        <v>4631</v>
      </c>
      <c r="I28" s="85">
        <f t="shared" si="8"/>
        <v>4863</v>
      </c>
    </row>
    <row r="29" spans="1:9" ht="13.15" customHeight="1" thickBot="1" x14ac:dyDescent="0.3">
      <c r="A29" s="98" t="s">
        <v>17</v>
      </c>
      <c r="B29" s="44">
        <v>0.01</v>
      </c>
      <c r="C29" s="98" t="s">
        <v>101</v>
      </c>
      <c r="D29" s="26" t="s">
        <v>18</v>
      </c>
      <c r="E29" s="85">
        <v>0</v>
      </c>
      <c r="F29" s="85">
        <f>ROUND($B$29*CA!C26,0)</f>
        <v>6987</v>
      </c>
      <c r="G29" s="85">
        <f>ROUND($B$29*CA!D26,0)</f>
        <v>17687</v>
      </c>
      <c r="H29" s="85">
        <f>ROUND($B$29*CA!E26,0)</f>
        <v>25469</v>
      </c>
      <c r="I29" s="85">
        <f>ROUND($B$29*CA!F26,0)</f>
        <v>32798</v>
      </c>
    </row>
    <row r="30" spans="1:9" ht="13.15" customHeight="1" thickBot="1" x14ac:dyDescent="0.3">
      <c r="A30" s="99" t="s">
        <v>97</v>
      </c>
      <c r="B30" s="16">
        <v>5000</v>
      </c>
      <c r="C30" s="98" t="s">
        <v>100</v>
      </c>
      <c r="D30" s="26">
        <v>0.05</v>
      </c>
      <c r="E30" s="85">
        <f>+B30</f>
        <v>5000</v>
      </c>
      <c r="F30" s="85">
        <f>ROUND(E30*(1+$D30),0)</f>
        <v>5250</v>
      </c>
      <c r="G30" s="85">
        <f>ROUND(F30*(1+$D30),0)</f>
        <v>5513</v>
      </c>
      <c r="H30" s="85">
        <f t="shared" ref="H30:I30" si="9">ROUND(G30*(1+$D30),0)</f>
        <v>5789</v>
      </c>
      <c r="I30" s="85">
        <f t="shared" si="9"/>
        <v>6078</v>
      </c>
    </row>
    <row r="31" spans="1:9" x14ac:dyDescent="0.25">
      <c r="A31" s="124" t="s">
        <v>0</v>
      </c>
      <c r="B31" s="125"/>
      <c r="C31" s="125"/>
      <c r="D31" s="126"/>
      <c r="E31" s="86">
        <f>SUM(E20:E30)</f>
        <v>30850</v>
      </c>
      <c r="F31" s="86">
        <f>SUM(F20:F30)</f>
        <v>38137</v>
      </c>
      <c r="G31" s="86">
        <f>SUM(G20:G30)</f>
        <v>49189</v>
      </c>
      <c r="H31" s="86">
        <f>SUM(H20:H30)</f>
        <v>48623</v>
      </c>
      <c r="I31" s="86">
        <f>SUM(I20:I30)</f>
        <v>57111</v>
      </c>
    </row>
    <row r="33" spans="1:6" ht="14.25" thickBot="1" x14ac:dyDescent="0.3"/>
    <row r="34" spans="1:6" ht="15" customHeight="1" thickBot="1" x14ac:dyDescent="0.3">
      <c r="A34" s="6" t="s">
        <v>76</v>
      </c>
      <c r="B34" s="95" t="s">
        <v>14</v>
      </c>
      <c r="C34" s="96" t="s">
        <v>15</v>
      </c>
      <c r="D34" s="96" t="s">
        <v>16</v>
      </c>
      <c r="E34" s="96" t="s">
        <v>20</v>
      </c>
      <c r="F34" s="96" t="s">
        <v>21</v>
      </c>
    </row>
    <row r="35" spans="1:6" ht="14.25" thickBot="1" x14ac:dyDescent="0.3">
      <c r="A35" s="97" t="s">
        <v>98</v>
      </c>
      <c r="B35" s="16">
        <f>+SUM(E20:E25,E30)</f>
        <v>24850</v>
      </c>
      <c r="C35" s="16">
        <f>+SUM(F20:F25,F30)</f>
        <v>24850</v>
      </c>
      <c r="D35" s="16">
        <f t="shared" ref="D35:E35" si="10">+SUM(G20:G25,G30)</f>
        <v>24887</v>
      </c>
      <c r="E35" s="16">
        <f t="shared" si="10"/>
        <v>16208</v>
      </c>
      <c r="F35" s="16">
        <f>+SUM(I20:I25,I30)</f>
        <v>17019</v>
      </c>
    </row>
    <row r="36" spans="1:6" ht="13.15" customHeight="1" thickBot="1" x14ac:dyDescent="0.3">
      <c r="A36" s="98" t="s">
        <v>32</v>
      </c>
      <c r="B36" s="16">
        <f>+SUM(E26:E26,E29)</f>
        <v>0</v>
      </c>
      <c r="C36" s="16">
        <f>+SUM(F26:F26,F29)</f>
        <v>6987</v>
      </c>
      <c r="D36" s="16">
        <f t="shared" ref="D36:E36" si="11">+SUM(G26:G26,G29)</f>
        <v>17687</v>
      </c>
      <c r="E36" s="16">
        <f t="shared" si="11"/>
        <v>25469</v>
      </c>
      <c r="F36" s="16">
        <f>+SUM(I26:I26,I29)</f>
        <v>32798</v>
      </c>
    </row>
    <row r="37" spans="1:6" ht="13.15" customHeight="1" thickBot="1" x14ac:dyDescent="0.3">
      <c r="A37" s="98" t="s">
        <v>99</v>
      </c>
      <c r="B37" s="16">
        <f>+SUM(E27:E28)</f>
        <v>6000</v>
      </c>
      <c r="C37" s="16">
        <f>+SUM(F27:F28)</f>
        <v>6300</v>
      </c>
      <c r="D37" s="16">
        <f t="shared" ref="D37:E37" si="12">+SUM(G27:G28)</f>
        <v>6615</v>
      </c>
      <c r="E37" s="16">
        <f t="shared" si="12"/>
        <v>6946</v>
      </c>
      <c r="F37" s="16">
        <f>+SUM(I27:I28)</f>
        <v>7294</v>
      </c>
    </row>
    <row r="38" spans="1:6" x14ac:dyDescent="0.25">
      <c r="A38" s="25" t="s">
        <v>0</v>
      </c>
      <c r="B38" s="45">
        <f>SUM(B35:B37)</f>
        <v>30850</v>
      </c>
      <c r="C38" s="45">
        <f>SUM(C35:C37)</f>
        <v>38137</v>
      </c>
      <c r="D38" s="45">
        <f>SUM(D35:D37)</f>
        <v>49189</v>
      </c>
      <c r="E38" s="45">
        <f>SUM(E35:E37)</f>
        <v>48623</v>
      </c>
      <c r="F38" s="45">
        <f>SUM(F35:F37)</f>
        <v>57111</v>
      </c>
    </row>
  </sheetData>
  <mergeCells count="3">
    <mergeCell ref="A31:D31"/>
    <mergeCell ref="B19:C19"/>
    <mergeCell ref="B8:F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opLeftCell="A4" zoomScale="90" zoomScaleNormal="90" workbookViewId="0">
      <selection activeCell="B6" sqref="B6"/>
    </sheetView>
  </sheetViews>
  <sheetFormatPr baseColWidth="10" defaultColWidth="11.42578125" defaultRowHeight="15" x14ac:dyDescent="0.25"/>
  <cols>
    <col min="1" max="1" width="67.140625" bestFit="1" customWidth="1"/>
    <col min="2" max="2" width="13.140625" customWidth="1"/>
    <col min="3" max="3" width="21.5703125" bestFit="1" customWidth="1"/>
    <col min="4" max="4" width="11.140625" bestFit="1" customWidth="1"/>
    <col min="5" max="6" width="13.140625" bestFit="1" customWidth="1"/>
  </cols>
  <sheetData>
    <row r="2" spans="1:8" x14ac:dyDescent="0.25">
      <c r="A2" s="1" t="s">
        <v>19</v>
      </c>
    </row>
    <row r="4" spans="1:8" x14ac:dyDescent="0.25">
      <c r="A4" s="6" t="s">
        <v>22</v>
      </c>
      <c r="B4" s="34" t="s">
        <v>3</v>
      </c>
      <c r="C4" s="34" t="s">
        <v>4</v>
      </c>
      <c r="D4" s="39" t="s">
        <v>14</v>
      </c>
      <c r="E4" s="39" t="s">
        <v>15</v>
      </c>
      <c r="F4" s="39" t="s">
        <v>16</v>
      </c>
      <c r="G4" s="47" t="s">
        <v>20</v>
      </c>
      <c r="H4" s="47" t="s">
        <v>21</v>
      </c>
    </row>
    <row r="5" spans="1:8" x14ac:dyDescent="0.25">
      <c r="A5" s="35" t="s">
        <v>24</v>
      </c>
      <c r="B5" s="51">
        <f>+'Investissement &amp; Financement'!B5</f>
        <v>14000</v>
      </c>
      <c r="C5" s="33">
        <v>0.33</v>
      </c>
      <c r="D5" s="16">
        <f>ROUND($B5*$C5,0)</f>
        <v>4620</v>
      </c>
      <c r="E5" s="16">
        <f t="shared" ref="E5:H11" si="0">ROUND($B5*$C5,0)</f>
        <v>4620</v>
      </c>
      <c r="F5" s="16">
        <f t="shared" si="0"/>
        <v>4620</v>
      </c>
      <c r="G5" s="16">
        <v>0</v>
      </c>
      <c r="H5" s="16">
        <v>0</v>
      </c>
    </row>
    <row r="6" spans="1:8" x14ac:dyDescent="0.25">
      <c r="A6" s="35" t="s">
        <v>25</v>
      </c>
      <c r="B6" s="51">
        <f>+'Investissement &amp; Financement'!C5</f>
        <v>20000</v>
      </c>
      <c r="C6" s="33">
        <v>0.33</v>
      </c>
      <c r="D6" s="16">
        <v>0</v>
      </c>
      <c r="E6" s="16">
        <f>ROUND($B6*$C6,0)</f>
        <v>6600</v>
      </c>
      <c r="F6" s="16">
        <f t="shared" si="0"/>
        <v>6600</v>
      </c>
      <c r="G6" s="16">
        <f t="shared" si="0"/>
        <v>6600</v>
      </c>
      <c r="H6" s="16">
        <v>0</v>
      </c>
    </row>
    <row r="7" spans="1:8" x14ac:dyDescent="0.25">
      <c r="A7" s="35" t="s">
        <v>26</v>
      </c>
      <c r="B7" s="51">
        <f>+'Investissement &amp; Financement'!D5</f>
        <v>20000</v>
      </c>
      <c r="C7" s="33">
        <v>0.33</v>
      </c>
      <c r="D7" s="16">
        <v>0</v>
      </c>
      <c r="E7" s="16">
        <v>0</v>
      </c>
      <c r="F7" s="16">
        <f>ROUND($B7*$C7,0)</f>
        <v>6600</v>
      </c>
      <c r="G7" s="16">
        <f t="shared" si="0"/>
        <v>6600</v>
      </c>
      <c r="H7" s="16">
        <f t="shared" si="0"/>
        <v>6600</v>
      </c>
    </row>
    <row r="8" spans="1:8" x14ac:dyDescent="0.25">
      <c r="A8" s="35" t="s">
        <v>27</v>
      </c>
      <c r="B8" s="51">
        <f>+'Investissement &amp; Financement'!B6</f>
        <v>5000</v>
      </c>
      <c r="C8" s="33">
        <v>0.33</v>
      </c>
      <c r="D8" s="16">
        <f>ROUND($B8*$C8,0)</f>
        <v>1650</v>
      </c>
      <c r="E8" s="16">
        <f t="shared" si="0"/>
        <v>1650</v>
      </c>
      <c r="F8" s="16">
        <f t="shared" si="0"/>
        <v>1650</v>
      </c>
      <c r="G8" s="16">
        <v>0</v>
      </c>
      <c r="H8" s="16">
        <v>0</v>
      </c>
    </row>
    <row r="9" spans="1:8" x14ac:dyDescent="0.25">
      <c r="A9" s="35" t="s">
        <v>28</v>
      </c>
      <c r="B9" s="51">
        <f>+'Investissement &amp; Financement'!C6</f>
        <v>15000</v>
      </c>
      <c r="C9" s="33">
        <v>0.33</v>
      </c>
      <c r="D9" s="16">
        <v>0</v>
      </c>
      <c r="E9" s="16">
        <f>ROUND($B9*$C9,0)</f>
        <v>4950</v>
      </c>
      <c r="F9" s="16">
        <f t="shared" si="0"/>
        <v>4950</v>
      </c>
      <c r="G9" s="16">
        <f t="shared" si="0"/>
        <v>4950</v>
      </c>
      <c r="H9" s="16">
        <v>0</v>
      </c>
    </row>
    <row r="10" spans="1:8" x14ac:dyDescent="0.25">
      <c r="A10" s="35" t="s">
        <v>29</v>
      </c>
      <c r="B10" s="51">
        <f>+'Investissement &amp; Financement'!D6</f>
        <v>15000</v>
      </c>
      <c r="C10" s="33">
        <v>0.33</v>
      </c>
      <c r="D10" s="16">
        <v>0</v>
      </c>
      <c r="E10" s="16">
        <v>0</v>
      </c>
      <c r="F10" s="16">
        <f>ROUND($B10*$C10,0)</f>
        <v>4950</v>
      </c>
      <c r="G10" s="16">
        <f t="shared" si="0"/>
        <v>4950</v>
      </c>
      <c r="H10" s="16">
        <f t="shared" si="0"/>
        <v>4950</v>
      </c>
    </row>
    <row r="11" spans="1:8" x14ac:dyDescent="0.25">
      <c r="A11" s="35" t="str">
        <f>+'Investissement &amp; Financement'!A7</f>
        <v>Budget marketing</v>
      </c>
      <c r="B11" s="51">
        <f>+'Investissement &amp; Financement'!B7</f>
        <v>2000</v>
      </c>
      <c r="C11" s="33">
        <v>0.33</v>
      </c>
      <c r="D11" s="16">
        <f t="shared" ref="D11" si="1">ROUND($B11*$C11,0)</f>
        <v>660</v>
      </c>
      <c r="E11" s="16">
        <f t="shared" si="0"/>
        <v>660</v>
      </c>
      <c r="F11" s="16">
        <f t="shared" si="0"/>
        <v>660</v>
      </c>
      <c r="G11" s="16">
        <v>0</v>
      </c>
      <c r="H11" s="16">
        <v>0</v>
      </c>
    </row>
    <row r="12" spans="1:8" x14ac:dyDescent="0.25">
      <c r="A12" s="35" t="str">
        <f>+'Investissement &amp; Financement'!A8</f>
        <v>Frais de dossier d'investissement</v>
      </c>
      <c r="B12" s="51">
        <v>0</v>
      </c>
      <c r="C12" s="33">
        <v>0.33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8" x14ac:dyDescent="0.25">
      <c r="A13" s="131" t="s">
        <v>6</v>
      </c>
      <c r="B13" s="131"/>
      <c r="C13" s="131"/>
      <c r="D13" s="17">
        <f>SUM(D5:D12)</f>
        <v>6930</v>
      </c>
      <c r="E13" s="17">
        <f t="shared" ref="E13:H13" si="2">SUM(E5:E12)</f>
        <v>18480</v>
      </c>
      <c r="F13" s="17">
        <f t="shared" si="2"/>
        <v>30030</v>
      </c>
      <c r="G13" s="17">
        <f t="shared" si="2"/>
        <v>23100</v>
      </c>
      <c r="H13" s="17">
        <f t="shared" si="2"/>
        <v>11550</v>
      </c>
    </row>
    <row r="14" spans="1:8" x14ac:dyDescent="0.25">
      <c r="D14" s="7"/>
      <c r="E14" s="7"/>
      <c r="F14" s="7"/>
    </row>
  </sheetData>
  <mergeCells count="1"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opLeftCell="A10" zoomScaleNormal="100" workbookViewId="0">
      <selection activeCell="B10" sqref="B10:F10"/>
    </sheetView>
  </sheetViews>
  <sheetFormatPr baseColWidth="10" defaultColWidth="11.42578125" defaultRowHeight="15" x14ac:dyDescent="0.25"/>
  <cols>
    <col min="1" max="1" width="39" bestFit="1" customWidth="1"/>
    <col min="2" max="2" width="15.42578125" bestFit="1" customWidth="1"/>
    <col min="3" max="3" width="17.140625" customWidth="1"/>
    <col min="4" max="4" width="17" customWidth="1"/>
    <col min="5" max="5" width="17.5703125" customWidth="1"/>
    <col min="6" max="6" width="18.140625" customWidth="1"/>
    <col min="7" max="7" width="14" bestFit="1" customWidth="1"/>
  </cols>
  <sheetData>
    <row r="2" spans="1:10" x14ac:dyDescent="0.25">
      <c r="A2" s="8" t="s">
        <v>109</v>
      </c>
    </row>
    <row r="3" spans="1:10" ht="15.75" thickBot="1" x14ac:dyDescent="0.3"/>
    <row r="4" spans="1:10" ht="15.75" thickBot="1" x14ac:dyDescent="0.3">
      <c r="A4" s="50" t="s">
        <v>76</v>
      </c>
      <c r="B4" s="95" t="s">
        <v>14</v>
      </c>
      <c r="C4" s="96" t="s">
        <v>15</v>
      </c>
      <c r="D4" s="96" t="s">
        <v>16</v>
      </c>
      <c r="E4" s="96" t="s">
        <v>20</v>
      </c>
      <c r="F4" s="96" t="s">
        <v>21</v>
      </c>
    </row>
    <row r="5" spans="1:10" x14ac:dyDescent="0.25">
      <c r="A5" s="24" t="s">
        <v>69</v>
      </c>
      <c r="B5" s="42">
        <f>CA!B24</f>
        <v>50000</v>
      </c>
      <c r="C5" s="42">
        <f>CA!C24</f>
        <v>127500</v>
      </c>
      <c r="D5" s="42">
        <f>CA!D24</f>
        <v>312120</v>
      </c>
      <c r="E5" s="42">
        <f>CA!E24</f>
        <v>318362.40000000002</v>
      </c>
      <c r="F5" s="42">
        <f>CA!F24</f>
        <v>324729.64799999999</v>
      </c>
    </row>
    <row r="6" spans="1:10" x14ac:dyDescent="0.25">
      <c r="A6" s="24" t="s">
        <v>70</v>
      </c>
      <c r="B6" s="42">
        <f>CA!B25</f>
        <v>280000</v>
      </c>
      <c r="C6" s="42">
        <f>CA!C25</f>
        <v>571200</v>
      </c>
      <c r="D6" s="42">
        <f>CA!D25</f>
        <v>1456560</v>
      </c>
      <c r="E6" s="42">
        <f>CA!E25</f>
        <v>2228536.7999999998</v>
      </c>
      <c r="F6" s="42">
        <f>CA!F25</f>
        <v>2955039.7967999997</v>
      </c>
    </row>
    <row r="7" spans="1:10" ht="12" customHeight="1" thickBot="1" x14ac:dyDescent="0.3">
      <c r="A7" s="43" t="s">
        <v>113</v>
      </c>
      <c r="B7" s="43">
        <f>SUM(B5:B6)</f>
        <v>330000</v>
      </c>
      <c r="C7" s="43">
        <f>SUM(C5:C6)</f>
        <v>698700</v>
      </c>
      <c r="D7" s="43">
        <f>SUM(D5:D6)</f>
        <v>1768680</v>
      </c>
      <c r="E7" s="43">
        <f>SUM(E5:E6)</f>
        <v>2546899.1999999997</v>
      </c>
      <c r="F7" s="43">
        <f>SUM(F5:F6)</f>
        <v>3279769.4447999997</v>
      </c>
    </row>
    <row r="8" spans="1:10" ht="15.75" thickBot="1" x14ac:dyDescent="0.3">
      <c r="A8" s="100" t="s">
        <v>110</v>
      </c>
      <c r="B8" s="42">
        <f>+'Charges d''exploitation'!B14</f>
        <v>0</v>
      </c>
      <c r="C8" s="42">
        <f>+'Charges d''exploitation'!C14</f>
        <v>0</v>
      </c>
      <c r="D8" s="42">
        <f>+'Charges d''exploitation'!D14</f>
        <v>0</v>
      </c>
      <c r="E8" s="42">
        <f>+'Charges d''exploitation'!E14</f>
        <v>0</v>
      </c>
      <c r="F8" s="42">
        <f>+'Charges d''exploitation'!F13</f>
        <v>0</v>
      </c>
    </row>
    <row r="9" spans="1:10" ht="15.75" thickBot="1" x14ac:dyDescent="0.3">
      <c r="A9" s="101" t="s">
        <v>111</v>
      </c>
      <c r="B9" s="42">
        <f>+'Charges du personnel'!B61</f>
        <v>120600</v>
      </c>
      <c r="C9" s="42">
        <f>+'Charges du personnel'!C61</f>
        <v>233712</v>
      </c>
      <c r="D9" s="42">
        <f>+'Charges du personnel'!D61</f>
        <v>323793</v>
      </c>
      <c r="E9" s="42">
        <f>+'Charges du personnel'!E61</f>
        <v>471720</v>
      </c>
      <c r="F9" s="42">
        <f>+'Charges du personnel'!F61</f>
        <v>687772.5</v>
      </c>
    </row>
    <row r="10" spans="1:10" ht="15.75" thickBot="1" x14ac:dyDescent="0.3">
      <c r="A10" s="101" t="s">
        <v>112</v>
      </c>
      <c r="B10" s="42">
        <f>+'Charges d''exploitation'!E31</f>
        <v>30850</v>
      </c>
      <c r="C10" s="42">
        <f>+'Charges d''exploitation'!F31</f>
        <v>38137</v>
      </c>
      <c r="D10" s="42">
        <f>+'Charges d''exploitation'!G31</f>
        <v>49189</v>
      </c>
      <c r="E10" s="42">
        <f>+'Charges d''exploitation'!H31</f>
        <v>48623</v>
      </c>
      <c r="F10" s="42">
        <f>+'Charges d''exploitation'!I31</f>
        <v>57111</v>
      </c>
    </row>
    <row r="11" spans="1:10" ht="15.75" thickBot="1" x14ac:dyDescent="0.3">
      <c r="A11" s="102" t="s">
        <v>114</v>
      </c>
      <c r="B11" s="43">
        <f>+B7-SUM(B8:B10)</f>
        <v>178550</v>
      </c>
      <c r="C11" s="43">
        <f t="shared" ref="C11:F11" si="0">+C7-SUM(C8:C10)</f>
        <v>426851</v>
      </c>
      <c r="D11" s="43">
        <f t="shared" si="0"/>
        <v>1395698</v>
      </c>
      <c r="E11" s="43">
        <f t="shared" si="0"/>
        <v>2026556.1999999997</v>
      </c>
      <c r="F11" s="43">
        <f t="shared" si="0"/>
        <v>2534885.9447999997</v>
      </c>
      <c r="G11" s="38"/>
      <c r="H11" s="38"/>
      <c r="I11" s="38"/>
      <c r="J11" s="38"/>
    </row>
    <row r="12" spans="1:10" ht="15.75" thickBot="1" x14ac:dyDescent="0.3">
      <c r="A12" s="103" t="s">
        <v>115</v>
      </c>
      <c r="B12" s="33">
        <f>B11/B7</f>
        <v>0.54106060606060602</v>
      </c>
      <c r="C12" s="33">
        <f>C11/C7</f>
        <v>0.61092171175039356</v>
      </c>
      <c r="D12" s="33">
        <f>D11/D7</f>
        <v>0.78911843860958453</v>
      </c>
      <c r="E12" s="33">
        <f>E11/E7</f>
        <v>0.79569548728116135</v>
      </c>
      <c r="F12" s="33">
        <f>F11/F7</f>
        <v>0.77288540778956405</v>
      </c>
    </row>
    <row r="13" spans="1:10" ht="15.75" thickBot="1" x14ac:dyDescent="0.3">
      <c r="A13" s="101" t="s">
        <v>116</v>
      </c>
      <c r="B13" s="42">
        <f>+Amortissement!D13</f>
        <v>6930</v>
      </c>
      <c r="C13" s="42">
        <f>+Amortissement!E13</f>
        <v>18480</v>
      </c>
      <c r="D13" s="42">
        <f>+Amortissement!F13</f>
        <v>30030</v>
      </c>
      <c r="E13" s="42">
        <f>+Amortissement!G13</f>
        <v>23100</v>
      </c>
      <c r="F13" s="42">
        <f>+Amortissement!H13</f>
        <v>11550</v>
      </c>
    </row>
    <row r="14" spans="1:10" ht="15.75" thickBot="1" x14ac:dyDescent="0.3">
      <c r="A14" s="102" t="s">
        <v>117</v>
      </c>
      <c r="B14" s="43">
        <f>+B11-B13</f>
        <v>171620</v>
      </c>
      <c r="C14" s="43">
        <f t="shared" ref="C14:D14" si="1">+C11-C13</f>
        <v>408371</v>
      </c>
      <c r="D14" s="43">
        <f t="shared" si="1"/>
        <v>1365668</v>
      </c>
      <c r="E14" s="43">
        <f>+E11-E13</f>
        <v>2003456.1999999997</v>
      </c>
      <c r="F14" s="43">
        <f t="shared" ref="F14" si="2">+F11-F13</f>
        <v>2523335.9447999997</v>
      </c>
    </row>
    <row r="15" spans="1:10" ht="15.75" thickBot="1" x14ac:dyDescent="0.3">
      <c r="A15" s="103" t="s">
        <v>118</v>
      </c>
      <c r="B15" s="65">
        <f>B14/B7</f>
        <v>0.52006060606060611</v>
      </c>
      <c r="C15" s="65">
        <f>C14/C7</f>
        <v>0.58447259195649059</v>
      </c>
      <c r="D15" s="65">
        <f>D14/D7</f>
        <v>0.77213967478571588</v>
      </c>
      <c r="E15" s="65">
        <f>E14/E7</f>
        <v>0.786625634811146</v>
      </c>
      <c r="F15" s="65">
        <f>F14/F7</f>
        <v>0.76936381878936388</v>
      </c>
    </row>
    <row r="16" spans="1:10" ht="15.75" thickBot="1" x14ac:dyDescent="0.3">
      <c r="A16" s="101" t="s">
        <v>119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</row>
    <row r="17" spans="1:6" ht="15.75" thickBot="1" x14ac:dyDescent="0.3">
      <c r="A17" s="104" t="s">
        <v>120</v>
      </c>
      <c r="B17" s="43">
        <f>+B14-B16</f>
        <v>171620</v>
      </c>
      <c r="C17" s="43">
        <f t="shared" ref="C17:D17" si="3">+C14-C16</f>
        <v>408371</v>
      </c>
      <c r="D17" s="43">
        <f t="shared" si="3"/>
        <v>1365668</v>
      </c>
      <c r="E17" s="43">
        <f>+E14-E16</f>
        <v>2003456.1999999997</v>
      </c>
      <c r="F17" s="43">
        <f t="shared" ref="F17" si="4">+F14-F16</f>
        <v>2523335.9447999997</v>
      </c>
    </row>
    <row r="18" spans="1:6" ht="15.75" thickBot="1" x14ac:dyDescent="0.3">
      <c r="A18" s="101" t="s">
        <v>121</v>
      </c>
      <c r="B18" s="42">
        <v>0</v>
      </c>
      <c r="C18" s="42">
        <v>0</v>
      </c>
      <c r="D18" s="42">
        <f>0.25*D17</f>
        <v>341417</v>
      </c>
      <c r="E18" s="42">
        <f t="shared" ref="E18:F18" si="5">0.25*E17</f>
        <v>500864.04999999993</v>
      </c>
      <c r="F18" s="42">
        <f t="shared" si="5"/>
        <v>630833.98619999993</v>
      </c>
    </row>
    <row r="19" spans="1:6" ht="15.75" thickBot="1" x14ac:dyDescent="0.3">
      <c r="A19" s="104" t="s">
        <v>122</v>
      </c>
      <c r="B19" s="43">
        <f>B17-B18</f>
        <v>171620</v>
      </c>
      <c r="C19" s="43">
        <f>C17-C18</f>
        <v>408371</v>
      </c>
      <c r="D19" s="43">
        <f>D17-D18</f>
        <v>1024251</v>
      </c>
      <c r="E19" s="43">
        <f>E17-E18</f>
        <v>1502592.15</v>
      </c>
      <c r="F19" s="43">
        <f>F17-F18</f>
        <v>1892501.9585999998</v>
      </c>
    </row>
    <row r="20" spans="1:6" ht="15.75" thickBot="1" x14ac:dyDescent="0.3">
      <c r="A20" s="103" t="s">
        <v>123</v>
      </c>
      <c r="B20" s="33">
        <f>B19/B7</f>
        <v>0.52006060606060611</v>
      </c>
      <c r="C20" s="33">
        <f>C19/C7</f>
        <v>0.58447259195649059</v>
      </c>
      <c r="D20" s="33">
        <f>D19/D7</f>
        <v>0.57910475608928691</v>
      </c>
      <c r="E20" s="33">
        <f>E19/E7</f>
        <v>0.58996922610835956</v>
      </c>
      <c r="F20" s="33">
        <f>F19/F7</f>
        <v>0.57702286409202297</v>
      </c>
    </row>
    <row r="21" spans="1:6" ht="15.75" thickBot="1" x14ac:dyDescent="0.3">
      <c r="A21" s="104" t="s">
        <v>5</v>
      </c>
      <c r="B21" s="43">
        <f>B19+B13</f>
        <v>178550</v>
      </c>
      <c r="C21" s="43">
        <f>C19+C13</f>
        <v>426851</v>
      </c>
      <c r="D21" s="43">
        <f t="shared" ref="D21" si="6">D19+D13</f>
        <v>1054281</v>
      </c>
      <c r="E21" s="43">
        <f>E19+E13</f>
        <v>1525692.15</v>
      </c>
      <c r="F21" s="43">
        <f>F19+F13</f>
        <v>1904051.9585999998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zoomScale="85" zoomScaleNormal="85" zoomScalePageLayoutView="90" workbookViewId="0">
      <selection activeCell="B7" sqref="B7"/>
    </sheetView>
  </sheetViews>
  <sheetFormatPr baseColWidth="10" defaultColWidth="11.42578125" defaultRowHeight="16.5" x14ac:dyDescent="0.3"/>
  <cols>
    <col min="1" max="1" width="46.5703125" style="9" bestFit="1" customWidth="1"/>
    <col min="2" max="2" width="16.28515625" style="9" bestFit="1" customWidth="1"/>
    <col min="3" max="3" width="18" style="9" customWidth="1"/>
    <col min="4" max="4" width="18.7109375" style="9" customWidth="1"/>
    <col min="5" max="5" width="19.5703125" style="9" customWidth="1"/>
    <col min="6" max="6" width="18.140625" style="9" customWidth="1"/>
    <col min="7" max="7" width="18" style="9" customWidth="1"/>
    <col min="8" max="16384" width="11.42578125" style="9"/>
  </cols>
  <sheetData>
    <row r="2" spans="1:7" x14ac:dyDescent="0.3">
      <c r="A2" s="19" t="s">
        <v>11</v>
      </c>
    </row>
    <row r="4" spans="1:7" x14ac:dyDescent="0.3">
      <c r="A4" s="70" t="s">
        <v>76</v>
      </c>
      <c r="B4" s="87" t="s">
        <v>13</v>
      </c>
      <c r="C4" s="88" t="s">
        <v>14</v>
      </c>
      <c r="D4" s="88" t="s">
        <v>15</v>
      </c>
      <c r="E4" s="88" t="s">
        <v>16</v>
      </c>
      <c r="F4" s="88" t="s">
        <v>20</v>
      </c>
      <c r="G4" s="88" t="s">
        <v>21</v>
      </c>
    </row>
    <row r="5" spans="1:7" x14ac:dyDescent="0.3">
      <c r="A5" s="80" t="str">
        <f>+'Compte d''exploitation'!A5</f>
        <v>Home Mode</v>
      </c>
      <c r="B5" s="89">
        <v>12</v>
      </c>
      <c r="C5" s="89">
        <f>ROUND($B5*'Compte d''exploitation'!B5/12,0)</f>
        <v>50000</v>
      </c>
      <c r="D5" s="89">
        <f>ROUND($B5*'Compte d''exploitation'!C5/12,0)</f>
        <v>127500</v>
      </c>
      <c r="E5" s="89">
        <f>ROUND($B5*'Compte d''exploitation'!D5/12,0)</f>
        <v>312120</v>
      </c>
      <c r="F5" s="89">
        <f>ROUND($B5*'Compte d''exploitation'!E5/12,0)</f>
        <v>318362</v>
      </c>
      <c r="G5" s="89">
        <f>ROUND($B5*'Compte d''exploitation'!F5/12,0)</f>
        <v>324730</v>
      </c>
    </row>
    <row r="6" spans="1:7" x14ac:dyDescent="0.3">
      <c r="A6" s="80" t="str">
        <f>+'Compte d''exploitation'!A6</f>
        <v>Kiosk Mode (Hardware + freemium app)</v>
      </c>
      <c r="B6" s="89">
        <v>12</v>
      </c>
      <c r="C6" s="89">
        <f>ROUND($B6*'Compte d''exploitation'!B6/12,0)</f>
        <v>280000</v>
      </c>
      <c r="D6" s="89">
        <f>ROUND($B6*'Compte d''exploitation'!C6/12,0)</f>
        <v>571200</v>
      </c>
      <c r="E6" s="89">
        <f>ROUND($B6*'Compte d''exploitation'!D6/12,0)</f>
        <v>1456560</v>
      </c>
      <c r="F6" s="89">
        <f>ROUND($B6*'Compte d''exploitation'!E6/12,0)</f>
        <v>2228537</v>
      </c>
      <c r="G6" s="89">
        <f>ROUND($B6*'Compte d''exploitation'!F6/12,0)</f>
        <v>2955040</v>
      </c>
    </row>
    <row r="7" spans="1:7" x14ac:dyDescent="0.3">
      <c r="A7" s="90" t="s">
        <v>124</v>
      </c>
      <c r="B7" s="90"/>
      <c r="C7" s="90">
        <f>SUM(C5:C6)</f>
        <v>330000</v>
      </c>
      <c r="D7" s="90">
        <f>SUM(D5:D6)</f>
        <v>698700</v>
      </c>
      <c r="E7" s="90">
        <f>SUM(E5:E6)</f>
        <v>1768680</v>
      </c>
      <c r="F7" s="90">
        <f>SUM(F5:F6)</f>
        <v>2546899</v>
      </c>
      <c r="G7" s="90">
        <f>SUM(G5:G6)</f>
        <v>3279770</v>
      </c>
    </row>
    <row r="8" spans="1:7" x14ac:dyDescent="0.3">
      <c r="A8" s="71" t="str">
        <f>+'Compte d''exploitation'!$A$9</f>
        <v>Charges du personnel</v>
      </c>
      <c r="B8" s="89">
        <v>1</v>
      </c>
      <c r="C8" s="89">
        <f>ROUND($B8*'Compte d''exploitation'!B9/12,0)</f>
        <v>10050</v>
      </c>
      <c r="D8" s="89">
        <f>ROUND($B8*'Compte d''exploitation'!C9/12,0)</f>
        <v>19476</v>
      </c>
      <c r="E8" s="89">
        <f>ROUND($B8*'Compte d''exploitation'!D9/12,0)</f>
        <v>26983</v>
      </c>
      <c r="F8" s="89">
        <f>ROUND($B8*'Compte d''exploitation'!E9/12,0)</f>
        <v>39310</v>
      </c>
      <c r="G8" s="89">
        <f>ROUND($B8*'Compte d''exploitation'!F9/12,0)</f>
        <v>57314</v>
      </c>
    </row>
    <row r="9" spans="1:7" x14ac:dyDescent="0.3">
      <c r="A9" s="71" t="str">
        <f>+'Charges d''exploitation'!A20</f>
        <v>Loyer</v>
      </c>
      <c r="B9" s="16">
        <v>12</v>
      </c>
      <c r="C9" s="89">
        <f>ROUND($B9*'Charges d''exploitation'!E20/12,0)</f>
        <v>3000</v>
      </c>
      <c r="D9" s="89">
        <f>ROUND($B9*'Charges d''exploitation'!F20/12,0)</f>
        <v>3150</v>
      </c>
      <c r="E9" s="89">
        <f>ROUND($B9*'Charges d''exploitation'!G20/12,0)</f>
        <v>3308</v>
      </c>
      <c r="F9" s="89">
        <f>ROUND($B9*'Charges d''exploitation'!H20/12,0)</f>
        <v>3473</v>
      </c>
      <c r="G9" s="89">
        <f>ROUND($B9*'Charges d''exploitation'!I20/12,0)</f>
        <v>3647</v>
      </c>
    </row>
    <row r="10" spans="1:7" x14ac:dyDescent="0.3">
      <c r="A10" s="71" t="str">
        <f>+'Charges d''exploitation'!A21</f>
        <v>Télécommunication</v>
      </c>
      <c r="B10" s="89">
        <v>12</v>
      </c>
      <c r="C10" s="89">
        <f>ROUND($B10*'Charges d''exploitation'!E21/12,0)</f>
        <v>3000</v>
      </c>
      <c r="D10" s="89">
        <f>ROUND($B10*'Charges d''exploitation'!F21/12,0)</f>
        <v>3150</v>
      </c>
      <c r="E10" s="89">
        <f>ROUND($B10*'Charges d''exploitation'!G21/12,0)</f>
        <v>3308</v>
      </c>
      <c r="F10" s="89">
        <f>ROUND($B10*'Charges d''exploitation'!H21/12,0)</f>
        <v>3473</v>
      </c>
      <c r="G10" s="89">
        <f>ROUND($B10*'Charges d''exploitation'!I21/12,0)</f>
        <v>3647</v>
      </c>
    </row>
    <row r="11" spans="1:7" x14ac:dyDescent="0.3">
      <c r="A11" s="71" t="str">
        <f>+'Charges d''exploitation'!A22</f>
        <v>Energie</v>
      </c>
      <c r="B11" s="89">
        <v>3</v>
      </c>
      <c r="C11" s="89">
        <f>ROUND($B11*'Charges d''exploitation'!E22/12,0)</f>
        <v>750</v>
      </c>
      <c r="D11" s="89">
        <f>ROUND($B11*'Charges d''exploitation'!F22/12,0)</f>
        <v>788</v>
      </c>
      <c r="E11" s="89">
        <f>ROUND($B11*'Charges d''exploitation'!G22/12,0)</f>
        <v>827</v>
      </c>
      <c r="F11" s="89">
        <f>ROUND($B11*'Charges d''exploitation'!H22/12,0)</f>
        <v>868</v>
      </c>
      <c r="G11" s="89">
        <f>ROUND($B11*'Charges d''exploitation'!I22/12,0)</f>
        <v>912</v>
      </c>
    </row>
    <row r="12" spans="1:7" x14ac:dyDescent="0.3">
      <c r="A12" s="71" t="str">
        <f>+'Charges d''exploitation'!A23</f>
        <v>Fourniture de bureau</v>
      </c>
      <c r="B12" s="89">
        <v>0</v>
      </c>
      <c r="C12" s="89">
        <f>ROUND($B12*'Charges d''exploitation'!E23/12,0)</f>
        <v>0</v>
      </c>
      <c r="D12" s="89">
        <f>ROUND($B12*'Charges d''exploitation'!F23/12,0)</f>
        <v>0</v>
      </c>
      <c r="E12" s="89">
        <f>ROUND($B12*'Charges d''exploitation'!G23/12,0)</f>
        <v>0</v>
      </c>
      <c r="F12" s="89">
        <f>ROUND($B12*'Charges d''exploitation'!H23/12,0)</f>
        <v>0</v>
      </c>
      <c r="G12" s="89">
        <f>ROUND($B12*'Charges d''exploitation'!I23/12,0)</f>
        <v>0</v>
      </c>
    </row>
    <row r="13" spans="1:7" x14ac:dyDescent="0.3">
      <c r="A13" s="71" t="str">
        <f>+'Charges d''exploitation'!A24</f>
        <v>Leasing</v>
      </c>
      <c r="B13" s="16">
        <v>19000</v>
      </c>
      <c r="C13" s="24">
        <v>10850</v>
      </c>
      <c r="D13" s="24">
        <v>10150</v>
      </c>
      <c r="E13" s="24">
        <v>9450</v>
      </c>
      <c r="F13" s="89">
        <f>ROUND($B13*'Charges d''exploitation'!H24/12,0)</f>
        <v>0</v>
      </c>
      <c r="G13" s="89">
        <f>ROUND($B13*'Charges d''exploitation'!I24/12,0)</f>
        <v>0</v>
      </c>
    </row>
    <row r="14" spans="1:7" x14ac:dyDescent="0.3">
      <c r="A14" s="71" t="str">
        <f>+'Charges d''exploitation'!A25</f>
        <v>Entretien, carburant et assurance voiture</v>
      </c>
      <c r="B14" s="89">
        <v>0</v>
      </c>
      <c r="C14" s="89">
        <f>ROUND($B14*'Charges d''exploitation'!E25/12,0)</f>
        <v>0</v>
      </c>
      <c r="D14" s="89">
        <f>ROUND($B14*'Charges d''exploitation'!F25/12,0)</f>
        <v>0</v>
      </c>
      <c r="E14" s="89">
        <f>ROUND($B14*'Charges d''exploitation'!G25/12,0)</f>
        <v>0</v>
      </c>
      <c r="F14" s="89">
        <f>ROUND($B14*'Charges d''exploitation'!H25/12,0)</f>
        <v>0</v>
      </c>
      <c r="G14" s="89">
        <f>ROUND($B14*'Charges d''exploitation'!I25/12,0)</f>
        <v>0</v>
      </c>
    </row>
    <row r="15" spans="1:7" x14ac:dyDescent="0.3">
      <c r="A15" s="71" t="str">
        <f>+'Charges d''exploitation'!A26</f>
        <v>Missions</v>
      </c>
      <c r="B15" s="89">
        <v>0</v>
      </c>
      <c r="C15" s="89">
        <f>ROUND($B15*'Charges d''exploitation'!E26/12,0)</f>
        <v>0</v>
      </c>
      <c r="D15" s="89">
        <f>ROUND($B15*'Charges d''exploitation'!F26/12,0)</f>
        <v>0</v>
      </c>
      <c r="E15" s="89">
        <f>ROUND($B15*'Charges d''exploitation'!G26/12,0)</f>
        <v>0</v>
      </c>
      <c r="F15" s="89">
        <f>ROUND($B15*'Charges d''exploitation'!H26/12,0)</f>
        <v>0</v>
      </c>
      <c r="G15" s="89">
        <f>ROUND($B15*'Charges d''exploitation'!I26/12,0)</f>
        <v>0</v>
      </c>
    </row>
    <row r="16" spans="1:7" x14ac:dyDescent="0.3">
      <c r="A16" s="71" t="str">
        <f>+'Charges d''exploitation'!A27</f>
        <v>Tenue de comptabilité</v>
      </c>
      <c r="B16" s="89">
        <v>6</v>
      </c>
      <c r="C16" s="89">
        <f>ROUND($B16*'Charges d''exploitation'!E27/12,0)</f>
        <v>1000</v>
      </c>
      <c r="D16" s="89">
        <f>ROUND($B16*'Charges d''exploitation'!F27/12,0)</f>
        <v>1050</v>
      </c>
      <c r="E16" s="89">
        <f>ROUND($B16*'Charges d''exploitation'!G27/12,0)</f>
        <v>1103</v>
      </c>
      <c r="F16" s="89">
        <f>ROUND($B16*'Charges d''exploitation'!H27/12,0)</f>
        <v>1158</v>
      </c>
      <c r="G16" s="89">
        <f>ROUND($B16*'Charges d''exploitation'!I27/12,0)</f>
        <v>1216</v>
      </c>
    </row>
    <row r="17" spans="1:7" x14ac:dyDescent="0.3">
      <c r="A17" s="71" t="str">
        <f>+'Charges d''exploitation'!A28</f>
        <v>Commissaire aux comptes</v>
      </c>
      <c r="B17" s="89">
        <v>2</v>
      </c>
      <c r="C17" s="89">
        <f>ROUND($B17*'Charges d''exploitation'!E28/12,0)</f>
        <v>667</v>
      </c>
      <c r="D17" s="89">
        <f>ROUND($B17*'Charges d''exploitation'!F28/12,0)</f>
        <v>700</v>
      </c>
      <c r="E17" s="89">
        <f>ROUND($B17*'Charges d''exploitation'!G28/12,0)</f>
        <v>735</v>
      </c>
      <c r="F17" s="89">
        <f>ROUND($B17*'Charges d''exploitation'!H28/12,0)</f>
        <v>772</v>
      </c>
      <c r="G17" s="89">
        <f>ROUND($B17*'Charges d''exploitation'!I28/12,0)</f>
        <v>811</v>
      </c>
    </row>
    <row r="18" spans="1:7" x14ac:dyDescent="0.3">
      <c r="A18" s="71" t="str">
        <f>+'Charges d''exploitation'!A29</f>
        <v>Marketing</v>
      </c>
      <c r="B18" s="89">
        <v>12</v>
      </c>
      <c r="C18" s="89">
        <f>ROUND($B18*'Charges d''exploitation'!E29/12,0)</f>
        <v>0</v>
      </c>
      <c r="D18" s="89">
        <f>ROUND($B18*'Charges d''exploitation'!F29/12,0)</f>
        <v>6987</v>
      </c>
      <c r="E18" s="89">
        <f>ROUND($B18*'Charges d''exploitation'!G29/12,0)</f>
        <v>17687</v>
      </c>
      <c r="F18" s="89">
        <f>ROUND($B18*'Charges d''exploitation'!H29/12,0)</f>
        <v>25469</v>
      </c>
      <c r="G18" s="89">
        <f>ROUND($B18*'Charges d''exploitation'!I29/12,0)</f>
        <v>32798</v>
      </c>
    </row>
    <row r="19" spans="1:7" ht="17.25" thickBot="1" x14ac:dyDescent="0.35">
      <c r="A19" s="71" t="str">
        <f>+'Charges d''exploitation'!A30</f>
        <v>Divers et imprévus</v>
      </c>
      <c r="B19" s="89">
        <v>4</v>
      </c>
      <c r="C19" s="89">
        <f>ROUND($B19*'Charges d''exploitation'!E30/12,0)</f>
        <v>1667</v>
      </c>
      <c r="D19" s="89">
        <f>ROUND($B19*'Charges d''exploitation'!F30/12,0)</f>
        <v>1750</v>
      </c>
      <c r="E19" s="89">
        <f>ROUND($B19*'Charges d''exploitation'!G30/12,0)</f>
        <v>1838</v>
      </c>
      <c r="F19" s="89">
        <f>ROUND($B19*'Charges d''exploitation'!H30/12,0)</f>
        <v>1930</v>
      </c>
      <c r="G19" s="89">
        <f>ROUND($B19*'Charges d''exploitation'!I30/12,0)</f>
        <v>2026</v>
      </c>
    </row>
    <row r="20" spans="1:7" ht="17.25" thickBot="1" x14ac:dyDescent="0.35">
      <c r="A20" s="105" t="s">
        <v>125</v>
      </c>
      <c r="B20" s="90"/>
      <c r="C20" s="90">
        <f>SUM(C8:C19)</f>
        <v>30984</v>
      </c>
      <c r="D20" s="90">
        <f>SUM(D8:D19)</f>
        <v>47201</v>
      </c>
      <c r="E20" s="90">
        <f>SUM(E8:E19)</f>
        <v>65239</v>
      </c>
      <c r="F20" s="90">
        <f>SUM(F8:F19)</f>
        <v>76453</v>
      </c>
      <c r="G20" s="90">
        <f>SUM(G8:G19)</f>
        <v>102371</v>
      </c>
    </row>
    <row r="21" spans="1:7" ht="17.25" thickBot="1" x14ac:dyDescent="0.35">
      <c r="A21" s="106" t="s">
        <v>126</v>
      </c>
      <c r="B21" s="90"/>
      <c r="C21" s="90">
        <f>+C7-C20</f>
        <v>299016</v>
      </c>
      <c r="D21" s="90">
        <f>+D7-D20</f>
        <v>651499</v>
      </c>
      <c r="E21" s="90">
        <f>+E7-E20</f>
        <v>1703441</v>
      </c>
      <c r="F21" s="90">
        <f>+F7-F20</f>
        <v>2470446</v>
      </c>
      <c r="G21" s="90">
        <f>+G7-G20</f>
        <v>3177399</v>
      </c>
    </row>
    <row r="22" spans="1:7" ht="17.25" thickBot="1" x14ac:dyDescent="0.35">
      <c r="A22" s="106" t="s">
        <v>127</v>
      </c>
      <c r="B22" s="90"/>
      <c r="C22" s="90">
        <f>+C21</f>
        <v>299016</v>
      </c>
      <c r="D22" s="90">
        <f>+D21-C21</f>
        <v>352483</v>
      </c>
      <c r="E22" s="90">
        <f t="shared" ref="E22:G22" si="0">+E21-D21</f>
        <v>1051942</v>
      </c>
      <c r="F22" s="90">
        <f t="shared" si="0"/>
        <v>767005</v>
      </c>
      <c r="G22" s="90">
        <f t="shared" si="0"/>
        <v>706953</v>
      </c>
    </row>
    <row r="23" spans="1:7" ht="17.25" thickBot="1" x14ac:dyDescent="0.35">
      <c r="A23" s="10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zoomScaleNormal="100" workbookViewId="0">
      <selection activeCell="F12" sqref="F12"/>
    </sheetView>
  </sheetViews>
  <sheetFormatPr baseColWidth="10" defaultColWidth="11.42578125" defaultRowHeight="15" x14ac:dyDescent="0.25"/>
  <cols>
    <col min="1" max="1" width="34" style="73" customWidth="1"/>
    <col min="2" max="2" width="16" style="73" bestFit="1" customWidth="1"/>
    <col min="3" max="3" width="14.42578125" style="73" bestFit="1" customWidth="1"/>
    <col min="4" max="4" width="16" style="73" bestFit="1" customWidth="1"/>
    <col min="5" max="5" width="15.5703125" style="73" bestFit="1" customWidth="1"/>
    <col min="6" max="6" width="16.42578125" style="73" bestFit="1" customWidth="1"/>
    <col min="7" max="16384" width="11.42578125" style="73"/>
  </cols>
  <sheetData>
    <row r="2" spans="1:6" ht="18" x14ac:dyDescent="0.35">
      <c r="A2" s="112" t="s">
        <v>8</v>
      </c>
      <c r="B2" s="113"/>
      <c r="C2" s="113"/>
      <c r="D2" s="113"/>
      <c r="E2" s="113"/>
      <c r="F2" s="113"/>
    </row>
    <row r="3" spans="1:6" ht="18.75" thickBot="1" x14ac:dyDescent="0.4">
      <c r="A3" s="113"/>
      <c r="B3" s="113"/>
      <c r="C3" s="113"/>
      <c r="D3" s="113"/>
      <c r="E3" s="113"/>
      <c r="F3" s="113"/>
    </row>
    <row r="4" spans="1:6" ht="18.75" thickBot="1" x14ac:dyDescent="0.4">
      <c r="A4" s="114" t="s">
        <v>75</v>
      </c>
      <c r="B4" s="115" t="s">
        <v>14</v>
      </c>
      <c r="C4" s="116" t="s">
        <v>15</v>
      </c>
      <c r="D4" s="116" t="s">
        <v>16</v>
      </c>
      <c r="E4" s="116" t="s">
        <v>20</v>
      </c>
      <c r="F4" s="116" t="s">
        <v>21</v>
      </c>
    </row>
    <row r="5" spans="1:6" ht="18.75" thickBot="1" x14ac:dyDescent="0.4">
      <c r="A5" s="117" t="s">
        <v>128</v>
      </c>
      <c r="B5" s="118">
        <f>'Investissement &amp; Financement'!B10</f>
        <v>37160</v>
      </c>
      <c r="C5" s="118">
        <f>+SUM('Investissement &amp; Financement'!C5:C8)</f>
        <v>35000</v>
      </c>
      <c r="D5" s="118">
        <f>+SUM('Investissement &amp; Financement'!D5:D8)</f>
        <v>35000</v>
      </c>
      <c r="E5" s="118">
        <f>+SUM('Investissement &amp; Financement'!E5:E8)</f>
        <v>0</v>
      </c>
      <c r="F5" s="118">
        <f>+SUM('Investissement &amp; Financement'!F5:F8)</f>
        <v>0</v>
      </c>
    </row>
    <row r="6" spans="1:6" ht="18.75" thickBot="1" x14ac:dyDescent="0.4">
      <c r="A6" s="119" t="s">
        <v>127</v>
      </c>
      <c r="B6" s="118">
        <f>+BFR!C22</f>
        <v>299016</v>
      </c>
      <c r="C6" s="118">
        <f>+BFR!D22</f>
        <v>352483</v>
      </c>
      <c r="D6" s="118">
        <f>+BFR!E22</f>
        <v>1051942</v>
      </c>
      <c r="E6" s="118">
        <f>+BFR!F22</f>
        <v>767005</v>
      </c>
      <c r="F6" s="118">
        <f>+BFR!G22</f>
        <v>706953</v>
      </c>
    </row>
    <row r="7" spans="1:6" ht="18.75" thickBot="1" x14ac:dyDescent="0.4">
      <c r="A7" s="119" t="s">
        <v>35</v>
      </c>
      <c r="B7" s="118">
        <f>+'Investissement &amp; Financement'!B36</f>
        <v>8750</v>
      </c>
      <c r="C7" s="118">
        <f>+'Investissement &amp; Financement'!C36</f>
        <v>8750</v>
      </c>
      <c r="D7" s="118">
        <f>+'Investissement &amp; Financement'!D36</f>
        <v>8750</v>
      </c>
      <c r="E7" s="118">
        <f>+'Investissement &amp; Financement'!E36</f>
        <v>0</v>
      </c>
      <c r="F7" s="118">
        <f>+'Investissement &amp; Financement'!A32</f>
        <v>35000</v>
      </c>
    </row>
    <row r="8" spans="1:6" ht="18.75" thickBot="1" x14ac:dyDescent="0.4">
      <c r="A8" s="120" t="s">
        <v>129</v>
      </c>
      <c r="B8" s="121">
        <f>SUM(B5:B7)</f>
        <v>344926</v>
      </c>
      <c r="C8" s="121">
        <f>SUM(C5:C7)</f>
        <v>396233</v>
      </c>
      <c r="D8" s="121">
        <f>SUM(D5:D7)</f>
        <v>1095692</v>
      </c>
      <c r="E8" s="121">
        <f>SUM(E5:E7)</f>
        <v>767005</v>
      </c>
      <c r="F8" s="121">
        <f>SUM(F5:F7)</f>
        <v>741953</v>
      </c>
    </row>
    <row r="9" spans="1:6" ht="18.75" thickBot="1" x14ac:dyDescent="0.4">
      <c r="A9" s="119" t="s">
        <v>30</v>
      </c>
      <c r="B9" s="118">
        <f>+'Investissement &amp; Financement'!B16+'Investissement &amp; Financement'!B17</f>
        <v>18160</v>
      </c>
      <c r="C9" s="118">
        <v>0</v>
      </c>
      <c r="D9" s="118">
        <v>0</v>
      </c>
      <c r="E9" s="118">
        <f>+'Investissement &amp; Financement'!E16</f>
        <v>0</v>
      </c>
      <c r="F9" s="118">
        <v>0</v>
      </c>
    </row>
    <row r="10" spans="1:6" ht="18.75" thickBot="1" x14ac:dyDescent="0.4">
      <c r="A10" s="119" t="s">
        <v>34</v>
      </c>
      <c r="B10" s="118">
        <f>+SUM('Investissement &amp; Financement'!B18:B19)</f>
        <v>19000</v>
      </c>
      <c r="C10" s="118">
        <v>0</v>
      </c>
      <c r="D10" s="118">
        <v>0</v>
      </c>
      <c r="E10" s="118">
        <v>0</v>
      </c>
      <c r="F10" s="118">
        <v>0</v>
      </c>
    </row>
    <row r="11" spans="1:6" ht="18.75" thickBot="1" x14ac:dyDescent="0.4">
      <c r="A11" s="119" t="s">
        <v>9</v>
      </c>
      <c r="B11" s="118">
        <f>+'Compte d''exploitation'!B21</f>
        <v>178550</v>
      </c>
      <c r="C11" s="118">
        <f>+'Compte d''exploitation'!C21</f>
        <v>426851</v>
      </c>
      <c r="D11" s="118">
        <f>+'Compte d''exploitation'!D21</f>
        <v>1054281</v>
      </c>
      <c r="E11" s="118">
        <f>+'Compte d''exploitation'!E21</f>
        <v>1525692.15</v>
      </c>
      <c r="F11" s="118">
        <f>+'Compte d''exploitation'!F21</f>
        <v>1904051.9585999998</v>
      </c>
    </row>
    <row r="12" spans="1:6" ht="18.75" thickBot="1" x14ac:dyDescent="0.4">
      <c r="A12" s="120" t="s">
        <v>10</v>
      </c>
      <c r="B12" s="121">
        <f t="shared" ref="B12:D12" si="0">SUM(B9:B11)</f>
        <v>215710</v>
      </c>
      <c r="C12" s="121">
        <f t="shared" si="0"/>
        <v>426851</v>
      </c>
      <c r="D12" s="121">
        <f t="shared" si="0"/>
        <v>1054281</v>
      </c>
      <c r="E12" s="121">
        <f t="shared" ref="E12:F12" si="1">SUM(E9:E11)</f>
        <v>1525692.15</v>
      </c>
      <c r="F12" s="121">
        <f t="shared" si="1"/>
        <v>1904051.9585999998</v>
      </c>
    </row>
    <row r="13" spans="1:6" ht="18.75" thickBot="1" x14ac:dyDescent="0.4">
      <c r="A13" s="120" t="s">
        <v>130</v>
      </c>
      <c r="B13" s="121">
        <f>B12-B8</f>
        <v>-129216</v>
      </c>
      <c r="C13" s="121">
        <f t="shared" ref="C13:F13" si="2">C12-C8</f>
        <v>30618</v>
      </c>
      <c r="D13" s="121">
        <f t="shared" si="2"/>
        <v>-41411</v>
      </c>
      <c r="E13" s="121">
        <f>E12-E8</f>
        <v>758687.14999999991</v>
      </c>
      <c r="F13" s="121">
        <f t="shared" si="2"/>
        <v>1162098.9585999998</v>
      </c>
    </row>
    <row r="14" spans="1:6" ht="18.75" thickBot="1" x14ac:dyDescent="0.4">
      <c r="A14" s="120" t="s">
        <v>131</v>
      </c>
      <c r="B14" s="121">
        <f>B13</f>
        <v>-129216</v>
      </c>
      <c r="C14" s="121">
        <f>B14+C13</f>
        <v>-98598</v>
      </c>
      <c r="D14" s="121">
        <f t="shared" ref="D14:F14" si="3">C14+D13</f>
        <v>-140009</v>
      </c>
      <c r="E14" s="121">
        <f t="shared" si="3"/>
        <v>618678.14999999991</v>
      </c>
      <c r="F14" s="121">
        <f t="shared" si="3"/>
        <v>1780777.1085999997</v>
      </c>
    </row>
    <row r="16" spans="1:6" x14ac:dyDescent="0.25">
      <c r="B16" s="74"/>
      <c r="E16" s="74"/>
    </row>
    <row r="17" spans="2:4" x14ac:dyDescent="0.25">
      <c r="B17" s="74"/>
      <c r="C17" s="74"/>
    </row>
    <row r="18" spans="2:4" x14ac:dyDescent="0.25">
      <c r="B18" s="74"/>
      <c r="C18" s="74"/>
      <c r="D18" s="74"/>
    </row>
    <row r="19" spans="2:4" x14ac:dyDescent="0.25">
      <c r="B19" s="74"/>
      <c r="C19" s="74"/>
      <c r="D19" s="74"/>
    </row>
    <row r="21" spans="2:4" x14ac:dyDescent="0.25">
      <c r="B21" s="7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9" workbookViewId="0">
      <selection activeCell="I53" sqref="I5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Investissement &amp; Financement</vt:lpstr>
      <vt:lpstr>CA</vt:lpstr>
      <vt:lpstr>Charges du personnel</vt:lpstr>
      <vt:lpstr>Charges d'exploitation</vt:lpstr>
      <vt:lpstr>Amortissement</vt:lpstr>
      <vt:lpstr>Compte d'exploitation</vt:lpstr>
      <vt:lpstr>BFR</vt:lpstr>
      <vt:lpstr>Trésorerie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2021-12-08T22:31:52Z</dcterms:modified>
</cp:coreProperties>
</file>