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7.xml"/>
  <Override ContentType="application/vnd.openxmlformats-officedocument.spreadsheetml.table+xml" PartName="/xl/tables/table4.xml"/>
  <Override ContentType="application/vnd.openxmlformats-officedocument.spreadsheetml.table+xml" PartName="/xl/tables/table29.xml"/>
  <Override ContentType="application/vnd.openxmlformats-officedocument.spreadsheetml.table+xml" PartName="/xl/tables/table32.xml"/>
  <Override ContentType="application/vnd.openxmlformats-officedocument.spreadsheetml.table+xml" PartName="/xl/tables/table28.xml"/>
  <Override ContentType="application/vnd.openxmlformats-officedocument.spreadsheetml.table+xml" PartName="/xl/tables/table41.xml"/>
  <Override ContentType="application/vnd.openxmlformats-officedocument.spreadsheetml.table+xml" PartName="/xl/tables/table15.xml"/>
  <Override ContentType="application/vnd.openxmlformats-officedocument.spreadsheetml.table+xml" PartName="/xl/tables/table8.xml"/>
  <Override ContentType="application/vnd.openxmlformats-officedocument.spreadsheetml.table+xml" PartName="/xl/tables/table24.xml"/>
  <Override ContentType="application/vnd.openxmlformats-officedocument.spreadsheetml.table+xml" PartName="/xl/tables/table11.xml"/>
  <Override ContentType="application/vnd.openxmlformats-officedocument.spreadsheetml.table+xml" PartName="/xl/tables/table31.xml"/>
  <Override ContentType="application/vnd.openxmlformats-officedocument.spreadsheetml.table+xml" PartName="/xl/tables/table5.xml"/>
  <Override ContentType="application/vnd.openxmlformats-officedocument.spreadsheetml.table+xml" PartName="/xl/tables/table36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40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9.xml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35.xml"/>
  <Override ContentType="application/vnd.openxmlformats-officedocument.spreadsheetml.table+xml" PartName="/xl/tables/table26.xml"/>
  <Override ContentType="application/vnd.openxmlformats-officedocument.spreadsheetml.table+xml" PartName="/xl/tables/table6.xml"/>
  <Override ContentType="application/vnd.openxmlformats-officedocument.spreadsheetml.table+xml" PartName="/xl/tables/table39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33.xml"/>
  <Override ContentType="application/vnd.openxmlformats-officedocument.spreadsheetml.table+xml" PartName="/xl/tables/table42.xml"/>
  <Override ContentType="application/vnd.openxmlformats-officedocument.spreadsheetml.table+xml" PartName="/xl/tables/table34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38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39.xml"/>
  <Override ContentType="application/vnd.openxmlformats-officedocument.drawingml.chart+xml" PartName="/xl/charts/chart35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16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37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40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hidden" name="Sheet3" sheetId="2" r:id="rId5"/>
    <sheet state="visible" name="Company Dashboard" sheetId="3" r:id="rId6"/>
    <sheet state="visible" name="Department Dashboard" sheetId="4" r:id="rId7"/>
  </sheets>
  <definedNames>
    <definedName hidden="1" localSheetId="0" name="Z_022A648A_E272_4718_A30B_414854979C7D_.wvu.FilterData">Data!$A$1:$AN$1001</definedName>
    <definedName hidden="1" localSheetId="0" name="Z_B3B5721E_1AC3_4DE9_B313_CD4F96865536_.wvu.FilterData">Data!$A$1:$AL$1001</definedName>
  </definedNames>
  <calcPr/>
  <customWorkbookViews>
    <customWorkbookView activeSheetId="0" maximized="1" windowHeight="0" windowWidth="0" guid="{022A648A-E272-4718-A30B-414854979C7D}" name="Filter 2"/>
    <customWorkbookView activeSheetId="0" maximized="1" windowHeight="0" windowWidth="0" guid="{B3B5721E-1AC3-4DE9-B313-CD4F96865536}" name="Filter 1"/>
  </customWorkbookViews>
</workbook>
</file>

<file path=xl/sharedStrings.xml><?xml version="1.0" encoding="utf-8"?>
<sst xmlns="http://schemas.openxmlformats.org/spreadsheetml/2006/main" count="25114" uniqueCount="9982">
  <si>
    <t>Emp ID</t>
  </si>
  <si>
    <t>Name Prefix</t>
  </si>
  <si>
    <t>First Name</t>
  </si>
  <si>
    <t>Middle Initial</t>
  </si>
  <si>
    <t>Last Name</t>
  </si>
  <si>
    <t>Gender</t>
  </si>
  <si>
    <t>E Mail</t>
  </si>
  <si>
    <t>Department</t>
  </si>
  <si>
    <t>Father's Name</t>
  </si>
  <si>
    <t>Mother's Name</t>
  </si>
  <si>
    <t>Mother's Maiden Name</t>
  </si>
  <si>
    <t>Date of Birth</t>
  </si>
  <si>
    <t>Time of Birth</t>
  </si>
  <si>
    <t>Age in Yrs.</t>
  </si>
  <si>
    <t>Weight in Kgs.</t>
  </si>
  <si>
    <t>Date of Joining</t>
  </si>
  <si>
    <t>Quarter of Joining</t>
  </si>
  <si>
    <t>Half of Joining</t>
  </si>
  <si>
    <t>Year of Joining</t>
  </si>
  <si>
    <t>Month of Joining</t>
  </si>
  <si>
    <t>Month Name of Joining</t>
  </si>
  <si>
    <t>Short Month</t>
  </si>
  <si>
    <t>Day of Joining</t>
  </si>
  <si>
    <t>DOW of Joining</t>
  </si>
  <si>
    <t>Short DOW</t>
  </si>
  <si>
    <t>Age in Company (Years)</t>
  </si>
  <si>
    <t>Salary</t>
  </si>
  <si>
    <t>Last % Hike</t>
  </si>
  <si>
    <t>SSN</t>
  </si>
  <si>
    <t>Phone No.</t>
  </si>
  <si>
    <t>Place Name</t>
  </si>
  <si>
    <t>County</t>
  </si>
  <si>
    <t>City</t>
  </si>
  <si>
    <t>State</t>
  </si>
  <si>
    <t>Zip</t>
  </si>
  <si>
    <t>Region</t>
  </si>
  <si>
    <t>User Name</t>
  </si>
  <si>
    <t>Password</t>
  </si>
  <si>
    <t>Age Break</t>
  </si>
  <si>
    <t>Tenure Break</t>
  </si>
  <si>
    <t>Salary Break</t>
  </si>
  <si>
    <t>Last Hike% Break</t>
  </si>
  <si>
    <t>Ms.</t>
  </si>
  <si>
    <t>Shawna</t>
  </si>
  <si>
    <t>W</t>
  </si>
  <si>
    <t>Buck</t>
  </si>
  <si>
    <t>F</t>
  </si>
  <si>
    <t>shawna.buck@gmail.com</t>
  </si>
  <si>
    <t>Human Resources</t>
  </si>
  <si>
    <t>Rosario Buck</t>
  </si>
  <si>
    <t>Keisha Buck</t>
  </si>
  <si>
    <t>Hendricks</t>
  </si>
  <si>
    <t>Q4</t>
  </si>
  <si>
    <t>H2</t>
  </si>
  <si>
    <t>December</t>
  </si>
  <si>
    <t>Dec</t>
  </si>
  <si>
    <t>Saturday</t>
  </si>
  <si>
    <t>Sat</t>
  </si>
  <si>
    <t>222-11-7603</t>
  </si>
  <si>
    <t>702-771-7149</t>
  </si>
  <si>
    <t>Las Vegas</t>
  </si>
  <si>
    <t>Clark</t>
  </si>
  <si>
    <t>NV</t>
  </si>
  <si>
    <t>West</t>
  </si>
  <si>
    <t>swbuck</t>
  </si>
  <si>
    <t>ja8?k3BTF^]o@&lt;&amp;</t>
  </si>
  <si>
    <t>Mr.</t>
  </si>
  <si>
    <t>Nathaniel</t>
  </si>
  <si>
    <t>Z</t>
  </si>
  <si>
    <t>Burke</t>
  </si>
  <si>
    <t>M</t>
  </si>
  <si>
    <t>nathaniel.burke@walmart.com</t>
  </si>
  <si>
    <t>Derrick Burke</t>
  </si>
  <si>
    <t>Phoebe Burke</t>
  </si>
  <si>
    <t>Pugh</t>
  </si>
  <si>
    <t>Q2</t>
  </si>
  <si>
    <t>H1</t>
  </si>
  <si>
    <t>April</t>
  </si>
  <si>
    <t>Apr</t>
  </si>
  <si>
    <t>Tuesday</t>
  </si>
  <si>
    <t>Tue</t>
  </si>
  <si>
    <t>550-99-9897</t>
  </si>
  <si>
    <t>231-765-6923</t>
  </si>
  <si>
    <t>Irons</t>
  </si>
  <si>
    <t>Lake</t>
  </si>
  <si>
    <t>MI</t>
  </si>
  <si>
    <t>Midwest</t>
  </si>
  <si>
    <t>nzburke</t>
  </si>
  <si>
    <t>tPA@4Wh9Ja$+Ln</t>
  </si>
  <si>
    <t>Drs.</t>
  </si>
  <si>
    <t>Elisabeth</t>
  </si>
  <si>
    <t>Foster</t>
  </si>
  <si>
    <t>elisabeth.foster@gmail.com</t>
  </si>
  <si>
    <t>Irwin Foster</t>
  </si>
  <si>
    <t>Janie Foster</t>
  </si>
  <si>
    <t>Delaney</t>
  </si>
  <si>
    <t>Q1</t>
  </si>
  <si>
    <t>March</t>
  </si>
  <si>
    <t>Mar</t>
  </si>
  <si>
    <t>Monday</t>
  </si>
  <si>
    <t>Mon</t>
  </si>
  <si>
    <t>215-91-0004</t>
  </si>
  <si>
    <t>270-749-4774</t>
  </si>
  <si>
    <t>Lexington</t>
  </si>
  <si>
    <t>Fayette</t>
  </si>
  <si>
    <t>KY</t>
  </si>
  <si>
    <t>South</t>
  </si>
  <si>
    <t>ewfoster</t>
  </si>
  <si>
    <t>5D.B4IGNkWJfG&lt;~</t>
  </si>
  <si>
    <t>Mrs.</t>
  </si>
  <si>
    <t>Briana</t>
  </si>
  <si>
    <t>C</t>
  </si>
  <si>
    <t>Lancaster</t>
  </si>
  <si>
    <t>briana.lancaster@yahoo.com</t>
  </si>
  <si>
    <t>Jeffrey Lancaster</t>
  </si>
  <si>
    <t>Shelby Lancaster</t>
  </si>
  <si>
    <t>Weiss</t>
  </si>
  <si>
    <t>February</t>
  </si>
  <si>
    <t>Feb</t>
  </si>
  <si>
    <t>534-71-1053</t>
  </si>
  <si>
    <t>219-623-8216</t>
  </si>
  <si>
    <t>Munster</t>
  </si>
  <si>
    <t>IN</t>
  </si>
  <si>
    <t>bclancaster</t>
  </si>
  <si>
    <t>I%?JDM;pW</t>
  </si>
  <si>
    <t>Hon.</t>
  </si>
  <si>
    <t>Estella</t>
  </si>
  <si>
    <t>L</t>
  </si>
  <si>
    <t>Potter</t>
  </si>
  <si>
    <t>estella.potter@gmail.com</t>
  </si>
  <si>
    <t>Booker Potter</t>
  </si>
  <si>
    <t>Katelyn Potter</t>
  </si>
  <si>
    <t>Pate</t>
  </si>
  <si>
    <t>October</t>
  </si>
  <si>
    <t>Oct</t>
  </si>
  <si>
    <t>644-29-6396</t>
  </si>
  <si>
    <t>907-677-8486</t>
  </si>
  <si>
    <t>Fairbanks</t>
  </si>
  <si>
    <t>Fairbanks North Star</t>
  </si>
  <si>
    <t>AK</t>
  </si>
  <si>
    <t>elpotter</t>
  </si>
  <si>
    <t>j4jkEXfC&amp;Rh</t>
  </si>
  <si>
    <t>Lamont</t>
  </si>
  <si>
    <t>Woods</t>
  </si>
  <si>
    <t>lamont.woods@hotmail.com</t>
  </si>
  <si>
    <t>Ignacio Woods</t>
  </si>
  <si>
    <t>Beulah Woods</t>
  </si>
  <si>
    <t>Trujillo</t>
  </si>
  <si>
    <t>November</t>
  </si>
  <si>
    <t>Nov</t>
  </si>
  <si>
    <t>Thursday</t>
  </si>
  <si>
    <t>Thu</t>
  </si>
  <si>
    <t>037-74-2595</t>
  </si>
  <si>
    <t>236-597-8196</t>
  </si>
  <si>
    <t>Purcellville</t>
  </si>
  <si>
    <t>Loudoun</t>
  </si>
  <si>
    <t>VA</t>
  </si>
  <si>
    <t>llwoods</t>
  </si>
  <si>
    <t>8tf/YU}&gt;s</t>
  </si>
  <si>
    <t>Melinda</t>
  </si>
  <si>
    <t>Lopez</t>
  </si>
  <si>
    <t>melinda.lopez@hotmail.com</t>
  </si>
  <si>
    <t>Leroy Lopez</t>
  </si>
  <si>
    <t>Edna Lopez</t>
  </si>
  <si>
    <t>Carter</t>
  </si>
  <si>
    <t>541-83-6362</t>
  </si>
  <si>
    <t>210-396-1493</t>
  </si>
  <si>
    <t>Stowell</t>
  </si>
  <si>
    <t>Chambers</t>
  </si>
  <si>
    <t>TX</t>
  </si>
  <si>
    <t>mllopez</t>
  </si>
  <si>
    <t>hf*&amp;Gcb[</t>
  </si>
  <si>
    <t>Shanna</t>
  </si>
  <si>
    <t>U</t>
  </si>
  <si>
    <t>Silva</t>
  </si>
  <si>
    <t>shanna.silva@gmail.com</t>
  </si>
  <si>
    <t>Eliseo Silva</t>
  </si>
  <si>
    <t>Minnie Silva</t>
  </si>
  <si>
    <t>Callahan</t>
  </si>
  <si>
    <t>673-48-7003</t>
  </si>
  <si>
    <t>236-373-6712</t>
  </si>
  <si>
    <t>Herndon</t>
  </si>
  <si>
    <t>Fairfax</t>
  </si>
  <si>
    <t>susilva</t>
  </si>
  <si>
    <t>oudj2Bq4vc2_{PU</t>
  </si>
  <si>
    <t>Jasmine</t>
  </si>
  <si>
    <t>J</t>
  </si>
  <si>
    <t>Freeman</t>
  </si>
  <si>
    <t>jasmine.freeman@gmail.com</t>
  </si>
  <si>
    <t>Hans Freeman</t>
  </si>
  <si>
    <t>Renee Freeman</t>
  </si>
  <si>
    <t>Mcbride</t>
  </si>
  <si>
    <t>600-99-8437</t>
  </si>
  <si>
    <t>423-796-1535</t>
  </si>
  <si>
    <t>Ocoee</t>
  </si>
  <si>
    <t>Polk</t>
  </si>
  <si>
    <t>TN</t>
  </si>
  <si>
    <t>jjfreeman</t>
  </si>
  <si>
    <t>Q.8&lt;Q&gt;K*H\*6f</t>
  </si>
  <si>
    <t>Madge</t>
  </si>
  <si>
    <t>V</t>
  </si>
  <si>
    <t>Sargent</t>
  </si>
  <si>
    <t>madge.sargent@aol.com</t>
  </si>
  <si>
    <t>Luke Sargent</t>
  </si>
  <si>
    <t>Judy Sargent</t>
  </si>
  <si>
    <t>Herrera</t>
  </si>
  <si>
    <t>177-86-7347</t>
  </si>
  <si>
    <t>217-910-0644</t>
  </si>
  <si>
    <t>Springfield</t>
  </si>
  <si>
    <t>Sangamon</t>
  </si>
  <si>
    <t>IL</t>
  </si>
  <si>
    <t>mvsargent</t>
  </si>
  <si>
    <t>bc\&amp;B81h</t>
  </si>
  <si>
    <t>Bethany</t>
  </si>
  <si>
    <t>Cline</t>
  </si>
  <si>
    <t>bethany.cline@yahoo.ca</t>
  </si>
  <si>
    <t>Eddie Cline</t>
  </si>
  <si>
    <t>Deanne Cline</t>
  </si>
  <si>
    <t>Gordon</t>
  </si>
  <si>
    <t>700-18-6519</t>
  </si>
  <si>
    <t>215-970-5881</t>
  </si>
  <si>
    <t>Montgomery</t>
  </si>
  <si>
    <t>Lycoming</t>
  </si>
  <si>
    <t>PA</t>
  </si>
  <si>
    <t>Northeast</t>
  </si>
  <si>
    <t>bzcline</t>
  </si>
  <si>
    <t>6wvl^0+zl.b/1</t>
  </si>
  <si>
    <t>Prof.</t>
  </si>
  <si>
    <t>Reid</t>
  </si>
  <si>
    <t>Randolph</t>
  </si>
  <si>
    <t>reid.randolph@gmail.com</t>
  </si>
  <si>
    <t>Grover Randolph</t>
  </si>
  <si>
    <t>Erika Randolph</t>
  </si>
  <si>
    <t>Melendez</t>
  </si>
  <si>
    <t>343-11-4951</t>
  </si>
  <si>
    <t>209-996-8902</t>
  </si>
  <si>
    <t>Pacoima</t>
  </si>
  <si>
    <t>Los Angeles</t>
  </si>
  <si>
    <t>CA</t>
  </si>
  <si>
    <t>rfrandolph</t>
  </si>
  <si>
    <t>Uc@^[]cqnZs</t>
  </si>
  <si>
    <t>Antoine</t>
  </si>
  <si>
    <t>H</t>
  </si>
  <si>
    <t>Wiley</t>
  </si>
  <si>
    <t>antoine.wiley@verizon.net</t>
  </si>
  <si>
    <t>Frances Wiley</t>
  </si>
  <si>
    <t>Naomi Wiley</t>
  </si>
  <si>
    <t>Kirby</t>
  </si>
  <si>
    <t>078-02-8772</t>
  </si>
  <si>
    <t>503-361-6334</t>
  </si>
  <si>
    <t>Canby</t>
  </si>
  <si>
    <t>Clackamas</t>
  </si>
  <si>
    <t>OR</t>
  </si>
  <si>
    <t>ahwiley</t>
  </si>
  <si>
    <t>r~4%7~uU|I&lt;4CJ</t>
  </si>
  <si>
    <t>Dr.</t>
  </si>
  <si>
    <t>Mathew</t>
  </si>
  <si>
    <t>O</t>
  </si>
  <si>
    <t>Hodge</t>
  </si>
  <si>
    <t>mathew.hodge@hotmail.com</t>
  </si>
  <si>
    <t>Prince Hodge</t>
  </si>
  <si>
    <t>Regina Hodge</t>
  </si>
  <si>
    <t>Henderson</t>
  </si>
  <si>
    <t>Friday</t>
  </si>
  <si>
    <t>Fri</t>
  </si>
  <si>
    <t>161-86-9547</t>
  </si>
  <si>
    <t>209-294-7430</t>
  </si>
  <si>
    <t>Van Nuys</t>
  </si>
  <si>
    <t>mohodge</t>
  </si>
  <si>
    <t>1E7oKc:M!cKsgq</t>
  </si>
  <si>
    <t>Bernardo</t>
  </si>
  <si>
    <t>Austin</t>
  </si>
  <si>
    <t>bernardo.austin@hotmail.com</t>
  </si>
  <si>
    <t>Lowell Austin</t>
  </si>
  <si>
    <t>Shauna Austin</t>
  </si>
  <si>
    <t>Humphrey</t>
  </si>
  <si>
    <t>January</t>
  </si>
  <si>
    <t>Jan</t>
  </si>
  <si>
    <t>Wednesday</t>
  </si>
  <si>
    <t>Wed</t>
  </si>
  <si>
    <t>143-23-9034</t>
  </si>
  <si>
    <t>319-716-4227</t>
  </si>
  <si>
    <t>Knoxville</t>
  </si>
  <si>
    <t>Marion</t>
  </si>
  <si>
    <t>IA</t>
  </si>
  <si>
    <t>blaustin</t>
  </si>
  <si>
    <t>S:An&amp;6n%&gt;s!</t>
  </si>
  <si>
    <t>Cole</t>
  </si>
  <si>
    <t>E</t>
  </si>
  <si>
    <t>Jensen</t>
  </si>
  <si>
    <t>cole.jensen@aol.com</t>
  </si>
  <si>
    <t>Terence Jensen</t>
  </si>
  <si>
    <t>Belinda Jensen</t>
  </si>
  <si>
    <t>Brown</t>
  </si>
  <si>
    <t>May</t>
  </si>
  <si>
    <t>762-12-1934</t>
  </si>
  <si>
    <t>405-495-4201</t>
  </si>
  <si>
    <t>Oklahoma City</t>
  </si>
  <si>
    <t>Oklahoma</t>
  </si>
  <si>
    <t>OK</t>
  </si>
  <si>
    <t>cejensen</t>
  </si>
  <si>
    <t>C@#*|0ODx{7%bc</t>
  </si>
  <si>
    <t>Tonia</t>
  </si>
  <si>
    <t>Burns</t>
  </si>
  <si>
    <t>tonia.burns@gmail.com</t>
  </si>
  <si>
    <t>Johnathan Burns</t>
  </si>
  <si>
    <t>Brianna Burns</t>
  </si>
  <si>
    <t>Lester</t>
  </si>
  <si>
    <t>Q3</t>
  </si>
  <si>
    <t>September</t>
  </si>
  <si>
    <t>Sep</t>
  </si>
  <si>
    <t>093-02-0725</t>
  </si>
  <si>
    <t>209-631-5424</t>
  </si>
  <si>
    <t>Friant</t>
  </si>
  <si>
    <t>Fresno</t>
  </si>
  <si>
    <t>tjburns</t>
  </si>
  <si>
    <t>0bGtW[zHT?eSq\N</t>
  </si>
  <si>
    <t>Tod</t>
  </si>
  <si>
    <t>N</t>
  </si>
  <si>
    <t>Holcomb</t>
  </si>
  <si>
    <t>tod.holcomb@outlook.com</t>
  </si>
  <si>
    <t>Gail Holcomb</t>
  </si>
  <si>
    <t>Beulah Holcomb</t>
  </si>
  <si>
    <t>Keller</t>
  </si>
  <si>
    <t>June</t>
  </si>
  <si>
    <t>Jun</t>
  </si>
  <si>
    <t>770-02-9125</t>
  </si>
  <si>
    <t>240-364-4220</t>
  </si>
  <si>
    <t>Patuxent River</t>
  </si>
  <si>
    <t>St. Mary's</t>
  </si>
  <si>
    <t>MD</t>
  </si>
  <si>
    <t>tnholcomb</t>
  </si>
  <si>
    <t>205oA^B^</t>
  </si>
  <si>
    <t>Yesenia</t>
  </si>
  <si>
    <t>B</t>
  </si>
  <si>
    <t>Guerrero</t>
  </si>
  <si>
    <t>yesenia.guerrero@btinternet.com</t>
  </si>
  <si>
    <t>Alfred Guerrero</t>
  </si>
  <si>
    <t>Lori Guerrero</t>
  </si>
  <si>
    <t>Joyner</t>
  </si>
  <si>
    <t>494-29-3248</t>
  </si>
  <si>
    <t>240-505-5321</t>
  </si>
  <si>
    <t>Reisterstown</t>
  </si>
  <si>
    <t>Baltimore</t>
  </si>
  <si>
    <t>ybguerrero</t>
  </si>
  <si>
    <t>R:%7@}wYr$</t>
  </si>
  <si>
    <t>Carey</t>
  </si>
  <si>
    <t>Ferrell</t>
  </si>
  <si>
    <t>carey.ferrell@yahoo.com</t>
  </si>
  <si>
    <t>Robby Ferrell</t>
  </si>
  <si>
    <t>Christi Ferrell</t>
  </si>
  <si>
    <t>Bradshaw</t>
  </si>
  <si>
    <t>522-99-2018</t>
  </si>
  <si>
    <t>212-495-4523</t>
  </si>
  <si>
    <t>New Baltimore</t>
  </si>
  <si>
    <t>Greene</t>
  </si>
  <si>
    <t>NY</t>
  </si>
  <si>
    <t>cbferrell</t>
  </si>
  <si>
    <t>U~BdKWV?i.</t>
  </si>
  <si>
    <t>Aileen</t>
  </si>
  <si>
    <t>D</t>
  </si>
  <si>
    <t>Blanchard</t>
  </si>
  <si>
    <t>aileen.blanchard@gmail.com</t>
  </si>
  <si>
    <t>Kurt Blanchard</t>
  </si>
  <si>
    <t>Virgie Blanchard</t>
  </si>
  <si>
    <t>Christian</t>
  </si>
  <si>
    <t>July</t>
  </si>
  <si>
    <t>Jul</t>
  </si>
  <si>
    <t>401-73-0903</t>
  </si>
  <si>
    <t>308-788-3843</t>
  </si>
  <si>
    <t>Herman</t>
  </si>
  <si>
    <t>Washington</t>
  </si>
  <si>
    <t>NE</t>
  </si>
  <si>
    <t>adblanchard</t>
  </si>
  <si>
    <t>y^c.5-;po\t</t>
  </si>
  <si>
    <t>Marta</t>
  </si>
  <si>
    <t>Cervantes</t>
  </si>
  <si>
    <t>marta.cervantes@gmail.com</t>
  </si>
  <si>
    <t>Fletcher Cervantes</t>
  </si>
  <si>
    <t>Hazel Cervantes</t>
  </si>
  <si>
    <t>Singleton</t>
  </si>
  <si>
    <t>530-99-5537</t>
  </si>
  <si>
    <t>206-858-9176</t>
  </si>
  <si>
    <t>Hoquiam</t>
  </si>
  <si>
    <t>Grays Harbor</t>
  </si>
  <si>
    <t>WA</t>
  </si>
  <si>
    <t>mncervantes</t>
  </si>
  <si>
    <t>qUe$H{X:O{hd</t>
  </si>
  <si>
    <t>Arthur</t>
  </si>
  <si>
    <t>Q</t>
  </si>
  <si>
    <t>Holloway</t>
  </si>
  <si>
    <t>arthur.holloway@aol.com</t>
  </si>
  <si>
    <t>Reggie Holloway</t>
  </si>
  <si>
    <t>Rosemarie Holloway</t>
  </si>
  <si>
    <t>Pope</t>
  </si>
  <si>
    <t>210-84-4283</t>
  </si>
  <si>
    <t>225-832-0451</t>
  </si>
  <si>
    <t>Dodson</t>
  </si>
  <si>
    <t>Winn</t>
  </si>
  <si>
    <t>LA</t>
  </si>
  <si>
    <t>aqholloway</t>
  </si>
  <si>
    <t>n&lt;@dGdwIzUwvPk</t>
  </si>
  <si>
    <t>Tara</t>
  </si>
  <si>
    <t>Y</t>
  </si>
  <si>
    <t>Forbes</t>
  </si>
  <si>
    <t>tara.forbes@gmail.com</t>
  </si>
  <si>
    <t>Davis Forbes</t>
  </si>
  <si>
    <t>Elvia Forbes</t>
  </si>
  <si>
    <t>Gonzalez</t>
  </si>
  <si>
    <t>249-99-1301</t>
  </si>
  <si>
    <t>319-249-4281</t>
  </si>
  <si>
    <t>Sheldon</t>
  </si>
  <si>
    <t>O'Brien</t>
  </si>
  <si>
    <t>tyforbes</t>
  </si>
  <si>
    <t>Y%4awtgN^R</t>
  </si>
  <si>
    <t>Josef</t>
  </si>
  <si>
    <t>S</t>
  </si>
  <si>
    <t>Griffin</t>
  </si>
  <si>
    <t>josef.griffin@yahoo.com</t>
  </si>
  <si>
    <t>Dee Griffin</t>
  </si>
  <si>
    <t>Leonor Griffin</t>
  </si>
  <si>
    <t>Glass</t>
  </si>
  <si>
    <t>263-99-4192</t>
  </si>
  <si>
    <t>209-441-9130</t>
  </si>
  <si>
    <t>Sacramento</t>
  </si>
  <si>
    <t>jsgriffin</t>
  </si>
  <si>
    <t>s#m$4tEDNy.WlWS</t>
  </si>
  <si>
    <t>Keri</t>
  </si>
  <si>
    <t>Slater</t>
  </si>
  <si>
    <t>keri.slater@apple.com</t>
  </si>
  <si>
    <t>Tyler Slater</t>
  </si>
  <si>
    <t>Jeanne Slater</t>
  </si>
  <si>
    <t>Bowman</t>
  </si>
  <si>
    <t>August</t>
  </si>
  <si>
    <t>Aug</t>
  </si>
  <si>
    <t>391-33-2772</t>
  </si>
  <si>
    <t>207-842-2965</t>
  </si>
  <si>
    <t>Friendship</t>
  </si>
  <si>
    <t>Knox</t>
  </si>
  <si>
    <t>ME</t>
  </si>
  <si>
    <t>kjslater</t>
  </si>
  <si>
    <t>s//}_Fg#2%3myC</t>
  </si>
  <si>
    <t>Desmond</t>
  </si>
  <si>
    <t>R</t>
  </si>
  <si>
    <t>Wynn</t>
  </si>
  <si>
    <t>desmond.wynn@hotmail.com</t>
  </si>
  <si>
    <t>Louis Wynn</t>
  </si>
  <si>
    <t>Marianne Wynn</t>
  </si>
  <si>
    <t>Dennis</t>
  </si>
  <si>
    <t>672-48-8042</t>
  </si>
  <si>
    <t>209-319-3405</t>
  </si>
  <si>
    <t>drwynn</t>
  </si>
  <si>
    <t>7&lt;mlnx&lt;s+rU7</t>
  </si>
  <si>
    <t>Adrienne</t>
  </si>
  <si>
    <t>Puckett</t>
  </si>
  <si>
    <t>adrienne.puckett@verizon.net</t>
  </si>
  <si>
    <t>Fletcher Puckett</t>
  </si>
  <si>
    <t>Nicole Puckett</t>
  </si>
  <si>
    <t>Barron</t>
  </si>
  <si>
    <t>218-89-2915</t>
  </si>
  <si>
    <t>209-235-0390</t>
  </si>
  <si>
    <t>Burlingame</t>
  </si>
  <si>
    <t>San Mateo</t>
  </si>
  <si>
    <t>ahpuckett</t>
  </si>
  <si>
    <t>lI+;8&lt;q%jFCwn*</t>
  </si>
  <si>
    <t>Beatriz</t>
  </si>
  <si>
    <t>I</t>
  </si>
  <si>
    <t>Knowles</t>
  </si>
  <si>
    <t>beatriz.knowles@gmail.com</t>
  </si>
  <si>
    <t>Jackson Knowles</t>
  </si>
  <si>
    <t>Ava Knowles</t>
  </si>
  <si>
    <t>Horton</t>
  </si>
  <si>
    <t>708-18-8763</t>
  </si>
  <si>
    <t>406-923-1326</t>
  </si>
  <si>
    <t>Arlee</t>
  </si>
  <si>
    <t>MT</t>
  </si>
  <si>
    <t>biknowles</t>
  </si>
  <si>
    <t>HGrMUb9]YhisE</t>
  </si>
  <si>
    <t>Jermaine</t>
  </si>
  <si>
    <t>Sykes</t>
  </si>
  <si>
    <t>jermaine.sykes@apple.com</t>
  </si>
  <si>
    <t>Garth Sykes</t>
  </si>
  <si>
    <t>Sheila Sykes</t>
  </si>
  <si>
    <t>Dorsey</t>
  </si>
  <si>
    <t>558-99-4351</t>
  </si>
  <si>
    <t>239-204-8747</t>
  </si>
  <si>
    <t>Welaka</t>
  </si>
  <si>
    <t>Putnam</t>
  </si>
  <si>
    <t>FL</t>
  </si>
  <si>
    <t>jssykes</t>
  </si>
  <si>
    <t>0U_0M\tj[m6gC</t>
  </si>
  <si>
    <t>Scott</t>
  </si>
  <si>
    <t>Best</t>
  </si>
  <si>
    <t>scott.best@cox.net</t>
  </si>
  <si>
    <t>Chase Best</t>
  </si>
  <si>
    <t>Wendi Best</t>
  </si>
  <si>
    <t>Richmond</t>
  </si>
  <si>
    <t>118-98-6210</t>
  </si>
  <si>
    <t>307-504-4165</t>
  </si>
  <si>
    <t>Bairoil</t>
  </si>
  <si>
    <t>Sweetwater</t>
  </si>
  <si>
    <t>WY</t>
  </si>
  <si>
    <t>shbest</t>
  </si>
  <si>
    <t>bvGAV^e7JXQvBt1</t>
  </si>
  <si>
    <t>Isabel</t>
  </si>
  <si>
    <t>Espinoza</t>
  </si>
  <si>
    <t>isabel.espinoza@gmail.com</t>
  </si>
  <si>
    <t>Kennith Espinoza</t>
  </si>
  <si>
    <t>Louisa Espinoza</t>
  </si>
  <si>
    <t>Pena</t>
  </si>
  <si>
    <t>393-33-2020</t>
  </si>
  <si>
    <t>405-622-8606</t>
  </si>
  <si>
    <t>Tupelo</t>
  </si>
  <si>
    <t>Coal</t>
  </si>
  <si>
    <t>iqespinoza</t>
  </si>
  <si>
    <t>yWuGDStb?sj7d</t>
  </si>
  <si>
    <t>Marcelino</t>
  </si>
  <si>
    <t>Kinney</t>
  </si>
  <si>
    <t>marcelino.kinney@gmail.com</t>
  </si>
  <si>
    <t>Alexander Kinney</t>
  </si>
  <si>
    <t>Elizabeth Kinney</t>
  </si>
  <si>
    <t>Barber</t>
  </si>
  <si>
    <t>013-94-1066</t>
  </si>
  <si>
    <t>479-929-0873</t>
  </si>
  <si>
    <t>Little Rock</t>
  </si>
  <si>
    <t>AR</t>
  </si>
  <si>
    <t>mykinney</t>
  </si>
  <si>
    <t>Xw?WXFM{J3GkQq3</t>
  </si>
  <si>
    <t>Benjamin</t>
  </si>
  <si>
    <t>X</t>
  </si>
  <si>
    <t>Jennings</t>
  </si>
  <si>
    <t>benjamin.jennings@gmail.com</t>
  </si>
  <si>
    <t>Wilfredo Jennings</t>
  </si>
  <si>
    <t>Toni Jennings</t>
  </si>
  <si>
    <t>Sunday</t>
  </si>
  <si>
    <t>Sun</t>
  </si>
  <si>
    <t>585-99-8326</t>
  </si>
  <si>
    <t>907-621-7774</t>
  </si>
  <si>
    <t>Shungnak</t>
  </si>
  <si>
    <t>Northwest Arctic</t>
  </si>
  <si>
    <t>bxjennings</t>
  </si>
  <si>
    <t>4u:O$kyhzQD32$</t>
  </si>
  <si>
    <t>Marcia</t>
  </si>
  <si>
    <t>Casey</t>
  </si>
  <si>
    <t>marcia.casey@gmail.com</t>
  </si>
  <si>
    <t>Lynn Casey</t>
  </si>
  <si>
    <t>Melinda Casey</t>
  </si>
  <si>
    <t>Eaton</t>
  </si>
  <si>
    <t>433-99-1252</t>
  </si>
  <si>
    <t>210-804-3397</t>
  </si>
  <si>
    <t>Victoria</t>
  </si>
  <si>
    <t>mncasey</t>
  </si>
  <si>
    <t>3z$F$H*S&gt;</t>
  </si>
  <si>
    <t>Rudolph</t>
  </si>
  <si>
    <t>P</t>
  </si>
  <si>
    <t>rudolph.gordon@aol.com</t>
  </si>
  <si>
    <t>Shelton Gordon</t>
  </si>
  <si>
    <t>Valerie Gordon</t>
  </si>
  <si>
    <t>Ashley</t>
  </si>
  <si>
    <t>461-99-0808</t>
  </si>
  <si>
    <t>304-418-1131</t>
  </si>
  <si>
    <t>Shinnston</t>
  </si>
  <si>
    <t>Harrison</t>
  </si>
  <si>
    <t>WV</t>
  </si>
  <si>
    <t>rpgordon</t>
  </si>
  <si>
    <t>TqE&amp;Z&gt;nRhOgI7d</t>
  </si>
  <si>
    <t>Beverly</t>
  </si>
  <si>
    <t>Rosales</t>
  </si>
  <si>
    <t>beverly.rosales@yahoo.com</t>
  </si>
  <si>
    <t>Jerrod Rosales</t>
  </si>
  <si>
    <t>Dianna Rosales</t>
  </si>
  <si>
    <t>Hoover</t>
  </si>
  <si>
    <t>475-55-0832</t>
  </si>
  <si>
    <t>217-490-8205</t>
  </si>
  <si>
    <t>Rossville</t>
  </si>
  <si>
    <t>Vermilion</t>
  </si>
  <si>
    <t>birosales</t>
  </si>
  <si>
    <t>k?3fJstfE?R</t>
  </si>
  <si>
    <t>Marcus</t>
  </si>
  <si>
    <t>Bolton</t>
  </si>
  <si>
    <t>marcus.bolton@aol.com</t>
  </si>
  <si>
    <t>Ernie Bolton</t>
  </si>
  <si>
    <t>Gloria Bolton</t>
  </si>
  <si>
    <t>Medina</t>
  </si>
  <si>
    <t>068-02-2280</t>
  </si>
  <si>
    <t>212-514-2721</t>
  </si>
  <si>
    <t>Bellerose</t>
  </si>
  <si>
    <t>Queens</t>
  </si>
  <si>
    <t>mdbolton</t>
  </si>
  <si>
    <t>2OcV@F5^BFn</t>
  </si>
  <si>
    <t>Priscilla</t>
  </si>
  <si>
    <t>Mays</t>
  </si>
  <si>
    <t>priscilla.mays@gmail.com</t>
  </si>
  <si>
    <t>Will Mays</t>
  </si>
  <si>
    <t>Alexandra Mays</t>
  </si>
  <si>
    <t>Russo</t>
  </si>
  <si>
    <t>377-37-1416</t>
  </si>
  <si>
    <t>231-346-3176</t>
  </si>
  <si>
    <t>Fairview</t>
  </si>
  <si>
    <t>Oscoda</t>
  </si>
  <si>
    <t>pzmays</t>
  </si>
  <si>
    <t>48fet|^&gt;GE</t>
  </si>
  <si>
    <t>Lynn</t>
  </si>
  <si>
    <t>lynn.pena@yahoo.co.in</t>
  </si>
  <si>
    <t>Talent Acquisition</t>
  </si>
  <si>
    <t>Joshua Pena</t>
  </si>
  <si>
    <t>Carey Pena</t>
  </si>
  <si>
    <t>Peterson</t>
  </si>
  <si>
    <t>524-99-3502</t>
  </si>
  <si>
    <t>217-334-0502</t>
  </si>
  <si>
    <t>Castleton</t>
  </si>
  <si>
    <t>Stark</t>
  </si>
  <si>
    <t>lepena</t>
  </si>
  <si>
    <t>iRa12S&lt;}EeB</t>
  </si>
  <si>
    <t>Tessa</t>
  </si>
  <si>
    <t>Pace</t>
  </si>
  <si>
    <t>tessa.pace@aol.com</t>
  </si>
  <si>
    <t>Edwin Pace</t>
  </si>
  <si>
    <t>Matilda Pace</t>
  </si>
  <si>
    <t>Ramsey</t>
  </si>
  <si>
    <t>135-25-6072</t>
  </si>
  <si>
    <t>319-672-2590</t>
  </si>
  <si>
    <t>Austinville</t>
  </si>
  <si>
    <t>Butler</t>
  </si>
  <si>
    <t>tdpace</t>
  </si>
  <si>
    <t>t].VIsI_B8</t>
  </si>
  <si>
    <t>Rufus</t>
  </si>
  <si>
    <t>Guerra</t>
  </si>
  <si>
    <t>rufus.guerra@rediffmail.com</t>
  </si>
  <si>
    <t>Carmen Guerra</t>
  </si>
  <si>
    <t>Regina Guerra</t>
  </si>
  <si>
    <t>Guy</t>
  </si>
  <si>
    <t>200-84-8326</t>
  </si>
  <si>
    <t>212-472-1331</t>
  </si>
  <si>
    <t>Adams Basin</t>
  </si>
  <si>
    <t>Monroe</t>
  </si>
  <si>
    <t>rsguerra</t>
  </si>
  <si>
    <t>ydw~jANV1S.</t>
  </si>
  <si>
    <t>Roman</t>
  </si>
  <si>
    <t>roman.clark@aol.com</t>
  </si>
  <si>
    <t>Denny Clark</t>
  </si>
  <si>
    <t>Nola Clark</t>
  </si>
  <si>
    <t>Parsons</t>
  </si>
  <si>
    <t>093-02-5729</t>
  </si>
  <si>
    <t>215-567-2136</t>
  </si>
  <si>
    <t>Lampeter</t>
  </si>
  <si>
    <t>rrclark</t>
  </si>
  <si>
    <t>J#zr2h\w</t>
  </si>
  <si>
    <t>Carmela</t>
  </si>
  <si>
    <t>Jefferson</t>
  </si>
  <si>
    <t>carmela.jefferson@walmart.com</t>
  </si>
  <si>
    <t>Emile Jefferson</t>
  </si>
  <si>
    <t>Lena Jefferson</t>
  </si>
  <si>
    <t>Wall</t>
  </si>
  <si>
    <t>395-33-1359</t>
  </si>
  <si>
    <t>239-941-5976</t>
  </si>
  <si>
    <t>Keystone Heights</t>
  </si>
  <si>
    <t>Clay</t>
  </si>
  <si>
    <t>cdjefferson</t>
  </si>
  <si>
    <t>sX[4VN1HRF&gt;w</t>
  </si>
  <si>
    <t>Thurman</t>
  </si>
  <si>
    <t>Good</t>
  </si>
  <si>
    <t>thurman.good@yahoo.com</t>
  </si>
  <si>
    <t>Tim Good</t>
  </si>
  <si>
    <t>Selena Good</t>
  </si>
  <si>
    <t>Mathis</t>
  </si>
  <si>
    <t>306-37-8083</t>
  </si>
  <si>
    <t>217-874-3909</t>
  </si>
  <si>
    <t>Eddyville</t>
  </si>
  <si>
    <t>tjgood</t>
  </si>
  <si>
    <t>HB}g+@];%pHTu</t>
  </si>
  <si>
    <t>Lemuel</t>
  </si>
  <si>
    <t>lemuel.guerrero@aol.com</t>
  </si>
  <si>
    <t>Silas Guerrero</t>
  </si>
  <si>
    <t>Cecelia Guerrero</t>
  </si>
  <si>
    <t>Hinton</t>
  </si>
  <si>
    <t>759-12-8112</t>
  </si>
  <si>
    <t>215-226-4111</t>
  </si>
  <si>
    <t>Listie</t>
  </si>
  <si>
    <t>Somerset</t>
  </si>
  <si>
    <t>lvguerrero</t>
  </si>
  <si>
    <t>kB1pj3NT#{</t>
  </si>
  <si>
    <t>Clint</t>
  </si>
  <si>
    <t>A</t>
  </si>
  <si>
    <t>Bridges</t>
  </si>
  <si>
    <t>clint.bridges@aol.com</t>
  </si>
  <si>
    <t>Jimmy Bridges</t>
  </si>
  <si>
    <t>Leila Bridges</t>
  </si>
  <si>
    <t>Rush</t>
  </si>
  <si>
    <t>366-39-9002</t>
  </si>
  <si>
    <t>217-331-1409</t>
  </si>
  <si>
    <t>Blue Island</t>
  </si>
  <si>
    <t>Cook</t>
  </si>
  <si>
    <t>cabridges</t>
  </si>
  <si>
    <t>5;\NmM6h</t>
  </si>
  <si>
    <t>Karyn</t>
  </si>
  <si>
    <t>karyn.christian@aol.com</t>
  </si>
  <si>
    <t>Joel Christian</t>
  </si>
  <si>
    <t>Laverne Christian</t>
  </si>
  <si>
    <t>Stein</t>
  </si>
  <si>
    <t>338-11-7664</t>
  </si>
  <si>
    <t>206-731-9312</t>
  </si>
  <si>
    <t>Ardenvoir</t>
  </si>
  <si>
    <t>Chelan</t>
  </si>
  <si>
    <t>kachristian</t>
  </si>
  <si>
    <t>YyDQ{@\FB</t>
  </si>
  <si>
    <t>Lesa</t>
  </si>
  <si>
    <t>Hughes</t>
  </si>
  <si>
    <t>lesa.hughes@bp.com</t>
  </si>
  <si>
    <t>Angelo Hughes</t>
  </si>
  <si>
    <t>Johnnie Hughes</t>
  </si>
  <si>
    <t>Ellison</t>
  </si>
  <si>
    <t>302-15-6438</t>
  </si>
  <si>
    <t>219-822-4544</t>
  </si>
  <si>
    <t>Terre Haute</t>
  </si>
  <si>
    <t>Vigo</t>
  </si>
  <si>
    <t>lehughes</t>
  </si>
  <si>
    <t>1!K!f{wRb</t>
  </si>
  <si>
    <t>Rich</t>
  </si>
  <si>
    <t>Bates</t>
  </si>
  <si>
    <t>rich.bates@apple.com</t>
  </si>
  <si>
    <t>Dario Bates</t>
  </si>
  <si>
    <t>Selma Bates</t>
  </si>
  <si>
    <t>Harrington</t>
  </si>
  <si>
    <t>762-12-7813</t>
  </si>
  <si>
    <t>270-833-4069</t>
  </si>
  <si>
    <t>Maysville</t>
  </si>
  <si>
    <t>Mason</t>
  </si>
  <si>
    <t>rmbates</t>
  </si>
  <si>
    <t>KEmtY;R]83</t>
  </si>
  <si>
    <t>Liz</t>
  </si>
  <si>
    <t>Frank</t>
  </si>
  <si>
    <t>liz.frank@hotmail.com</t>
  </si>
  <si>
    <t>Jules Frank</t>
  </si>
  <si>
    <t>Eva Frank</t>
  </si>
  <si>
    <t>Beck</t>
  </si>
  <si>
    <t>361-08-6826</t>
  </si>
  <si>
    <t>339-926-4628</t>
  </si>
  <si>
    <t>Amherst</t>
  </si>
  <si>
    <t>Hampshire</t>
  </si>
  <si>
    <t>MA</t>
  </si>
  <si>
    <t>lhfrank</t>
  </si>
  <si>
    <t>z;hrf&amp;a1R6;94m_</t>
  </si>
  <si>
    <t>Kendra</t>
  </si>
  <si>
    <t>Villarreal</t>
  </si>
  <si>
    <t>kendra.villarreal@gmail.com</t>
  </si>
  <si>
    <t>Abraham Villarreal</t>
  </si>
  <si>
    <t>Beryl Villarreal</t>
  </si>
  <si>
    <t>Boone</t>
  </si>
  <si>
    <t>298-15-2734</t>
  </si>
  <si>
    <t>319-625-4770</t>
  </si>
  <si>
    <t>Beaman</t>
  </si>
  <si>
    <t>Grundy</t>
  </si>
  <si>
    <t>kxvillarreal</t>
  </si>
  <si>
    <t>Kwd&gt;&amp;}C3K]</t>
  </si>
  <si>
    <t>Maryellen</t>
  </si>
  <si>
    <t>Mcfadden</t>
  </si>
  <si>
    <t>maryellen.mcfadden@hotmail.co.uk</t>
  </si>
  <si>
    <t>Terrell Mcfadden</t>
  </si>
  <si>
    <t>Jewel Mcfadden</t>
  </si>
  <si>
    <t>Herring</t>
  </si>
  <si>
    <t>437-99-3995</t>
  </si>
  <si>
    <t>479-467-9379</t>
  </si>
  <si>
    <t>Tuckerman</t>
  </si>
  <si>
    <t>Jackson</t>
  </si>
  <si>
    <t>mrmcfadden</t>
  </si>
  <si>
    <t>cG:vj~H3f^</t>
  </si>
  <si>
    <t>German</t>
  </si>
  <si>
    <t>Carney</t>
  </si>
  <si>
    <t>german.carney@aol.com</t>
  </si>
  <si>
    <t>Damien Carney</t>
  </si>
  <si>
    <t>Elvia Carney</t>
  </si>
  <si>
    <t>117-98-3137</t>
  </si>
  <si>
    <t>231-975-6713</t>
  </si>
  <si>
    <t>Lakeview</t>
  </si>
  <si>
    <t>Montcalm</t>
  </si>
  <si>
    <t>gmcarney</t>
  </si>
  <si>
    <t>j#Q!6AZkYL-IIHl</t>
  </si>
  <si>
    <t>Micheal</t>
  </si>
  <si>
    <t>Shannon</t>
  </si>
  <si>
    <t>micheal.shannon@earthlink.net</t>
  </si>
  <si>
    <t>Jackson Shannon</t>
  </si>
  <si>
    <t>Casey Shannon</t>
  </si>
  <si>
    <t>Giles</t>
  </si>
  <si>
    <t>610-87-0573</t>
  </si>
  <si>
    <t>217-864-7925</t>
  </si>
  <si>
    <t>Arlington</t>
  </si>
  <si>
    <t>Bureau</t>
  </si>
  <si>
    <t>mashannon</t>
  </si>
  <si>
    <t>I2L}VZh1m5S8i</t>
  </si>
  <si>
    <t>Carlo</t>
  </si>
  <si>
    <t>Albert</t>
  </si>
  <si>
    <t>carlo.albert@gmail.com</t>
  </si>
  <si>
    <t>Sydney Albert</t>
  </si>
  <si>
    <t>Clarice Albert</t>
  </si>
  <si>
    <t>Hebert</t>
  </si>
  <si>
    <t>684-24-8918</t>
  </si>
  <si>
    <t>212-267-9103</t>
  </si>
  <si>
    <t>Liverpool</t>
  </si>
  <si>
    <t>Onondaga</t>
  </si>
  <si>
    <t>cxalbert</t>
  </si>
  <si>
    <t>zL^Du$&gt;q+nG</t>
  </si>
  <si>
    <t>Bianca</t>
  </si>
  <si>
    <t>Langley</t>
  </si>
  <si>
    <t>bianca.langley@gmail.com</t>
  </si>
  <si>
    <t>Elvis Langley</t>
  </si>
  <si>
    <t>Georgina Langley</t>
  </si>
  <si>
    <t>Castro</t>
  </si>
  <si>
    <t>548-99-1891</t>
  </si>
  <si>
    <t>228-683-5798</t>
  </si>
  <si>
    <t>Escatawpa</t>
  </si>
  <si>
    <t>MS</t>
  </si>
  <si>
    <t>bilangley</t>
  </si>
  <si>
    <t>Z\%t~Y9kmu5</t>
  </si>
  <si>
    <t>Elias</t>
  </si>
  <si>
    <t>Cabrera</t>
  </si>
  <si>
    <t>elias.cabrera@yahoo.com</t>
  </si>
  <si>
    <t>Boyd Cabrera</t>
  </si>
  <si>
    <t>Laurel Cabrera</t>
  </si>
  <si>
    <t>Haley</t>
  </si>
  <si>
    <t>327-11-4323</t>
  </si>
  <si>
    <t>215-258-0052</t>
  </si>
  <si>
    <t>Oaks</t>
  </si>
  <si>
    <t>excabrera</t>
  </si>
  <si>
    <t>z:}0rg2-}~[P4</t>
  </si>
  <si>
    <t>Alberta</t>
  </si>
  <si>
    <t>Chapman</t>
  </si>
  <si>
    <t>alberta.chapman@comcast.net</t>
  </si>
  <si>
    <t>Bradley Chapman</t>
  </si>
  <si>
    <t>Karla Chapman</t>
  </si>
  <si>
    <t>Parrish</t>
  </si>
  <si>
    <t>043-15-2394</t>
  </si>
  <si>
    <t>212-884-9934</t>
  </si>
  <si>
    <t>Rochester</t>
  </si>
  <si>
    <t>aachapman</t>
  </si>
  <si>
    <t>C^ga/Cws</t>
  </si>
  <si>
    <t>Erin</t>
  </si>
  <si>
    <t>Olsen</t>
  </si>
  <si>
    <t>erin.olsen@yahoo.ca</t>
  </si>
  <si>
    <t>Nick Olsen</t>
  </si>
  <si>
    <t>Essie Olsen</t>
  </si>
  <si>
    <t>Solis</t>
  </si>
  <si>
    <t>078-02-5597</t>
  </si>
  <si>
    <t>215-325-1574</t>
  </si>
  <si>
    <t>Farmington</t>
  </si>
  <si>
    <t>emolsen</t>
  </si>
  <si>
    <t>3KBKoP~;]</t>
  </si>
  <si>
    <t>Frederic</t>
  </si>
  <si>
    <t>Stephenson</t>
  </si>
  <si>
    <t>frederic.stephenson@gmail.com</t>
  </si>
  <si>
    <t>Jeremy Stephenson</t>
  </si>
  <si>
    <t>Clara Stephenson</t>
  </si>
  <si>
    <t>Thomas</t>
  </si>
  <si>
    <t>718-18-4544</t>
  </si>
  <si>
    <t>314-672-3681</t>
  </si>
  <si>
    <t>Seligman</t>
  </si>
  <si>
    <t>Barry</t>
  </si>
  <si>
    <t>MO</t>
  </si>
  <si>
    <t>festephenson</t>
  </si>
  <si>
    <t>qN|[?G+gj#p2;</t>
  </si>
  <si>
    <t>Tanner</t>
  </si>
  <si>
    <t>T</t>
  </si>
  <si>
    <t>Caldwell</t>
  </si>
  <si>
    <t>tanner.caldwell@aol.com</t>
  </si>
  <si>
    <t>Harlan Caldwell</t>
  </si>
  <si>
    <t>Adriana Caldwell</t>
  </si>
  <si>
    <t>651-62-1143</t>
  </si>
  <si>
    <t>219-315-4592</t>
  </si>
  <si>
    <t>Michigan City</t>
  </si>
  <si>
    <t>LaPorte</t>
  </si>
  <si>
    <t>ttcaldwell</t>
  </si>
  <si>
    <t>5LO\okOd+n$F*</t>
  </si>
  <si>
    <t>Clarence</t>
  </si>
  <si>
    <t>Powers</t>
  </si>
  <si>
    <t>clarence.powers@gmail.com</t>
  </si>
  <si>
    <t>Chase Powers</t>
  </si>
  <si>
    <t>Aileen Powers</t>
  </si>
  <si>
    <t>Weaver</t>
  </si>
  <si>
    <t>485-41-0226</t>
  </si>
  <si>
    <t>229-748-1788</t>
  </si>
  <si>
    <t>Macon</t>
  </si>
  <si>
    <t>Bibb</t>
  </si>
  <si>
    <t>GA</t>
  </si>
  <si>
    <t>cipowers</t>
  </si>
  <si>
    <t>mu4P8p?ImR</t>
  </si>
  <si>
    <t>Sheppard</t>
  </si>
  <si>
    <t>german.sheppard@gmail.com</t>
  </si>
  <si>
    <t>Lamar Sheppard</t>
  </si>
  <si>
    <t>Erin Sheppard</t>
  </si>
  <si>
    <t>521-99-4180</t>
  </si>
  <si>
    <t>252-794-3936</t>
  </si>
  <si>
    <t>Matthews</t>
  </si>
  <si>
    <t>Mecklenburg</t>
  </si>
  <si>
    <t>NC</t>
  </si>
  <si>
    <t>gisheppard</t>
  </si>
  <si>
    <t>d_nOhP*;</t>
  </si>
  <si>
    <t>Dion</t>
  </si>
  <si>
    <t>Duffy</t>
  </si>
  <si>
    <t>dion.duffy@aol.com</t>
  </si>
  <si>
    <t>Tim Duffy</t>
  </si>
  <si>
    <t>Carmen Duffy</t>
  </si>
  <si>
    <t>Chase</t>
  </si>
  <si>
    <t>537-71-4655</t>
  </si>
  <si>
    <t>201-358-5413</t>
  </si>
  <si>
    <t>Plainfield</t>
  </si>
  <si>
    <t>Union</t>
  </si>
  <si>
    <t>NJ</t>
  </si>
  <si>
    <t>duduffy</t>
  </si>
  <si>
    <t>sf{A|y:P0pa</t>
  </si>
  <si>
    <t>Cornelius</t>
  </si>
  <si>
    <t>Townsend</t>
  </si>
  <si>
    <t>cornelius.townsend@charter.net</t>
  </si>
  <si>
    <t>Thomas Townsend</t>
  </si>
  <si>
    <t>Melisa Townsend</t>
  </si>
  <si>
    <t>Johnston</t>
  </si>
  <si>
    <t>440-29-7897</t>
  </si>
  <si>
    <t>314-501-3342</t>
  </si>
  <si>
    <t>High Point</t>
  </si>
  <si>
    <t>Moniteau</t>
  </si>
  <si>
    <t>cvtownsend</t>
  </si>
  <si>
    <t>D}Ye^&gt;k9Hn~D</t>
  </si>
  <si>
    <t>Patsy</t>
  </si>
  <si>
    <t>Koch</t>
  </si>
  <si>
    <t>patsy.koch@gmail.com</t>
  </si>
  <si>
    <t>Wilfredo Koch</t>
  </si>
  <si>
    <t>Kerry Koch</t>
  </si>
  <si>
    <t>Barrett</t>
  </si>
  <si>
    <t>607-87-2784</t>
  </si>
  <si>
    <t>229-844-7119</t>
  </si>
  <si>
    <t>Atlanta</t>
  </si>
  <si>
    <t>Fulton</t>
  </si>
  <si>
    <t>pnkoch</t>
  </si>
  <si>
    <t>WH+s*pLB</t>
  </si>
  <si>
    <t>Waldo</t>
  </si>
  <si>
    <t>Shields</t>
  </si>
  <si>
    <t>waldo.shields@aol.com</t>
  </si>
  <si>
    <t>Clarence Shields</t>
  </si>
  <si>
    <t>Shelly Shields</t>
  </si>
  <si>
    <t>Hewitt</t>
  </si>
  <si>
    <t>770-02-3111</t>
  </si>
  <si>
    <t>270-993-0450</t>
  </si>
  <si>
    <t>Wooton</t>
  </si>
  <si>
    <t>Leslie</t>
  </si>
  <si>
    <t>wishields</t>
  </si>
  <si>
    <t>Y#dmn&lt;!U]u}yq[5</t>
  </si>
  <si>
    <t>Damien</t>
  </si>
  <si>
    <t>Rose</t>
  </si>
  <si>
    <t>damien.rose@gmail.com</t>
  </si>
  <si>
    <t>Norman Rose</t>
  </si>
  <si>
    <t>Earnestine Rose</t>
  </si>
  <si>
    <t>Clemons</t>
  </si>
  <si>
    <t>619-87-8206</t>
  </si>
  <si>
    <t>304-392-5876</t>
  </si>
  <si>
    <t>Five Forks</t>
  </si>
  <si>
    <t>dzrose</t>
  </si>
  <si>
    <t>7!&gt;S[BCy</t>
  </si>
  <si>
    <t>Curt</t>
  </si>
  <si>
    <t>curt.bridges@microsoft.com</t>
  </si>
  <si>
    <t>Reid Bridges</t>
  </si>
  <si>
    <t>Cecile Bridges</t>
  </si>
  <si>
    <t>Whitley</t>
  </si>
  <si>
    <t>633-31-8420</t>
  </si>
  <si>
    <t>239-399-1809</t>
  </si>
  <si>
    <t>Monticello</t>
  </si>
  <si>
    <t>cybridges</t>
  </si>
  <si>
    <t>dD^M]xn6z+&amp;KV;h</t>
  </si>
  <si>
    <t>Brenton</t>
  </si>
  <si>
    <t>brenton.matthews@bellsouth.net</t>
  </si>
  <si>
    <t>Billy Matthews</t>
  </si>
  <si>
    <t>Lindsay Matthews</t>
  </si>
  <si>
    <t>Little</t>
  </si>
  <si>
    <t>495-29-4565</t>
  </si>
  <si>
    <t>216-585-2060</t>
  </si>
  <si>
    <t>Green Camp</t>
  </si>
  <si>
    <t>OH</t>
  </si>
  <si>
    <t>bnmatthews</t>
  </si>
  <si>
    <t>gdv}z%QDB#8</t>
  </si>
  <si>
    <t>Miguel</t>
  </si>
  <si>
    <t>Finley</t>
  </si>
  <si>
    <t>miguel.finley@gmail.com</t>
  </si>
  <si>
    <t>Jaime Finley</t>
  </si>
  <si>
    <t>Leola Finley</t>
  </si>
  <si>
    <t>Cain</t>
  </si>
  <si>
    <t>698-16-2863</t>
  </si>
  <si>
    <t>405-566-7872</t>
  </si>
  <si>
    <t>Kingfisher</t>
  </si>
  <si>
    <t>mwfinley</t>
  </si>
  <si>
    <t>ASzrGkwon\P0</t>
  </si>
  <si>
    <t>Esperanza</t>
  </si>
  <si>
    <t>Paul</t>
  </si>
  <si>
    <t>esperanza.paul@aol.com</t>
  </si>
  <si>
    <t>Alonzo Paul</t>
  </si>
  <si>
    <t>Hilda Paul</t>
  </si>
  <si>
    <t>Dyer</t>
  </si>
  <si>
    <t>318-11-9459</t>
  </si>
  <si>
    <t>236-750-2453</t>
  </si>
  <si>
    <t>Lexington (city)</t>
  </si>
  <si>
    <t>eepaul</t>
  </si>
  <si>
    <t>4Boj*Q2j~eU*|&gt;B</t>
  </si>
  <si>
    <t>Patricia</t>
  </si>
  <si>
    <t>Briggs</t>
  </si>
  <si>
    <t>patricia.briggs@yahoo.com</t>
  </si>
  <si>
    <t>Dalton Briggs</t>
  </si>
  <si>
    <t>Sally Briggs</t>
  </si>
  <si>
    <t>Spears</t>
  </si>
  <si>
    <t>711-18-1075</t>
  </si>
  <si>
    <t>240-914-8001</t>
  </si>
  <si>
    <t>Easton</t>
  </si>
  <si>
    <t>Talbot</t>
  </si>
  <si>
    <t>pcbriggs</t>
  </si>
  <si>
    <t>x-PdHQo?[d-</t>
  </si>
  <si>
    <t>Forrest</t>
  </si>
  <si>
    <t>Noel</t>
  </si>
  <si>
    <t>forrest.noel@hotmail.com</t>
  </si>
  <si>
    <t>Johnie Noel</t>
  </si>
  <si>
    <t>Judith Noel</t>
  </si>
  <si>
    <t>107-98-0848</t>
  </si>
  <si>
    <t>239-609-5243</t>
  </si>
  <si>
    <t>Lee</t>
  </si>
  <si>
    <t>Madison</t>
  </si>
  <si>
    <t>fbnoel</t>
  </si>
  <si>
    <t>jR2Oz/+^zIZp&lt;</t>
  </si>
  <si>
    <t>Marjorie</t>
  </si>
  <si>
    <t>Wells</t>
  </si>
  <si>
    <t>marjorie.wells@bp.com</t>
  </si>
  <si>
    <t>Morton Wells</t>
  </si>
  <si>
    <t>Frankie Wells</t>
  </si>
  <si>
    <t>Vaughan</t>
  </si>
  <si>
    <t>725-18-0941</t>
  </si>
  <si>
    <t>316-282-5461</t>
  </si>
  <si>
    <t>Baldwin City</t>
  </si>
  <si>
    <t>Douglas</t>
  </si>
  <si>
    <t>KS</t>
  </si>
  <si>
    <t>mjwells</t>
  </si>
  <si>
    <t>v9i9-_fwqY#T~u</t>
  </si>
  <si>
    <t>Vivian</t>
  </si>
  <si>
    <t>Burnett</t>
  </si>
  <si>
    <t>vivian.burnett@gmail.com</t>
  </si>
  <si>
    <t>Stephen Burnett</t>
  </si>
  <si>
    <t>Shana Burnett</t>
  </si>
  <si>
    <t>Delacruz</t>
  </si>
  <si>
    <t>001-11-5958</t>
  </si>
  <si>
    <t>236-831-5026</t>
  </si>
  <si>
    <t>Hampden Sydney</t>
  </si>
  <si>
    <t>Prince Edward</t>
  </si>
  <si>
    <t>vtburnett</t>
  </si>
  <si>
    <t>yp]4_@~E&gt;tzoOB</t>
  </si>
  <si>
    <t>Duncan</t>
  </si>
  <si>
    <t>Chen</t>
  </si>
  <si>
    <t>duncan.chen@yahoo.co.uk</t>
  </si>
  <si>
    <t>Edmond Chen</t>
  </si>
  <si>
    <t>Concetta Chen</t>
  </si>
  <si>
    <t>Ramos</t>
  </si>
  <si>
    <t>247-99-3757</t>
  </si>
  <si>
    <t>239-879-2427</t>
  </si>
  <si>
    <t>West Palm Beach</t>
  </si>
  <si>
    <t>Palm Beach</t>
  </si>
  <si>
    <t>dlchen</t>
  </si>
  <si>
    <t>g&lt;\Q-?m#f</t>
  </si>
  <si>
    <t>Miriam</t>
  </si>
  <si>
    <t>miriam.barrett@yahoo.ca</t>
  </si>
  <si>
    <t>Rob Barrett</t>
  </si>
  <si>
    <t>Imogene Barrett</t>
  </si>
  <si>
    <t>Garrett</t>
  </si>
  <si>
    <t>031-92-2692</t>
  </si>
  <si>
    <t>210-779-7802</t>
  </si>
  <si>
    <t>Brady</t>
  </si>
  <si>
    <t>McCulloch</t>
  </si>
  <si>
    <t>mabarrett</t>
  </si>
  <si>
    <t>mNCdGZxQSjsDigF</t>
  </si>
  <si>
    <t>Adam</t>
  </si>
  <si>
    <t>adam.kirby@yahoo.ca</t>
  </si>
  <si>
    <t>Harry Kirby</t>
  </si>
  <si>
    <t>Phyllis Kirby</t>
  </si>
  <si>
    <t>Hobbs</t>
  </si>
  <si>
    <t>152-23-6880</t>
  </si>
  <si>
    <t>208-736-4975</t>
  </si>
  <si>
    <t>Potlatch</t>
  </si>
  <si>
    <t>Latah</t>
  </si>
  <si>
    <t>ID</t>
  </si>
  <si>
    <t>axkirby</t>
  </si>
  <si>
    <t>K$pE:jff</t>
  </si>
  <si>
    <t>Macdonald</t>
  </si>
  <si>
    <t>benjamin.macdonald@gmail.com</t>
  </si>
  <si>
    <t>Roberto Macdonald</t>
  </si>
  <si>
    <t>Ursula Macdonald</t>
  </si>
  <si>
    <t>Campbell</t>
  </si>
  <si>
    <t>295-15-3529</t>
  </si>
  <si>
    <t>316-561-5979</t>
  </si>
  <si>
    <t>Tribune</t>
  </si>
  <si>
    <t>Greeley</t>
  </si>
  <si>
    <t>bxmacdonald</t>
  </si>
  <si>
    <t>Hp$e&amp;4ffg\97%TN</t>
  </si>
  <si>
    <t>Neil</t>
  </si>
  <si>
    <t>Murray</t>
  </si>
  <si>
    <t>neil.murray@apple.com</t>
  </si>
  <si>
    <t>Boris Murray</t>
  </si>
  <si>
    <t>Annmarie Murray</t>
  </si>
  <si>
    <t>Sharpe</t>
  </si>
  <si>
    <t>375-37-8892</t>
  </si>
  <si>
    <t>603-851-8092</t>
  </si>
  <si>
    <t>Milton</t>
  </si>
  <si>
    <t>Strafford</t>
  </si>
  <si>
    <t>NH</t>
  </si>
  <si>
    <t>numurray</t>
  </si>
  <si>
    <t>Y2O1.0^W2k9</t>
  </si>
  <si>
    <t>Nichole</t>
  </si>
  <si>
    <t>Oneil</t>
  </si>
  <si>
    <t>nichole.oneil@shaw.ca</t>
  </si>
  <si>
    <t>Darrel Oneil</t>
  </si>
  <si>
    <t>Cynthia Oneil</t>
  </si>
  <si>
    <t>Cruz</t>
  </si>
  <si>
    <t>768-02-1938</t>
  </si>
  <si>
    <t>209-683-3370</t>
  </si>
  <si>
    <t>Bangor</t>
  </si>
  <si>
    <t>Butte</t>
  </si>
  <si>
    <t>nsoneil</t>
  </si>
  <si>
    <t>W.@8w7r6+</t>
  </si>
  <si>
    <t>Jonathon</t>
  </si>
  <si>
    <t>Pearson</t>
  </si>
  <si>
    <t>jonathon.pearson@yahoo.com</t>
  </si>
  <si>
    <t>Mitch Pearson</t>
  </si>
  <si>
    <t>Jimmie Pearson</t>
  </si>
  <si>
    <t>Marsh</t>
  </si>
  <si>
    <t>263-99-7250</t>
  </si>
  <si>
    <t>240-746-0671</t>
  </si>
  <si>
    <t>Silver Spring</t>
  </si>
  <si>
    <t>jmpearson</t>
  </si>
  <si>
    <t>Zy:Jp&gt;4:</t>
  </si>
  <si>
    <t>Brent</t>
  </si>
  <si>
    <t>Bryant</t>
  </si>
  <si>
    <t>brent.bryant@aol.com</t>
  </si>
  <si>
    <t>Melvin Bryant</t>
  </si>
  <si>
    <t>Becky Bryant</t>
  </si>
  <si>
    <t>Sparks</t>
  </si>
  <si>
    <t>592-99-1277</t>
  </si>
  <si>
    <t>423-391-0195</t>
  </si>
  <si>
    <t>Adamsville</t>
  </si>
  <si>
    <t>McNairy</t>
  </si>
  <si>
    <t>bjbryant</t>
  </si>
  <si>
    <t>EI7+EGFJ5F*</t>
  </si>
  <si>
    <t>Carlene</t>
  </si>
  <si>
    <t>carlene.cain@rediffmail.com</t>
  </si>
  <si>
    <t>Jess Cain</t>
  </si>
  <si>
    <t>Cheri Cain</t>
  </si>
  <si>
    <t>Mendez</t>
  </si>
  <si>
    <t>056-02-8441</t>
  </si>
  <si>
    <t>210-510-0508</t>
  </si>
  <si>
    <t>Houston</t>
  </si>
  <si>
    <t>Harris</t>
  </si>
  <si>
    <t>cecain</t>
  </si>
  <si>
    <t>xlbl~et:c</t>
  </si>
  <si>
    <t>Arnulfo</t>
  </si>
  <si>
    <t>Pittman</t>
  </si>
  <si>
    <t>arnulfo.pittman@yahoo.ca</t>
  </si>
  <si>
    <t>Erik Pittman</t>
  </si>
  <si>
    <t>Lawanda Pittman</t>
  </si>
  <si>
    <t>Hodges</t>
  </si>
  <si>
    <t>355-08-6207</t>
  </si>
  <si>
    <t>215-333-8078</t>
  </si>
  <si>
    <t>Auburn</t>
  </si>
  <si>
    <t>Schuylkill</t>
  </si>
  <si>
    <t>ampittman</t>
  </si>
  <si>
    <t>THImNj;q</t>
  </si>
  <si>
    <t>Nickolas</t>
  </si>
  <si>
    <t>Williams</t>
  </si>
  <si>
    <t>nickolas.williams@gmail.com</t>
  </si>
  <si>
    <t>Jarvis Williams</t>
  </si>
  <si>
    <t>Leola Williams</t>
  </si>
  <si>
    <t>Moon</t>
  </si>
  <si>
    <t>501-37-0648</t>
  </si>
  <si>
    <t>307-656-9306</t>
  </si>
  <si>
    <t>Hanna</t>
  </si>
  <si>
    <t>Carbon</t>
  </si>
  <si>
    <t>nzwilliams</t>
  </si>
  <si>
    <t>PqwnHDz_@LE_</t>
  </si>
  <si>
    <t>Raymundo</t>
  </si>
  <si>
    <t>Kramer</t>
  </si>
  <si>
    <t>raymundo.kramer@aol.com</t>
  </si>
  <si>
    <t>Kris Kramer</t>
  </si>
  <si>
    <t>Jacklyn Kramer</t>
  </si>
  <si>
    <t>Abbott</t>
  </si>
  <si>
    <t>526-99-6591</t>
  </si>
  <si>
    <t>252-396-5055</t>
  </si>
  <si>
    <t>Toast</t>
  </si>
  <si>
    <t>Surry</t>
  </si>
  <si>
    <t>rwkramer</t>
  </si>
  <si>
    <t>DfZv}BYynv@</t>
  </si>
  <si>
    <t>Jeremiah</t>
  </si>
  <si>
    <t>Dotson</t>
  </si>
  <si>
    <t>jeremiah.dotson@cox.net</t>
  </si>
  <si>
    <t>Giovanni Dotson</t>
  </si>
  <si>
    <t>Diana Dotson</t>
  </si>
  <si>
    <t>David</t>
  </si>
  <si>
    <t>562-99-8892</t>
  </si>
  <si>
    <t>216-364-7679</t>
  </si>
  <si>
    <t>Shauck</t>
  </si>
  <si>
    <t>Morrow</t>
  </si>
  <si>
    <t>jwdotson</t>
  </si>
  <si>
    <t>7K]n&amp;w&lt;ui?:R10</t>
  </si>
  <si>
    <t>tanner.matthews@rediffmail.com</t>
  </si>
  <si>
    <t>Terence Matthews</t>
  </si>
  <si>
    <t>Earnestine Matthews</t>
  </si>
  <si>
    <t>Kim</t>
  </si>
  <si>
    <t>602-87-3904</t>
  </si>
  <si>
    <t>907-768-0562</t>
  </si>
  <si>
    <t>Anchorage</t>
  </si>
  <si>
    <t>Anchorage Municipality</t>
  </si>
  <si>
    <t>timatthews</t>
  </si>
  <si>
    <t>lIaBsPQ/zWPS</t>
  </si>
  <si>
    <t>Dorian</t>
  </si>
  <si>
    <t>dorian.foster@gmail.com</t>
  </si>
  <si>
    <t>Abraham Foster</t>
  </si>
  <si>
    <t>Robbie Foster</t>
  </si>
  <si>
    <t>Rosario</t>
  </si>
  <si>
    <t>021-94-2703</t>
  </si>
  <si>
    <t>304-937-0141</t>
  </si>
  <si>
    <t>Canebrake</t>
  </si>
  <si>
    <t>dafoster</t>
  </si>
  <si>
    <t>ftXOOeN|1</t>
  </si>
  <si>
    <t>Nora</t>
  </si>
  <si>
    <t>Hansen</t>
  </si>
  <si>
    <t>nora.hansen@yahoo.co.uk</t>
  </si>
  <si>
    <t>Fredric Hansen</t>
  </si>
  <si>
    <t>Mercedes Hansen</t>
  </si>
  <si>
    <t>Benton</t>
  </si>
  <si>
    <t>766-04-0139</t>
  </si>
  <si>
    <t>319-877-0443</t>
  </si>
  <si>
    <t>Woolstock</t>
  </si>
  <si>
    <t>Wright</t>
  </si>
  <si>
    <t>nihansen</t>
  </si>
  <si>
    <t>bB9KP+rtT$i!&amp;d</t>
  </si>
  <si>
    <t>Danial</t>
  </si>
  <si>
    <t>Watts</t>
  </si>
  <si>
    <t>danial.watts@hotmail.com</t>
  </si>
  <si>
    <t>Sydney Watts</t>
  </si>
  <si>
    <t>Bettye Watts</t>
  </si>
  <si>
    <t>Pickett</t>
  </si>
  <si>
    <t>235-57-6265</t>
  </si>
  <si>
    <t>206-245-0115</t>
  </si>
  <si>
    <t>Joyce</t>
  </si>
  <si>
    <t>Clallam</t>
  </si>
  <si>
    <t>dfwatts</t>
  </si>
  <si>
    <t>tELj.&gt;A;/DA</t>
  </si>
  <si>
    <t>Nelson</t>
  </si>
  <si>
    <t>Mcintosh</t>
  </si>
  <si>
    <t>nelson.mcintosh@bp.com</t>
  </si>
  <si>
    <t>Everett Mcintosh</t>
  </si>
  <si>
    <t>Polly Mcintosh</t>
  </si>
  <si>
    <t>100-02-9212</t>
  </si>
  <si>
    <t>239-650-1951</t>
  </si>
  <si>
    <t>Glen Saint Mary</t>
  </si>
  <si>
    <t>Baker</t>
  </si>
  <si>
    <t>nhmcintosh</t>
  </si>
  <si>
    <t>B{tM3LeYV^B</t>
  </si>
  <si>
    <t>Manuel</t>
  </si>
  <si>
    <t>manuel.fulton@gmail.com</t>
  </si>
  <si>
    <t>Van Fulton</t>
  </si>
  <si>
    <t>Margret Fulton</t>
  </si>
  <si>
    <t>Perez</t>
  </si>
  <si>
    <t>695-16-1078</t>
  </si>
  <si>
    <t>339-281-4930</t>
  </si>
  <si>
    <t>Peabody</t>
  </si>
  <si>
    <t>mjfulton</t>
  </si>
  <si>
    <t>cn4e_e1GN</t>
  </si>
  <si>
    <t>Dominic</t>
  </si>
  <si>
    <t>Henson</t>
  </si>
  <si>
    <t>dominic.henson@aol.com</t>
  </si>
  <si>
    <t>Edwin Henson</t>
  </si>
  <si>
    <t>Jodie Henson</t>
  </si>
  <si>
    <t>Rivers</t>
  </si>
  <si>
    <t>670-48-0872</t>
  </si>
  <si>
    <t>314-758-8742</t>
  </si>
  <si>
    <t>Sumner</t>
  </si>
  <si>
    <t>Chariton</t>
  </si>
  <si>
    <t>duhenson</t>
  </si>
  <si>
    <t>YqhyoPCI</t>
  </si>
  <si>
    <t>Lowell</t>
  </si>
  <si>
    <t>Erickson</t>
  </si>
  <si>
    <t>lowell.erickson@gmail.com</t>
  </si>
  <si>
    <t>Zachariah Erickson</t>
  </si>
  <si>
    <t>Beryl Erickson</t>
  </si>
  <si>
    <t>Harmon</t>
  </si>
  <si>
    <t>506-57-1112</t>
  </si>
  <si>
    <t>308-308-0823</t>
  </si>
  <si>
    <t>Cheyenne</t>
  </si>
  <si>
    <t>lmerickson</t>
  </si>
  <si>
    <t>FctVw&amp;C1uY;C</t>
  </si>
  <si>
    <t>Jayne</t>
  </si>
  <si>
    <t>Coleman</t>
  </si>
  <si>
    <t>jayne.coleman@yahoo.ca</t>
  </si>
  <si>
    <t>Cyril Coleman</t>
  </si>
  <si>
    <t>Leta Coleman</t>
  </si>
  <si>
    <t>361-08-7099</t>
  </si>
  <si>
    <t>236-667-5880</t>
  </si>
  <si>
    <t>Norfolk</t>
  </si>
  <si>
    <t>Norfolk (city)</t>
  </si>
  <si>
    <t>jocoleman</t>
  </si>
  <si>
    <t>79c@{\0C?MZ</t>
  </si>
  <si>
    <t>Cornell</t>
  </si>
  <si>
    <t>G</t>
  </si>
  <si>
    <t>Daniel</t>
  </si>
  <si>
    <t>cornell.daniel@yahoo.com</t>
  </si>
  <si>
    <t>Linwood Daniel</t>
  </si>
  <si>
    <t>Elinor Daniel</t>
  </si>
  <si>
    <t>Klein</t>
  </si>
  <si>
    <t>285-15-0464</t>
  </si>
  <si>
    <t>212-208-7933</t>
  </si>
  <si>
    <t>Woodhaven</t>
  </si>
  <si>
    <t>cgdaniel</t>
  </si>
  <si>
    <t>v6RaxaFiq|</t>
  </si>
  <si>
    <t>Doris</t>
  </si>
  <si>
    <t>Glenn</t>
  </si>
  <si>
    <t>doris.glenn@yahoo.co.uk</t>
  </si>
  <si>
    <t>Howard Glenn</t>
  </si>
  <si>
    <t>Maxine Glenn</t>
  </si>
  <si>
    <t>Hayden</t>
  </si>
  <si>
    <t>695-16-1021</t>
  </si>
  <si>
    <t>270-590-4835</t>
  </si>
  <si>
    <t>Blaine</t>
  </si>
  <si>
    <t>Lawrence</t>
  </si>
  <si>
    <t>dgglenn</t>
  </si>
  <si>
    <t>ge|nr_k2r-Nf</t>
  </si>
  <si>
    <t>Tabatha</t>
  </si>
  <si>
    <t>Gonzales</t>
  </si>
  <si>
    <t>tabatha.gonzales@sbcglobal.net</t>
  </si>
  <si>
    <t>Darrell Gonzales</t>
  </si>
  <si>
    <t>Cindy Gonzales</t>
  </si>
  <si>
    <t>601-99-3515</t>
  </si>
  <si>
    <t>215-935-5310</t>
  </si>
  <si>
    <t>Steelville</t>
  </si>
  <si>
    <t>Chester</t>
  </si>
  <si>
    <t>tcgonzales</t>
  </si>
  <si>
    <t>uv6Cw8.}j@+N7O</t>
  </si>
  <si>
    <t>Jerome</t>
  </si>
  <si>
    <t>Foreman</t>
  </si>
  <si>
    <t>jerome.foreman@verizon.net</t>
  </si>
  <si>
    <t>Jarvis Foreman</t>
  </si>
  <si>
    <t>Ramona Foreman</t>
  </si>
  <si>
    <t>Trevino</t>
  </si>
  <si>
    <t>525-99-8310</t>
  </si>
  <si>
    <t>203-633-8482</t>
  </si>
  <si>
    <t>Cobalt</t>
  </si>
  <si>
    <t>Middlesex</t>
  </si>
  <si>
    <t>CT</t>
  </si>
  <si>
    <t>jeforeman</t>
  </si>
  <si>
    <t>VDahaJ4:b|R[H&amp;8</t>
  </si>
  <si>
    <t>Elton</t>
  </si>
  <si>
    <t>Ferguson</t>
  </si>
  <si>
    <t>elton.ferguson@ibm.com</t>
  </si>
  <si>
    <t>Hung Ferguson</t>
  </si>
  <si>
    <t>Gale Ferguson</t>
  </si>
  <si>
    <t>060-02-7585</t>
  </si>
  <si>
    <t>217-662-5907</t>
  </si>
  <si>
    <t>Lombard</t>
  </si>
  <si>
    <t>DuPage</t>
  </si>
  <si>
    <t>elferguson</t>
  </si>
  <si>
    <t>WG!NJ$k{&lt;?Hk]Pe</t>
  </si>
  <si>
    <t>Stacy</t>
  </si>
  <si>
    <t>stacy.jennings@gmail.com</t>
  </si>
  <si>
    <t>Hal Jennings</t>
  </si>
  <si>
    <t>Frankie Jennings</t>
  </si>
  <si>
    <t>Oneal</t>
  </si>
  <si>
    <t>772-02-1098</t>
  </si>
  <si>
    <t>225-548-6104</t>
  </si>
  <si>
    <t>Enterprise</t>
  </si>
  <si>
    <t>Catahoula</t>
  </si>
  <si>
    <t>svjennings</t>
  </si>
  <si>
    <t>d~i0a$4?rm</t>
  </si>
  <si>
    <t>Rory</t>
  </si>
  <si>
    <t>Fowler</t>
  </si>
  <si>
    <t>rory.fowler@shaw.ca</t>
  </si>
  <si>
    <t>Frederick Fowler</t>
  </si>
  <si>
    <t>Autumn Fowler</t>
  </si>
  <si>
    <t>Mosley</t>
  </si>
  <si>
    <t>582-99-8089</t>
  </si>
  <si>
    <t>215-234-1586</t>
  </si>
  <si>
    <t>Templeton</t>
  </si>
  <si>
    <t>Armstrong</t>
  </si>
  <si>
    <t>rvfowler</t>
  </si>
  <si>
    <t>QcN86gTm2Ynb-w</t>
  </si>
  <si>
    <t>Greg</t>
  </si>
  <si>
    <t>Kane</t>
  </si>
  <si>
    <t>greg.kane@bp.com</t>
  </si>
  <si>
    <t>Alfonzo Kane</t>
  </si>
  <si>
    <t>Kris Kane</t>
  </si>
  <si>
    <t>Blair</t>
  </si>
  <si>
    <t>359-08-4375</t>
  </si>
  <si>
    <t>270-884-8389</t>
  </si>
  <si>
    <t>Turners Station</t>
  </si>
  <si>
    <t>Henry</t>
  </si>
  <si>
    <t>gskane</t>
  </si>
  <si>
    <t>q$wVd%Ste:l\vs</t>
  </si>
  <si>
    <t>Julian</t>
  </si>
  <si>
    <t>julian.russo@gmail.com</t>
  </si>
  <si>
    <t>Operations</t>
  </si>
  <si>
    <t>Jeff Russo</t>
  </si>
  <si>
    <t>Jane Russo</t>
  </si>
  <si>
    <t>Maddox</t>
  </si>
  <si>
    <t>193-86-6196</t>
  </si>
  <si>
    <t>207-313-8110</t>
  </si>
  <si>
    <t>Lisbon Center</t>
  </si>
  <si>
    <t>jyrusso</t>
  </si>
  <si>
    <t>09%q~$XzoA</t>
  </si>
  <si>
    <t>Agnes</t>
  </si>
  <si>
    <t>agnes.herman@gmail.com</t>
  </si>
  <si>
    <t>Miguel Herman</t>
  </si>
  <si>
    <t>Katina Herman</t>
  </si>
  <si>
    <t>Burks</t>
  </si>
  <si>
    <t>285-15-4898</t>
  </si>
  <si>
    <t>303-834-2433</t>
  </si>
  <si>
    <t>Sugar City</t>
  </si>
  <si>
    <t>Crowley</t>
  </si>
  <si>
    <t>CO</t>
  </si>
  <si>
    <t>ajherman</t>
  </si>
  <si>
    <t>3J4[~WrL7?9H2*</t>
  </si>
  <si>
    <t>Nancy</t>
  </si>
  <si>
    <t>Gillespie</t>
  </si>
  <si>
    <t>nancy.gillespie@ibm.com</t>
  </si>
  <si>
    <t>Julio Gillespie</t>
  </si>
  <si>
    <t>Ophelia Gillespie</t>
  </si>
  <si>
    <t>571-99-8980</t>
  </si>
  <si>
    <t>217-435-0157</t>
  </si>
  <si>
    <t>Cypress</t>
  </si>
  <si>
    <t>Johnson</t>
  </si>
  <si>
    <t>npgillespie</t>
  </si>
  <si>
    <t>AJ|#t:Qi#~/j</t>
  </si>
  <si>
    <t>Tyrone</t>
  </si>
  <si>
    <t>Soto</t>
  </si>
  <si>
    <t>tyrone.soto@yahoo.com</t>
  </si>
  <si>
    <t>Danial Soto</t>
  </si>
  <si>
    <t>Susanna Soto</t>
  </si>
  <si>
    <t>Garner</t>
  </si>
  <si>
    <t>260-99-2602</t>
  </si>
  <si>
    <t>215-785-6734</t>
  </si>
  <si>
    <t>Driftwood</t>
  </si>
  <si>
    <t>Cameron</t>
  </si>
  <si>
    <t>tnsoto</t>
  </si>
  <si>
    <t>7#{#HIA{rL{[n</t>
  </si>
  <si>
    <t>Bradley</t>
  </si>
  <si>
    <t>Chan</t>
  </si>
  <si>
    <t>bradley.chan@hotmail.com</t>
  </si>
  <si>
    <t>Winston Chan</t>
  </si>
  <si>
    <t>Iva Chan</t>
  </si>
  <si>
    <t>Kirkland</t>
  </si>
  <si>
    <t>578-53-2084</t>
  </si>
  <si>
    <t>503-254-6301</t>
  </si>
  <si>
    <t>Portland</t>
  </si>
  <si>
    <t>Multnomah</t>
  </si>
  <si>
    <t>blchan</t>
  </si>
  <si>
    <t>vF|.0d]6H</t>
  </si>
  <si>
    <t>Emile</t>
  </si>
  <si>
    <t>Love</t>
  </si>
  <si>
    <t>emile.love@gmail.com</t>
  </si>
  <si>
    <t>Timothy Love</t>
  </si>
  <si>
    <t>Yvonne Love</t>
  </si>
  <si>
    <t>Palmer</t>
  </si>
  <si>
    <t>463-99-4496</t>
  </si>
  <si>
    <t>236-371-6203</t>
  </si>
  <si>
    <t>Mears</t>
  </si>
  <si>
    <t>Accomack</t>
  </si>
  <si>
    <t>ealove</t>
  </si>
  <si>
    <t>uN9wmWiB</t>
  </si>
  <si>
    <t>Zachary</t>
  </si>
  <si>
    <t>Gregory</t>
  </si>
  <si>
    <t>zachary.gregory@cox.net</t>
  </si>
  <si>
    <t>Kenton Gregory</t>
  </si>
  <si>
    <t>Georgina Gregory</t>
  </si>
  <si>
    <t>Bowers</t>
  </si>
  <si>
    <t>022-92-4866</t>
  </si>
  <si>
    <t>907-896-4031</t>
  </si>
  <si>
    <t>zggregory</t>
  </si>
  <si>
    <t>L\|gdwM&amp;[G59</t>
  </si>
  <si>
    <t>Gutierrez</t>
  </si>
  <si>
    <t>tara.gutierrez@aol.com</t>
  </si>
  <si>
    <t>Warren Gutierrez</t>
  </si>
  <si>
    <t>Simone Gutierrez</t>
  </si>
  <si>
    <t>Mccray</t>
  </si>
  <si>
    <t>533-71-1082</t>
  </si>
  <si>
    <t>239-922-7150</t>
  </si>
  <si>
    <t>Zephyrhills</t>
  </si>
  <si>
    <t>Pasco</t>
  </si>
  <si>
    <t>tagutierrez</t>
  </si>
  <si>
    <t>p;dk*DU{P8Dp</t>
  </si>
  <si>
    <t>Aubrey</t>
  </si>
  <si>
    <t>aubrey.pugh@gmail.com</t>
  </si>
  <si>
    <t>Paul Pugh</t>
  </si>
  <si>
    <t>Jimmie Pugh</t>
  </si>
  <si>
    <t>Sloan</t>
  </si>
  <si>
    <t>029-92-8064</t>
  </si>
  <si>
    <t>239-405-4736</t>
  </si>
  <si>
    <t>Osprey</t>
  </si>
  <si>
    <t>Sarasota</t>
  </si>
  <si>
    <t>atpugh</t>
  </si>
  <si>
    <t>a}2|P%rct}</t>
  </si>
  <si>
    <t>Carroll</t>
  </si>
  <si>
    <t>Sweeney</t>
  </si>
  <si>
    <t>carroll.sweeney@walmart.com</t>
  </si>
  <si>
    <t>Erin Sweeney</t>
  </si>
  <si>
    <t>Tamara Sweeney</t>
  </si>
  <si>
    <t>Bentley</t>
  </si>
  <si>
    <t>496-29-5249</t>
  </si>
  <si>
    <t>218-412-2298</t>
  </si>
  <si>
    <t>Saint Martin</t>
  </si>
  <si>
    <t>Stearns</t>
  </si>
  <si>
    <t>MN</t>
  </si>
  <si>
    <t>cesweeney</t>
  </si>
  <si>
    <t>YJiuoTH&amp;6</t>
  </si>
  <si>
    <t>Claudette</t>
  </si>
  <si>
    <t>Solomon</t>
  </si>
  <si>
    <t>claudette.solomon@yahoo.com</t>
  </si>
  <si>
    <t>Rodger Solomon</t>
  </si>
  <si>
    <t>Darlene Solomon</t>
  </si>
  <si>
    <t>Mccormick</t>
  </si>
  <si>
    <t>715-18-3952</t>
  </si>
  <si>
    <t>308-298-8715</t>
  </si>
  <si>
    <t>Omaha</t>
  </si>
  <si>
    <t>cwsolomon</t>
  </si>
  <si>
    <t>y$+|N?zOGe%3Qea</t>
  </si>
  <si>
    <t>Ricky</t>
  </si>
  <si>
    <t>ricky.bowers@hotmail.com</t>
  </si>
  <si>
    <t>Doug Bowers</t>
  </si>
  <si>
    <t>Janice Bowers</t>
  </si>
  <si>
    <t>Gallagher</t>
  </si>
  <si>
    <t>579-53-3688</t>
  </si>
  <si>
    <t>205-610-5770</t>
  </si>
  <si>
    <t>Mount Hope</t>
  </si>
  <si>
    <t>AL</t>
  </si>
  <si>
    <t>rcbowers</t>
  </si>
  <si>
    <t>6+/mp^tb#\n</t>
  </si>
  <si>
    <t>Brian</t>
  </si>
  <si>
    <t>Fitzpatrick</t>
  </si>
  <si>
    <t>brian.fitzpatrick@gmail.com</t>
  </si>
  <si>
    <t>Darrel Fitzpatrick</t>
  </si>
  <si>
    <t>Carrie Fitzpatrick</t>
  </si>
  <si>
    <t>Summers</t>
  </si>
  <si>
    <t>076-02-8987</t>
  </si>
  <si>
    <t>239-710-0174</t>
  </si>
  <si>
    <t>Orlando</t>
  </si>
  <si>
    <t>Orange</t>
  </si>
  <si>
    <t>bsfitzpatrick</t>
  </si>
  <si>
    <t>m:-.Wp&gt;Y</t>
  </si>
  <si>
    <t>Nicholas</t>
  </si>
  <si>
    <t>Branch</t>
  </si>
  <si>
    <t>nicholas.branch@gmail.com</t>
  </si>
  <si>
    <t>Rolland Branch</t>
  </si>
  <si>
    <t>Deanna Branch</t>
  </si>
  <si>
    <t>582-99-0794</t>
  </si>
  <si>
    <t>209-630-8100</t>
  </si>
  <si>
    <t>Pomona</t>
  </si>
  <si>
    <t>ntbranch</t>
  </si>
  <si>
    <t>bkO|Q$?3$Rp9q</t>
  </si>
  <si>
    <t>Eileen</t>
  </si>
  <si>
    <t>eileen.hobbs@gmail.com</t>
  </si>
  <si>
    <t>Xavier Hobbs</t>
  </si>
  <si>
    <t>Mercedes Hobbs</t>
  </si>
  <si>
    <t>Hammond</t>
  </si>
  <si>
    <t>721-18-8978</t>
  </si>
  <si>
    <t>262-747-2220</t>
  </si>
  <si>
    <t>Oshkosh</t>
  </si>
  <si>
    <t>Winnebago</t>
  </si>
  <si>
    <t>WI</t>
  </si>
  <si>
    <t>eahobbs</t>
  </si>
  <si>
    <t>x5+*MpNi}q2t</t>
  </si>
  <si>
    <t>Colin</t>
  </si>
  <si>
    <t>Wilson</t>
  </si>
  <si>
    <t>colin.wilson@yahoo.com</t>
  </si>
  <si>
    <t>Benny Wilson</t>
  </si>
  <si>
    <t>Sheena Wilson</t>
  </si>
  <si>
    <t>Baird</t>
  </si>
  <si>
    <t>456-99-5072</t>
  </si>
  <si>
    <t>210-884-1227</t>
  </si>
  <si>
    <t>Conroe</t>
  </si>
  <si>
    <t>cgwilson</t>
  </si>
  <si>
    <t>d[w[oXu;6^hmP0</t>
  </si>
  <si>
    <t>rosario.trevino@hotmail.co.uk</t>
  </si>
  <si>
    <t>Nolan Trevino</t>
  </si>
  <si>
    <t>Alyssa Trevino</t>
  </si>
  <si>
    <t>Hernandez</t>
  </si>
  <si>
    <t>438-99-6733</t>
  </si>
  <si>
    <t>239-837-1872</t>
  </si>
  <si>
    <t>Chattahoochee</t>
  </si>
  <si>
    <t>Gadsden</t>
  </si>
  <si>
    <t>rwtrevino</t>
  </si>
  <si>
    <t>bXHSZNt&amp;&gt;aj@+</t>
  </si>
  <si>
    <t>Salvador</t>
  </si>
  <si>
    <t>salvador.gutierrez@hotmail.com</t>
  </si>
  <si>
    <t>Zachariah Gutierrez</t>
  </si>
  <si>
    <t>Kathrine Gutierrez</t>
  </si>
  <si>
    <t>Yates</t>
  </si>
  <si>
    <t>433-99-8048</t>
  </si>
  <si>
    <t>270-927-3494</t>
  </si>
  <si>
    <t>Huddy</t>
  </si>
  <si>
    <t>Pike</t>
  </si>
  <si>
    <t>sqgutierrez</t>
  </si>
  <si>
    <t>c++KqaKbE_&amp;</t>
  </si>
  <si>
    <t>Aldo</t>
  </si>
  <si>
    <t>aldo.medina@gmail.com</t>
  </si>
  <si>
    <t>Adolfo Medina</t>
  </si>
  <si>
    <t>Darcy Medina</t>
  </si>
  <si>
    <t>Gibson</t>
  </si>
  <si>
    <t>450-99-2217</t>
  </si>
  <si>
    <t>701-676-5051</t>
  </si>
  <si>
    <t>Linton</t>
  </si>
  <si>
    <t>Emmons</t>
  </si>
  <si>
    <t>ND</t>
  </si>
  <si>
    <t>ajmedina</t>
  </si>
  <si>
    <t>OXCeV{gf.9L18OC</t>
  </si>
  <si>
    <t>Bret</t>
  </si>
  <si>
    <t>Blevins</t>
  </si>
  <si>
    <t>bret.blevins@gmail.com</t>
  </si>
  <si>
    <t>Mickey Blevins</t>
  </si>
  <si>
    <t>Marie Blevins</t>
  </si>
  <si>
    <t>097-02-5670</t>
  </si>
  <si>
    <t>231-210-4653</t>
  </si>
  <si>
    <t>Vassar</t>
  </si>
  <si>
    <t>Tuscola</t>
  </si>
  <si>
    <t>bjblevins</t>
  </si>
  <si>
    <t>vaU:{zwqX;/vw</t>
  </si>
  <si>
    <t>dominic.mosley@gmail.com</t>
  </si>
  <si>
    <t>Jesse Mosley</t>
  </si>
  <si>
    <t>Deana Mosley</t>
  </si>
  <si>
    <t>Bailey</t>
  </si>
  <si>
    <t>524-99-5211</t>
  </si>
  <si>
    <t>206-882-1588</t>
  </si>
  <si>
    <t>Vancouver</t>
  </si>
  <si>
    <t>dhmosley</t>
  </si>
  <si>
    <t>xPr\aGPTQ#v</t>
  </si>
  <si>
    <t>Karina</t>
  </si>
  <si>
    <t>Owens</t>
  </si>
  <si>
    <t>karina.owens@gmail.com</t>
  </si>
  <si>
    <t>Francis Owens</t>
  </si>
  <si>
    <t>Sheri Owens</t>
  </si>
  <si>
    <t>Ball</t>
  </si>
  <si>
    <t>021-94-2215</t>
  </si>
  <si>
    <t>605-328-0861</t>
  </si>
  <si>
    <t>Centerville</t>
  </si>
  <si>
    <t>Turner</t>
  </si>
  <si>
    <t>SD</t>
  </si>
  <si>
    <t>kjowens</t>
  </si>
  <si>
    <t>Iowni;WUNVGYc^I</t>
  </si>
  <si>
    <t>Marquis</t>
  </si>
  <si>
    <t>Perkins</t>
  </si>
  <si>
    <t>marquis.perkins@aol.com</t>
  </si>
  <si>
    <t>Gil Perkins</t>
  </si>
  <si>
    <t>Kelley Perkins</t>
  </si>
  <si>
    <t>395-33-0468</t>
  </si>
  <si>
    <t>212-941-0218</t>
  </si>
  <si>
    <t>Manchester</t>
  </si>
  <si>
    <t>Ontario</t>
  </si>
  <si>
    <t>mrperkins</t>
  </si>
  <si>
    <t>f]rj[3.f;Pz3</t>
  </si>
  <si>
    <t>Damon</t>
  </si>
  <si>
    <t>damon.solomon@aol.com</t>
  </si>
  <si>
    <t>Grant Solomon</t>
  </si>
  <si>
    <t>Louisa Solomon</t>
  </si>
  <si>
    <t>Reeves</t>
  </si>
  <si>
    <t>074-02-6697</t>
  </si>
  <si>
    <t>218-273-9680</t>
  </si>
  <si>
    <t>Chisago</t>
  </si>
  <si>
    <t>dgsolomon</t>
  </si>
  <si>
    <t>f9[2l&gt;kA+nm</t>
  </si>
  <si>
    <t>Leonel</t>
  </si>
  <si>
    <t>K</t>
  </si>
  <si>
    <t>Atkins</t>
  </si>
  <si>
    <t>leonel.atkins@hotmail.com</t>
  </si>
  <si>
    <t>Roderick Atkins</t>
  </si>
  <si>
    <t>Rena Atkins</t>
  </si>
  <si>
    <t>Robertson</t>
  </si>
  <si>
    <t>191-86-5365</t>
  </si>
  <si>
    <t>304-862-3580</t>
  </si>
  <si>
    <t>Isaban</t>
  </si>
  <si>
    <t>McDowell</t>
  </si>
  <si>
    <t>lkatkins</t>
  </si>
  <si>
    <t>IiiJdi\R.i</t>
  </si>
  <si>
    <t>Teddy</t>
  </si>
  <si>
    <t>Merritt</t>
  </si>
  <si>
    <t>teddy.merritt@msn.com</t>
  </si>
  <si>
    <t>Garry Merritt</t>
  </si>
  <si>
    <t>Louella Merritt</t>
  </si>
  <si>
    <t>330-11-1775</t>
  </si>
  <si>
    <t>215-283-5083</t>
  </si>
  <si>
    <t>Timblin</t>
  </si>
  <si>
    <t>tamerritt</t>
  </si>
  <si>
    <t>vcw3QJ_1b</t>
  </si>
  <si>
    <t>Alexandria</t>
  </si>
  <si>
    <t>Long</t>
  </si>
  <si>
    <t>alexandria.long@hotmail.com</t>
  </si>
  <si>
    <t>Gregorio Long</t>
  </si>
  <si>
    <t>Katharine Long</t>
  </si>
  <si>
    <t>351-08-0065</t>
  </si>
  <si>
    <t>217-924-3225</t>
  </si>
  <si>
    <t>Cooksville</t>
  </si>
  <si>
    <t>McLean</t>
  </si>
  <si>
    <t>aylong</t>
  </si>
  <si>
    <t>UFAVy2jRV2_-g</t>
  </si>
  <si>
    <t>Margaret</t>
  </si>
  <si>
    <t>Reilly</t>
  </si>
  <si>
    <t>margaret.reilly@yahoo.com</t>
  </si>
  <si>
    <t>Elmer Reilly</t>
  </si>
  <si>
    <t>Kasey Reilly</t>
  </si>
  <si>
    <t>Wood</t>
  </si>
  <si>
    <t>085-02-5151</t>
  </si>
  <si>
    <t>239-788-2444</t>
  </si>
  <si>
    <t>Plant City</t>
  </si>
  <si>
    <t>Hillsborough</t>
  </si>
  <si>
    <t>mcreilly</t>
  </si>
  <si>
    <t>Grf*;O;|</t>
  </si>
  <si>
    <t>Willis</t>
  </si>
  <si>
    <t>willis.rose@gmail.com</t>
  </si>
  <si>
    <t>Lazaro Rose</t>
  </si>
  <si>
    <t>Lorene Rose</t>
  </si>
  <si>
    <t>Mcgee</t>
  </si>
  <si>
    <t>502-37-0169</t>
  </si>
  <si>
    <t>236-423-4606</t>
  </si>
  <si>
    <t>Brunswick</t>
  </si>
  <si>
    <t>wlrose</t>
  </si>
  <si>
    <t>kYP0pt#Nc%qtMU{</t>
  </si>
  <si>
    <t>Donovan</t>
  </si>
  <si>
    <t>donovan.bowman@hotmail.com</t>
  </si>
  <si>
    <t>Sebastian Bowman</t>
  </si>
  <si>
    <t>Opal Bowman</t>
  </si>
  <si>
    <t>Mccall</t>
  </si>
  <si>
    <t>333-11-3489</t>
  </si>
  <si>
    <t>207-867-3545</t>
  </si>
  <si>
    <t>dobowman</t>
  </si>
  <si>
    <t>fm&amp;&amp;1s-W]9&gt;*Q</t>
  </si>
  <si>
    <t>Kristina</t>
  </si>
  <si>
    <t>Mcgowan</t>
  </si>
  <si>
    <t>kristina.mcgowan@gmail.com</t>
  </si>
  <si>
    <t>Brad Mcgowan</t>
  </si>
  <si>
    <t>Minnie Mcgowan</t>
  </si>
  <si>
    <t>177-86-1872</t>
  </si>
  <si>
    <t>209-530-2084</t>
  </si>
  <si>
    <t>Merced</t>
  </si>
  <si>
    <t>kqmcgowan</t>
  </si>
  <si>
    <t>S\ZzE;:nx~</t>
  </si>
  <si>
    <t>Garth</t>
  </si>
  <si>
    <t>Clarke</t>
  </si>
  <si>
    <t>garth.clarke@yahoo.com</t>
  </si>
  <si>
    <t>Willard Clarke</t>
  </si>
  <si>
    <t>Herminia Clarke</t>
  </si>
  <si>
    <t>Barker</t>
  </si>
  <si>
    <t>473-55-8809</t>
  </si>
  <si>
    <t>270-393-1575</t>
  </si>
  <si>
    <t>Phyllis</t>
  </si>
  <si>
    <t>giclarke</t>
  </si>
  <si>
    <t>img[SNhtDCW!J</t>
  </si>
  <si>
    <t>Martin</t>
  </si>
  <si>
    <t>Buchanan</t>
  </si>
  <si>
    <t>martin.buchanan@charter.net</t>
  </si>
  <si>
    <t>Aubrey Buchanan</t>
  </si>
  <si>
    <t>Petra Buchanan</t>
  </si>
  <si>
    <t>698-16-9625</t>
  </si>
  <si>
    <t>205-434-3924</t>
  </si>
  <si>
    <t>Centre</t>
  </si>
  <si>
    <t>Cherokee</t>
  </si>
  <si>
    <t>mwbuchanan</t>
  </si>
  <si>
    <t>O0M~/dS!K&gt;&gt;e]I</t>
  </si>
  <si>
    <t>Irwin</t>
  </si>
  <si>
    <t>Jenkins</t>
  </si>
  <si>
    <t>irwin.jenkins@aol.com</t>
  </si>
  <si>
    <t>Rodney Jenkins</t>
  </si>
  <si>
    <t>Concetta Jenkins</t>
  </si>
  <si>
    <t>Gilbert</t>
  </si>
  <si>
    <t>027-92-7402</t>
  </si>
  <si>
    <t>231-682-6128</t>
  </si>
  <si>
    <t>Traverse City</t>
  </si>
  <si>
    <t>Grand Traverse</t>
  </si>
  <si>
    <t>idjenkins</t>
  </si>
  <si>
    <t>FMlA{P&lt;iBZMW</t>
  </si>
  <si>
    <t>Reynaldo</t>
  </si>
  <si>
    <t>Sosa</t>
  </si>
  <si>
    <t>reynaldo.sosa@gmail.com</t>
  </si>
  <si>
    <t>Alec Sosa</t>
  </si>
  <si>
    <t>Ana Sosa</t>
  </si>
  <si>
    <t>Berg</t>
  </si>
  <si>
    <t>583-99-6285</t>
  </si>
  <si>
    <t>212-493-7300</t>
  </si>
  <si>
    <t>Jamaica</t>
  </si>
  <si>
    <t>rpsosa</t>
  </si>
  <si>
    <t>7vY/{+49</t>
  </si>
  <si>
    <t>Sherri</t>
  </si>
  <si>
    <t>Snyder</t>
  </si>
  <si>
    <t>sherri.snyder@gmail.com</t>
  </si>
  <si>
    <t>Dominic Snyder</t>
  </si>
  <si>
    <t>Leanna Snyder</t>
  </si>
  <si>
    <t>Kelley</t>
  </si>
  <si>
    <t>690-22-1232</t>
  </si>
  <si>
    <t>314-249-8205</t>
  </si>
  <si>
    <t>Saint Louis</t>
  </si>
  <si>
    <t>St. Louis</t>
  </si>
  <si>
    <t>stsnyder</t>
  </si>
  <si>
    <t>jvxRJXFB</t>
  </si>
  <si>
    <t>Johnny</t>
  </si>
  <si>
    <t>Dunlap</t>
  </si>
  <si>
    <t>johnny.dunlap@gmail.com</t>
  </si>
  <si>
    <t>Ashley Dunlap</t>
  </si>
  <si>
    <t>Terri Dunlap</t>
  </si>
  <si>
    <t>Dawson</t>
  </si>
  <si>
    <t>473-55-5773</t>
  </si>
  <si>
    <t>229-688-3291</t>
  </si>
  <si>
    <t>Irwinville</t>
  </si>
  <si>
    <t>jedunlap</t>
  </si>
  <si>
    <t>C#A.5SjDs[zxp^2</t>
  </si>
  <si>
    <t>Earnest</t>
  </si>
  <si>
    <t>Kirk</t>
  </si>
  <si>
    <t>earnest.kirk@gmail.com</t>
  </si>
  <si>
    <t>Tod Kirk</t>
  </si>
  <si>
    <t>Ava Kirk</t>
  </si>
  <si>
    <t>Francis</t>
  </si>
  <si>
    <t>424-65-1841</t>
  </si>
  <si>
    <t>207-952-5215</t>
  </si>
  <si>
    <t>Masardis</t>
  </si>
  <si>
    <t>Aroostook</t>
  </si>
  <si>
    <t>exkirk</t>
  </si>
  <si>
    <t>M&amp;6F&amp;j2[O</t>
  </si>
  <si>
    <t>Mcdowell</t>
  </si>
  <si>
    <t>bernardo.mcdowell@gmail.com</t>
  </si>
  <si>
    <t>Jarrett Mcdowell</t>
  </si>
  <si>
    <t>Rosario Mcdowell</t>
  </si>
  <si>
    <t>Duke</t>
  </si>
  <si>
    <t>065-02-8230</t>
  </si>
  <si>
    <t>239-768-1883</t>
  </si>
  <si>
    <t>Hollywood</t>
  </si>
  <si>
    <t>Broward</t>
  </si>
  <si>
    <t>bqmcdowell</t>
  </si>
  <si>
    <t>x].e[H5t132P2</t>
  </si>
  <si>
    <t>Yvette</t>
  </si>
  <si>
    <t>Warner</t>
  </si>
  <si>
    <t>yvette.warner@yahoo.com</t>
  </si>
  <si>
    <t>Loren Warner</t>
  </si>
  <si>
    <t>Jill Warner</t>
  </si>
  <si>
    <t>Waters</t>
  </si>
  <si>
    <t>080-02-6759</t>
  </si>
  <si>
    <t>215-245-5970</t>
  </si>
  <si>
    <t>Orviston</t>
  </si>
  <si>
    <t>yuwarner</t>
  </si>
  <si>
    <t>UFHv3Ns#MQ-</t>
  </si>
  <si>
    <t>Robby</t>
  </si>
  <si>
    <t>Jordan</t>
  </si>
  <si>
    <t>robby.jordan@comcast.net</t>
  </si>
  <si>
    <t>Reuben Jordan</t>
  </si>
  <si>
    <t>Althea Jordan</t>
  </si>
  <si>
    <t>Kennedy</t>
  </si>
  <si>
    <t>731-28-7678</t>
  </si>
  <si>
    <t>206-604-6965</t>
  </si>
  <si>
    <t>Metaline</t>
  </si>
  <si>
    <t>Pend Oreille</t>
  </si>
  <si>
    <t>rujordan</t>
  </si>
  <si>
    <t>k[Nqfir#C_n</t>
  </si>
  <si>
    <t>Carolina</t>
  </si>
  <si>
    <t>carolina.coleman@aol.com</t>
  </si>
  <si>
    <t>Earl Coleman</t>
  </si>
  <si>
    <t>Goldie Coleman</t>
  </si>
  <si>
    <t>Hartman</t>
  </si>
  <si>
    <t>522-99-8409</t>
  </si>
  <si>
    <t>239-928-5690</t>
  </si>
  <si>
    <t>Sanford</t>
  </si>
  <si>
    <t>Seminole</t>
  </si>
  <si>
    <t>cycoleman</t>
  </si>
  <si>
    <t>fwV$Z87v3j{~BWH</t>
  </si>
  <si>
    <t>Sonia</t>
  </si>
  <si>
    <t>sonia.cook@gmail.com</t>
  </si>
  <si>
    <t>Scotty Cook</t>
  </si>
  <si>
    <t>Marva Cook</t>
  </si>
  <si>
    <t>Morton</t>
  </si>
  <si>
    <t>211-84-2167</t>
  </si>
  <si>
    <t>236-937-1339</t>
  </si>
  <si>
    <t>Pearisburg</t>
  </si>
  <si>
    <t>sxcook</t>
  </si>
  <si>
    <t>7J&gt;!z#mo//lUn</t>
  </si>
  <si>
    <t>Larry</t>
  </si>
  <si>
    <t>Tran</t>
  </si>
  <si>
    <t>larry.tran@gmail.com</t>
  </si>
  <si>
    <t>Hunter Tran</t>
  </si>
  <si>
    <t>Lorna Tran</t>
  </si>
  <si>
    <t>Thornton</t>
  </si>
  <si>
    <t>145-23-5514</t>
  </si>
  <si>
    <t>304-994-1002</t>
  </si>
  <si>
    <t>Pliny</t>
  </si>
  <si>
    <t>lctran</t>
  </si>
  <si>
    <t>0I5kv&lt;\++8%Hx</t>
  </si>
  <si>
    <t>Esmeralda</t>
  </si>
  <si>
    <t>Grant</t>
  </si>
  <si>
    <t>esmeralda.grant@yahoo.com</t>
  </si>
  <si>
    <t>Oliver Grant</t>
  </si>
  <si>
    <t>Lucinda Grant</t>
  </si>
  <si>
    <t>Bruce</t>
  </si>
  <si>
    <t>536-71-6439</t>
  </si>
  <si>
    <t>262-728-1705</t>
  </si>
  <si>
    <t>Shullsburg</t>
  </si>
  <si>
    <t>Lafayette</t>
  </si>
  <si>
    <t>epgrant</t>
  </si>
  <si>
    <t>Nb*yf@Z8TSE:d</t>
  </si>
  <si>
    <t>Candy</t>
  </si>
  <si>
    <t>candy.singleton@hotmail.com</t>
  </si>
  <si>
    <t>Russ Singleton</t>
  </si>
  <si>
    <t>Nadine Singleton</t>
  </si>
  <si>
    <t>Ross</t>
  </si>
  <si>
    <t>334-11-6997</t>
  </si>
  <si>
    <t>205-585-4936</t>
  </si>
  <si>
    <t>Wetumpka</t>
  </si>
  <si>
    <t>Elmore</t>
  </si>
  <si>
    <t>cksingleton</t>
  </si>
  <si>
    <t>t?&gt;x1}yh]Dn</t>
  </si>
  <si>
    <t>Emma</t>
  </si>
  <si>
    <t>Obrien</t>
  </si>
  <si>
    <t>emma.obrien@gmail.com</t>
  </si>
  <si>
    <t>Cameron Obrien</t>
  </si>
  <si>
    <t>Michele Obrien</t>
  </si>
  <si>
    <t>Sullivan</t>
  </si>
  <si>
    <t>425-99-7082</t>
  </si>
  <si>
    <t>262-707-3676</t>
  </si>
  <si>
    <t>Briggsville</t>
  </si>
  <si>
    <t>Marquette</t>
  </si>
  <si>
    <t>eeobrien</t>
  </si>
  <si>
    <t>b;cNIBaYfK6_E+x</t>
  </si>
  <si>
    <t>Scot</t>
  </si>
  <si>
    <t>Beach</t>
  </si>
  <si>
    <t>scot.beach@sbcglobal.net</t>
  </si>
  <si>
    <t>Ivan Beach</t>
  </si>
  <si>
    <t>Elvia Beach</t>
  </si>
  <si>
    <t>Holt</t>
  </si>
  <si>
    <t>756-12-8398</t>
  </si>
  <si>
    <t>319-334-1932</t>
  </si>
  <si>
    <t>Pocahontas</t>
  </si>
  <si>
    <t>smbeach</t>
  </si>
  <si>
    <t>Ust_+g$Bh7;MX^X</t>
  </si>
  <si>
    <t>Rolland</t>
  </si>
  <si>
    <t>Mendoza</t>
  </si>
  <si>
    <t>rolland.mendoza@yahoo.com</t>
  </si>
  <si>
    <t>Daren Mendoza</t>
  </si>
  <si>
    <t>Magdalena Mendoza</t>
  </si>
  <si>
    <t>Swanson</t>
  </si>
  <si>
    <t>180-86-0187</t>
  </si>
  <si>
    <t>228-727-6767</t>
  </si>
  <si>
    <t>Hinds</t>
  </si>
  <si>
    <t>rdmendoza</t>
  </si>
  <si>
    <t>M!E1To&gt;f^o7g</t>
  </si>
  <si>
    <t>Tommie</t>
  </si>
  <si>
    <t>Sanchez</t>
  </si>
  <si>
    <t>tommie.sanchez@gmail.com</t>
  </si>
  <si>
    <t>Agustin Sanchez</t>
  </si>
  <si>
    <t>Brittney Sanchez</t>
  </si>
  <si>
    <t>Travis</t>
  </si>
  <si>
    <t>148-23-0773</t>
  </si>
  <si>
    <t>205-823-2834</t>
  </si>
  <si>
    <t>Wedowee</t>
  </si>
  <si>
    <t>tbsanchez</t>
  </si>
  <si>
    <t>5/+|EJZi~A</t>
  </si>
  <si>
    <t>Jessie</t>
  </si>
  <si>
    <t>Cortez</t>
  </si>
  <si>
    <t>jessie.cortez@exxonmobil.com</t>
  </si>
  <si>
    <t>Hollis Cortez</t>
  </si>
  <si>
    <t>Katelyn Cortez</t>
  </si>
  <si>
    <t>165-86-1499</t>
  </si>
  <si>
    <t>239-810-9402</t>
  </si>
  <si>
    <t>Clearwater</t>
  </si>
  <si>
    <t>Pinellas</t>
  </si>
  <si>
    <t>jncortez</t>
  </si>
  <si>
    <t>6RyPS|0VHF3l?</t>
  </si>
  <si>
    <t>Isiah</t>
  </si>
  <si>
    <t>Guthrie</t>
  </si>
  <si>
    <t>isiah.guthrie@bellsouth.net</t>
  </si>
  <si>
    <t>Adrian Guthrie</t>
  </si>
  <si>
    <t>Trisha Guthrie</t>
  </si>
  <si>
    <t>Graham</t>
  </si>
  <si>
    <t>100-02-2099</t>
  </si>
  <si>
    <t>385-228-9893</t>
  </si>
  <si>
    <t>Heber City</t>
  </si>
  <si>
    <t>Wasatch</t>
  </si>
  <si>
    <t>UT</t>
  </si>
  <si>
    <t>itguthrie</t>
  </si>
  <si>
    <t>Es+XaWTt\l8wT*</t>
  </si>
  <si>
    <t>Janelle</t>
  </si>
  <si>
    <t>Gill</t>
  </si>
  <si>
    <t>janelle.gill@gmail.com</t>
  </si>
  <si>
    <t>Santos Gill</t>
  </si>
  <si>
    <t>Marissa Gill</t>
  </si>
  <si>
    <t>Frye</t>
  </si>
  <si>
    <t>390-33-9081</t>
  </si>
  <si>
    <t>236-897-3910</t>
  </si>
  <si>
    <t>Falls Church</t>
  </si>
  <si>
    <t>Falls Church (city)</t>
  </si>
  <si>
    <t>jqgill</t>
  </si>
  <si>
    <t>U+g&gt;QPO:</t>
  </si>
  <si>
    <t>Christoper</t>
  </si>
  <si>
    <t>Haynes</t>
  </si>
  <si>
    <t>christoper.haynes@yahoo.com</t>
  </si>
  <si>
    <t>Mathew Haynes</t>
  </si>
  <si>
    <t>Bertie Haynes</t>
  </si>
  <si>
    <t>488-29-1186</t>
  </si>
  <si>
    <t>210-869-1768</t>
  </si>
  <si>
    <t>Speaks</t>
  </si>
  <si>
    <t>Lavaca</t>
  </si>
  <si>
    <t>cyhaynes</t>
  </si>
  <si>
    <t>Q5|@?AG@K</t>
  </si>
  <si>
    <t>Kathie</t>
  </si>
  <si>
    <t>kathie.kirby@sbcglobal.net</t>
  </si>
  <si>
    <t>Dwayne Kirby</t>
  </si>
  <si>
    <t>Nona Kirby</t>
  </si>
  <si>
    <t>Glover</t>
  </si>
  <si>
    <t>492-29-8466</t>
  </si>
  <si>
    <t>505-502-1526</t>
  </si>
  <si>
    <t>Santa Teresa</t>
  </si>
  <si>
    <t>Doña Ana</t>
  </si>
  <si>
    <t>NM</t>
  </si>
  <si>
    <t>kekirby</t>
  </si>
  <si>
    <t>Y3V1uG9FW|N%?t</t>
  </si>
  <si>
    <t>Antonia</t>
  </si>
  <si>
    <t>antonia.kinney@gmail.com</t>
  </si>
  <si>
    <t>Hans Kinney</t>
  </si>
  <si>
    <t>Deirdre Kinney</t>
  </si>
  <si>
    <t>125-98-4079</t>
  </si>
  <si>
    <t>239-363-8520</t>
  </si>
  <si>
    <t>Fort Lauderdale</t>
  </si>
  <si>
    <t>ahkinney</t>
  </si>
  <si>
    <t>vH5D7!^s</t>
  </si>
  <si>
    <t>Ophelia</t>
  </si>
  <si>
    <t>Wagner</t>
  </si>
  <si>
    <t>ophelia.wagner@ibm.com</t>
  </si>
  <si>
    <t>Galen Wagner</t>
  </si>
  <si>
    <t>Mabel Wagner</t>
  </si>
  <si>
    <t>083-02-0316</t>
  </si>
  <si>
    <t>480-956-7391</t>
  </si>
  <si>
    <t>Scottsdale</t>
  </si>
  <si>
    <t>Maricopa</t>
  </si>
  <si>
    <t>AZ</t>
  </si>
  <si>
    <t>ovwagner</t>
  </si>
  <si>
    <t>be!JK2b9tKsWX</t>
  </si>
  <si>
    <t>Hallie</t>
  </si>
  <si>
    <t>hallie.cervantes@aol.com</t>
  </si>
  <si>
    <t>Burton Cervantes</t>
  </si>
  <si>
    <t>Georgia Cervantes</t>
  </si>
  <si>
    <t>Knight</t>
  </si>
  <si>
    <t>649-56-2968</t>
  </si>
  <si>
    <t>270-272-6620</t>
  </si>
  <si>
    <t>Se Ree</t>
  </si>
  <si>
    <t>Breckinridge</t>
  </si>
  <si>
    <t>hgcervantes</t>
  </si>
  <si>
    <t>LJtUi?2&lt;{vzf@JA</t>
  </si>
  <si>
    <t>Adriana</t>
  </si>
  <si>
    <t>Mcfarland</t>
  </si>
  <si>
    <t>adriana.mcfarland@outlook.com</t>
  </si>
  <si>
    <t>Harold Mcfarland</t>
  </si>
  <si>
    <t>Alison Mcfarland</t>
  </si>
  <si>
    <t>256-99-0570</t>
  </si>
  <si>
    <t>308-264-5555</t>
  </si>
  <si>
    <t>Sheridan</t>
  </si>
  <si>
    <t>armcfarland</t>
  </si>
  <si>
    <t>JNsoC!g[8Z?/_4</t>
  </si>
  <si>
    <t>Jana</t>
  </si>
  <si>
    <t>jana.weiss@gmail.com</t>
  </si>
  <si>
    <t>Winston Weiss</t>
  </si>
  <si>
    <t>Angel Weiss</t>
  </si>
  <si>
    <t>Knapp</t>
  </si>
  <si>
    <t>315-35-7587</t>
  </si>
  <si>
    <t>229-852-3944</t>
  </si>
  <si>
    <t>Athens</t>
  </si>
  <si>
    <t>jlweiss</t>
  </si>
  <si>
    <t>refD\Hr5ftYq!</t>
  </si>
  <si>
    <t>Quentin</t>
  </si>
  <si>
    <t>Benson</t>
  </si>
  <si>
    <t>quentin.benson@gmail.com</t>
  </si>
  <si>
    <t>Kermit Benson</t>
  </si>
  <si>
    <t>Blanche Benson</t>
  </si>
  <si>
    <t>Riddle</t>
  </si>
  <si>
    <t>131-98-3113</t>
  </si>
  <si>
    <t>262-949-3970</t>
  </si>
  <si>
    <t>Chippewa Falls</t>
  </si>
  <si>
    <t>Chippewa</t>
  </si>
  <si>
    <t>qjbenson</t>
  </si>
  <si>
    <t>6%Dr8qoTTSa[z</t>
  </si>
  <si>
    <t>Debra</t>
  </si>
  <si>
    <t>debra.pena@ibm.com</t>
  </si>
  <si>
    <t>Theron Pena</t>
  </si>
  <si>
    <t>Faye Pena</t>
  </si>
  <si>
    <t>168-86-9131</t>
  </si>
  <si>
    <t>215-707-4774</t>
  </si>
  <si>
    <t>Kossuth</t>
  </si>
  <si>
    <t>Clarion</t>
  </si>
  <si>
    <t>dspena</t>
  </si>
  <si>
    <t>oWq%lNhYz</t>
  </si>
  <si>
    <t>Kenton</t>
  </si>
  <si>
    <t>Moreno</t>
  </si>
  <si>
    <t>kenton.moreno@shell.com</t>
  </si>
  <si>
    <t>Emmett Moreno</t>
  </si>
  <si>
    <t>Kristie Moreno</t>
  </si>
  <si>
    <t>Simon</t>
  </si>
  <si>
    <t>647-21-4922</t>
  </si>
  <si>
    <t>217-404-9496</t>
  </si>
  <si>
    <t>Highland Park</t>
  </si>
  <si>
    <t>kimoreno</t>
  </si>
  <si>
    <t>odRmi%4dV</t>
  </si>
  <si>
    <t>Ian</t>
  </si>
  <si>
    <t>Alvarado</t>
  </si>
  <si>
    <t>ian.alvarado@aol.com</t>
  </si>
  <si>
    <t>Isaac Alvarado</t>
  </si>
  <si>
    <t>Effie Alvarado</t>
  </si>
  <si>
    <t>073-02-6652</t>
  </si>
  <si>
    <t>205-934-4799</t>
  </si>
  <si>
    <t>Huntsville</t>
  </si>
  <si>
    <t>ioalvarado</t>
  </si>
  <si>
    <t>fPr1isi~1</t>
  </si>
  <si>
    <t>Jasper</t>
  </si>
  <si>
    <t>Lucas</t>
  </si>
  <si>
    <t>jasper.lucas@yahoo.co.in</t>
  </si>
  <si>
    <t>Vern Lucas</t>
  </si>
  <si>
    <t>Ann Lucas</t>
  </si>
  <si>
    <t>Massey</t>
  </si>
  <si>
    <t>344-11-3729</t>
  </si>
  <si>
    <t>316-544-2902</t>
  </si>
  <si>
    <t>Anderson</t>
  </si>
  <si>
    <t>jflucas</t>
  </si>
  <si>
    <t>KgDdL_.sxZXQp.5</t>
  </si>
  <si>
    <t>Brock</t>
  </si>
  <si>
    <t>Roberts</t>
  </si>
  <si>
    <t>brock.roberts@yahoo.co.in</t>
  </si>
  <si>
    <t>Humberto Roberts</t>
  </si>
  <si>
    <t>Lelia Roberts</t>
  </si>
  <si>
    <t>Suarez</t>
  </si>
  <si>
    <t>367-39-5971</t>
  </si>
  <si>
    <t>304-276-6112</t>
  </si>
  <si>
    <t>Gary</t>
  </si>
  <si>
    <t>bxroberts</t>
  </si>
  <si>
    <t>L2_5S[Y:%</t>
  </si>
  <si>
    <t>Deleon</t>
  </si>
  <si>
    <t>salvador.deleon@hotmail.com</t>
  </si>
  <si>
    <t>Garland Deleon</t>
  </si>
  <si>
    <t>Stephanie Deleon</t>
  </si>
  <si>
    <t>Robles</t>
  </si>
  <si>
    <t>662-22-8169</t>
  </si>
  <si>
    <t>217-253-3858</t>
  </si>
  <si>
    <t>Riverdale</t>
  </si>
  <si>
    <t>ssdeleon</t>
  </si>
  <si>
    <t>7z#Drtviw</t>
  </si>
  <si>
    <t>Terence</t>
  </si>
  <si>
    <t>terence.giles@yahoo.com</t>
  </si>
  <si>
    <t>Lynn Giles</t>
  </si>
  <si>
    <t>Colleen Giles</t>
  </si>
  <si>
    <t>Burris</t>
  </si>
  <si>
    <t>175-86-1083</t>
  </si>
  <si>
    <t>205-271-2216</t>
  </si>
  <si>
    <t>Montevallo</t>
  </si>
  <si>
    <t>Shelby</t>
  </si>
  <si>
    <t>tugiles</t>
  </si>
  <si>
    <t>QBt%Id?jAQ</t>
  </si>
  <si>
    <t>Dario</t>
  </si>
  <si>
    <t>dario.townsend@yahoo.com</t>
  </si>
  <si>
    <t>Williams Townsend</t>
  </si>
  <si>
    <t>Bridget Townsend</t>
  </si>
  <si>
    <t>Fuller</t>
  </si>
  <si>
    <t>222-11-0449</t>
  </si>
  <si>
    <t>209-535-5945</t>
  </si>
  <si>
    <t>Torrance</t>
  </si>
  <si>
    <t>dotownsend</t>
  </si>
  <si>
    <t>P]OTQk&gt;C</t>
  </si>
  <si>
    <t>Ester</t>
  </si>
  <si>
    <t>ester.houston@ibm.com</t>
  </si>
  <si>
    <t>Jeffrey Houston</t>
  </si>
  <si>
    <t>Julie Houston</t>
  </si>
  <si>
    <t>551-99-8062</t>
  </si>
  <si>
    <t>215-803-3018</t>
  </si>
  <si>
    <t>Arendtsville</t>
  </si>
  <si>
    <t>Adams</t>
  </si>
  <si>
    <t>ezhouston</t>
  </si>
  <si>
    <t>jJ&gt;78dBwe_eos</t>
  </si>
  <si>
    <t>Leanne</t>
  </si>
  <si>
    <t>Mcmahon</t>
  </si>
  <si>
    <t>leanne.mcmahon@shaw.ca</t>
  </si>
  <si>
    <t>Royal Mcmahon</t>
  </si>
  <si>
    <t>Vivian Mcmahon</t>
  </si>
  <si>
    <t>Holden</t>
  </si>
  <si>
    <t>122-98-1489</t>
  </si>
  <si>
    <t>207-567-1649</t>
  </si>
  <si>
    <t>Brookton</t>
  </si>
  <si>
    <t>lrmcmahon</t>
  </si>
  <si>
    <t>INuWc}+~w</t>
  </si>
  <si>
    <t>Valentin</t>
  </si>
  <si>
    <t>Montoya</t>
  </si>
  <si>
    <t>valentin.montoya@aol.com</t>
  </si>
  <si>
    <t>Laurence Montoya</t>
  </si>
  <si>
    <t>Kayla Montoya</t>
  </si>
  <si>
    <t>532-71-1470</t>
  </si>
  <si>
    <t>423-851-9829</t>
  </si>
  <si>
    <t>Kingston</t>
  </si>
  <si>
    <t>Roane</t>
  </si>
  <si>
    <t>vsmontoya</t>
  </si>
  <si>
    <t>P+SK3y[E</t>
  </si>
  <si>
    <t>Jared</t>
  </si>
  <si>
    <t>Shepherd</t>
  </si>
  <si>
    <t>jared.shepherd@ntlworld.com</t>
  </si>
  <si>
    <t>Dan Shepherd</t>
  </si>
  <si>
    <t>Katelyn Shepherd</t>
  </si>
  <si>
    <t>Compton</t>
  </si>
  <si>
    <t>480-41-8590</t>
  </si>
  <si>
    <t>212-443-7359</t>
  </si>
  <si>
    <t>Dewittville</t>
  </si>
  <si>
    <t>Chautauqua</t>
  </si>
  <si>
    <t>jqshepherd</t>
  </si>
  <si>
    <t>f7yymOJ?q</t>
  </si>
  <si>
    <t>Jami</t>
  </si>
  <si>
    <t>Cantrell</t>
  </si>
  <si>
    <t>jami.cantrell@hotmail.com</t>
  </si>
  <si>
    <t>Darius Cantrell</t>
  </si>
  <si>
    <t>Deloris Cantrell</t>
  </si>
  <si>
    <t>Rivas</t>
  </si>
  <si>
    <t>288-15-3260</t>
  </si>
  <si>
    <t>217-840-0373</t>
  </si>
  <si>
    <t>Country Club Hills</t>
  </si>
  <si>
    <t>jpcantrell</t>
  </si>
  <si>
    <t>MATL%Z:zdzu&amp;?</t>
  </si>
  <si>
    <t>Bruno</t>
  </si>
  <si>
    <t>Whitney</t>
  </si>
  <si>
    <t>bruno.whitney@sbcglobal.net</t>
  </si>
  <si>
    <t>Denny Whitney</t>
  </si>
  <si>
    <t>Darcy Whitney</t>
  </si>
  <si>
    <t>430-99-5587</t>
  </si>
  <si>
    <t>205-929-8374</t>
  </si>
  <si>
    <t>Killen</t>
  </si>
  <si>
    <t>Lauderdale</t>
  </si>
  <si>
    <t>bmwhitney</t>
  </si>
  <si>
    <t>P-FGH9DV;0a%?r</t>
  </si>
  <si>
    <t>Garland</t>
  </si>
  <si>
    <t>Watkins</t>
  </si>
  <si>
    <t>garland.watkins@apple.com</t>
  </si>
  <si>
    <t>Wendell Watkins</t>
  </si>
  <si>
    <t>Kaye Watkins</t>
  </si>
  <si>
    <t>181-86-4186</t>
  </si>
  <si>
    <t>210-488-3772</t>
  </si>
  <si>
    <t>Kopperl</t>
  </si>
  <si>
    <t>Bosque</t>
  </si>
  <si>
    <t>gqwatkins</t>
  </si>
  <si>
    <t>qWFUv2Ic</t>
  </si>
  <si>
    <t>Augustus</t>
  </si>
  <si>
    <t>Maldonado</t>
  </si>
  <si>
    <t>augustus.maldonado@yahoo.com</t>
  </si>
  <si>
    <t>Pierre Maldonado</t>
  </si>
  <si>
    <t>Michele Maldonado</t>
  </si>
  <si>
    <t>Estrada</t>
  </si>
  <si>
    <t>001-11-5502</t>
  </si>
  <si>
    <t>231-510-3900</t>
  </si>
  <si>
    <t>Napoleon</t>
  </si>
  <si>
    <t>aemaldonado</t>
  </si>
  <si>
    <t>E1n8#jucD</t>
  </si>
  <si>
    <t>Luther</t>
  </si>
  <si>
    <t>Mcneil</t>
  </si>
  <si>
    <t>luther.mcneil@aol.com</t>
  </si>
  <si>
    <t>Brett Mcneil</t>
  </si>
  <si>
    <t>Edith Mcneil</t>
  </si>
  <si>
    <t>Wolfe</t>
  </si>
  <si>
    <t>167-86-7703</t>
  </si>
  <si>
    <t>217-960-5560</t>
  </si>
  <si>
    <t>Winthrop Harbor</t>
  </si>
  <si>
    <t>lfmcneil</t>
  </si>
  <si>
    <t>oYyKbjCZ%Jpe2</t>
  </si>
  <si>
    <t>Jimmy</t>
  </si>
  <si>
    <t>Molina</t>
  </si>
  <si>
    <t>jimmy.molina@gmail.com</t>
  </si>
  <si>
    <t>Morgan Molina</t>
  </si>
  <si>
    <t>Lawanda Molina</t>
  </si>
  <si>
    <t>044-15-5704</t>
  </si>
  <si>
    <t>228-944-2045</t>
  </si>
  <si>
    <t>Biloxi</t>
  </si>
  <si>
    <t>jcmolina</t>
  </si>
  <si>
    <t>R.:A0|9+r</t>
  </si>
  <si>
    <t>Franklin</t>
  </si>
  <si>
    <t>morton.franklin@cox.net</t>
  </si>
  <si>
    <t>Lamar Franklin</t>
  </si>
  <si>
    <t>Jenna Franklin</t>
  </si>
  <si>
    <t>314-35-6383</t>
  </si>
  <si>
    <t>302-718-2676</t>
  </si>
  <si>
    <t>Kent</t>
  </si>
  <si>
    <t>DE</t>
  </si>
  <si>
    <t>mqfranklin</t>
  </si>
  <si>
    <t>pLT:@n0f</t>
  </si>
  <si>
    <t>Andrew</t>
  </si>
  <si>
    <t>Price</t>
  </si>
  <si>
    <t>andrew.price@yahoo.co.uk</t>
  </si>
  <si>
    <t>Darius Price</t>
  </si>
  <si>
    <t>Patsy Price</t>
  </si>
  <si>
    <t>Bright</t>
  </si>
  <si>
    <t>387-33-5564</t>
  </si>
  <si>
    <t>216-707-4827</t>
  </si>
  <si>
    <t>Ohio City</t>
  </si>
  <si>
    <t>Van Wert</t>
  </si>
  <si>
    <t>avprice</t>
  </si>
  <si>
    <t>IlS@3q7KUKVTMwR</t>
  </si>
  <si>
    <t>Ava</t>
  </si>
  <si>
    <t>Romero</t>
  </si>
  <si>
    <t>ava.romero@aol.com</t>
  </si>
  <si>
    <t>Simon Romero</t>
  </si>
  <si>
    <t>Annabelle Romero</t>
  </si>
  <si>
    <t>White</t>
  </si>
  <si>
    <t>267-99-0811</t>
  </si>
  <si>
    <t>205-665-8463</t>
  </si>
  <si>
    <t>Fort Payne</t>
  </si>
  <si>
    <t>DeKalb</t>
  </si>
  <si>
    <t>alromero</t>
  </si>
  <si>
    <t>V19qO2Wu%%P</t>
  </si>
  <si>
    <t>Anastasia</t>
  </si>
  <si>
    <t>Bowen</t>
  </si>
  <si>
    <t>anastasia.bowen@gmail.com</t>
  </si>
  <si>
    <t>Jessie Bowen</t>
  </si>
  <si>
    <t>Catherine Bowen</t>
  </si>
  <si>
    <t>Ortega</t>
  </si>
  <si>
    <t>508-57-6611</t>
  </si>
  <si>
    <t>240-646-3168</t>
  </si>
  <si>
    <t>Garrett Park</t>
  </si>
  <si>
    <t>aybowen</t>
  </si>
  <si>
    <t>6k~FYiSg-i_+I7r</t>
  </si>
  <si>
    <t>Sabrina</t>
  </si>
  <si>
    <t>sabrina.fowler@outlook.com</t>
  </si>
  <si>
    <t>Leon Fowler</t>
  </si>
  <si>
    <t>Etta Fowler</t>
  </si>
  <si>
    <t>Barton</t>
  </si>
  <si>
    <t>482-41-0998</t>
  </si>
  <si>
    <t>228-504-7673</t>
  </si>
  <si>
    <t>Bolivar</t>
  </si>
  <si>
    <t>sofowler</t>
  </si>
  <si>
    <t>T-hp_&gt;k]4</t>
  </si>
  <si>
    <t>Kirsten</t>
  </si>
  <si>
    <t>kirsten.lee@hotmail.com</t>
  </si>
  <si>
    <t>Carol Lee</t>
  </si>
  <si>
    <t>Cleo Lee</t>
  </si>
  <si>
    <t>678-22-5187</t>
  </si>
  <si>
    <t>314-227-1897</t>
  </si>
  <si>
    <t>St. Louis (city)</t>
  </si>
  <si>
    <t>kylee</t>
  </si>
  <si>
    <t>p}|ZV^pVuM.</t>
  </si>
  <si>
    <t>Arnold</t>
  </si>
  <si>
    <t>tabatha.arnold@gmail.com</t>
  </si>
  <si>
    <t>Elliott Arnold</t>
  </si>
  <si>
    <t>Dana Arnold</t>
  </si>
  <si>
    <t>Park</t>
  </si>
  <si>
    <t>184-86-0283</t>
  </si>
  <si>
    <t>239-581-1465</t>
  </si>
  <si>
    <t>Bagdad</t>
  </si>
  <si>
    <t>Santa Rosa</t>
  </si>
  <si>
    <t>twarnold</t>
  </si>
  <si>
    <t>7w77BpxlX_</t>
  </si>
  <si>
    <t>Gregg</t>
  </si>
  <si>
    <t>Mann</t>
  </si>
  <si>
    <t>gregg.mann@verizon.net</t>
  </si>
  <si>
    <t>Dylan Mann</t>
  </si>
  <si>
    <t>Penelope Mann</t>
  </si>
  <si>
    <t>Kline</t>
  </si>
  <si>
    <t>415-99-7608</t>
  </si>
  <si>
    <t>339-989-4749</t>
  </si>
  <si>
    <t>Dartmouth</t>
  </si>
  <si>
    <t>Bristol</t>
  </si>
  <si>
    <t>gtmann</t>
  </si>
  <si>
    <t>q!cdG$ottkNDqZ</t>
  </si>
  <si>
    <t>Deanne</t>
  </si>
  <si>
    <t>Mccarty</t>
  </si>
  <si>
    <t>deanne.mccarty@charter.net</t>
  </si>
  <si>
    <t>Jame Mccarty</t>
  </si>
  <si>
    <t>Lauren Mccarty</t>
  </si>
  <si>
    <t>Newton</t>
  </si>
  <si>
    <t>126-98-1744</t>
  </si>
  <si>
    <t>319-336-2399</t>
  </si>
  <si>
    <t>Clarinda</t>
  </si>
  <si>
    <t>Page</t>
  </si>
  <si>
    <t>dhmccarty</t>
  </si>
  <si>
    <t>NTnf^{I&amp;&amp;2</t>
  </si>
  <si>
    <t>Juanita</t>
  </si>
  <si>
    <t>Zimmerman</t>
  </si>
  <si>
    <t>juanita.zimmerman@hotmail.com</t>
  </si>
  <si>
    <t>Bryce Zimmerman</t>
  </si>
  <si>
    <t>Aurelia Zimmerman</t>
  </si>
  <si>
    <t>Pratt</t>
  </si>
  <si>
    <t>352-08-7814</t>
  </si>
  <si>
    <t>907-789-9367</t>
  </si>
  <si>
    <t>Seward</t>
  </si>
  <si>
    <t>Kenai Peninsula</t>
  </si>
  <si>
    <t>jozimmerman</t>
  </si>
  <si>
    <t>eN_os0cM^JLjQa!</t>
  </si>
  <si>
    <t>Doug</t>
  </si>
  <si>
    <t>Small</t>
  </si>
  <si>
    <t>doug.small@hotmail.com</t>
  </si>
  <si>
    <t>Ross Small</t>
  </si>
  <si>
    <t>Kristen Small</t>
  </si>
  <si>
    <t>Cummings</t>
  </si>
  <si>
    <t>526-99-7100</t>
  </si>
  <si>
    <t>236-456-9446</t>
  </si>
  <si>
    <t>Doe Hill</t>
  </si>
  <si>
    <t>Highland</t>
  </si>
  <si>
    <t>dvsmall</t>
  </si>
  <si>
    <t>Gn9lFj#7l</t>
  </si>
  <si>
    <t>Billy</t>
  </si>
  <si>
    <t>billy.mcdowell@gmail.com</t>
  </si>
  <si>
    <t>Morgan Mcdowell</t>
  </si>
  <si>
    <t>Jennie Mcdowell</t>
  </si>
  <si>
    <t>Carlson</t>
  </si>
  <si>
    <t>696-16-7530</t>
  </si>
  <si>
    <t>270-556-2299</t>
  </si>
  <si>
    <t>Rhodelia</t>
  </si>
  <si>
    <t>Meade</t>
  </si>
  <si>
    <t>brmcdowell</t>
  </si>
  <si>
    <t>nD}+Y%UurUP%:</t>
  </si>
  <si>
    <t>Boyd</t>
  </si>
  <si>
    <t>Valencia</t>
  </si>
  <si>
    <t>boyd.valencia@gmail.com</t>
  </si>
  <si>
    <t>Matt Valencia</t>
  </si>
  <si>
    <t>Nettie Valencia</t>
  </si>
  <si>
    <t>Mayo</t>
  </si>
  <si>
    <t>078-02-8120</t>
  </si>
  <si>
    <t>209-925-2984</t>
  </si>
  <si>
    <t>Mount Hamilton</t>
  </si>
  <si>
    <t>Santa Clara</t>
  </si>
  <si>
    <t>blvalencia</t>
  </si>
  <si>
    <t>OAl%u%VVi9</t>
  </si>
  <si>
    <t>Roberto</t>
  </si>
  <si>
    <t>roberto.caldwell@gmail.com</t>
  </si>
  <si>
    <t>Stuart Caldwell</t>
  </si>
  <si>
    <t>Maude Caldwell</t>
  </si>
  <si>
    <t>087-02-8919</t>
  </si>
  <si>
    <t>217-438-3997</t>
  </si>
  <si>
    <t>Peoria</t>
  </si>
  <si>
    <t>rtcaldwell</t>
  </si>
  <si>
    <t>R1H?:X&amp;qBF</t>
  </si>
  <si>
    <t>Kris</t>
  </si>
  <si>
    <t>Conner</t>
  </si>
  <si>
    <t>kris.conner@gmail.com</t>
  </si>
  <si>
    <t>Kenton Conner</t>
  </si>
  <si>
    <t>Dana Conner</t>
  </si>
  <si>
    <t>651-62-0527</t>
  </si>
  <si>
    <t>203-368-9792</t>
  </si>
  <si>
    <t>Ballouville</t>
  </si>
  <si>
    <t>Windham</t>
  </si>
  <si>
    <t>kuconner</t>
  </si>
  <si>
    <t>l;N]lrhhDvub5r&lt;</t>
  </si>
  <si>
    <t>Leann</t>
  </si>
  <si>
    <t>Ortiz</t>
  </si>
  <si>
    <t>leann.ortiz@gmail.com</t>
  </si>
  <si>
    <t>Drew Ortiz</t>
  </si>
  <si>
    <t>Virginia Ortiz</t>
  </si>
  <si>
    <t>088-02-9740</t>
  </si>
  <si>
    <t>215-754-3823</t>
  </si>
  <si>
    <t>Neelyton</t>
  </si>
  <si>
    <t>Huntingdon</t>
  </si>
  <si>
    <t>lrortiz</t>
  </si>
  <si>
    <t>wohwj;LtI4</t>
  </si>
  <si>
    <t>Joaquin</t>
  </si>
  <si>
    <t>joaquin.bentley@gmail.com</t>
  </si>
  <si>
    <t>Lance Bentley</t>
  </si>
  <si>
    <t>Adrienne Bentley</t>
  </si>
  <si>
    <t>Owen</t>
  </si>
  <si>
    <t>287-15-0404</t>
  </si>
  <si>
    <t>236-809-8062</t>
  </si>
  <si>
    <t>Barren Springs</t>
  </si>
  <si>
    <t>Wythe</t>
  </si>
  <si>
    <t>jbbentley</t>
  </si>
  <si>
    <t>of]v2ku#4]</t>
  </si>
  <si>
    <t>leanne.potter@exxonmobil.com</t>
  </si>
  <si>
    <t>Alfonso Potter</t>
  </si>
  <si>
    <t>Vicki Potter</t>
  </si>
  <si>
    <t>268-17-1006</t>
  </si>
  <si>
    <t>907-743-5043</t>
  </si>
  <si>
    <t>Cordova</t>
  </si>
  <si>
    <t>Valdez-Cordova (CA)</t>
  </si>
  <si>
    <t>lzpotter</t>
  </si>
  <si>
    <t>CHrJU&gt;n}2y&gt;hH</t>
  </si>
  <si>
    <t>Jay</t>
  </si>
  <si>
    <t>Sanders</t>
  </si>
  <si>
    <t>jay.sanders@gmail.com</t>
  </si>
  <si>
    <t>Chang Sanders</t>
  </si>
  <si>
    <t>Gloria Sanders</t>
  </si>
  <si>
    <t>168-86-3105</t>
  </si>
  <si>
    <t>339-616-2386</t>
  </si>
  <si>
    <t>Oxford</t>
  </si>
  <si>
    <t>Worcester</t>
  </si>
  <si>
    <t>jrsanders</t>
  </si>
  <si>
    <t>thsKqnmM</t>
  </si>
  <si>
    <t>Luz</t>
  </si>
  <si>
    <t>luz.brown@msn.com</t>
  </si>
  <si>
    <t>Mac Brown</t>
  </si>
  <si>
    <t>Shawn Brown</t>
  </si>
  <si>
    <t>Riley</t>
  </si>
  <si>
    <t>420-67-7134</t>
  </si>
  <si>
    <t>803-614-9830</t>
  </si>
  <si>
    <t>Charleston</t>
  </si>
  <si>
    <t>SC</t>
  </si>
  <si>
    <t>lgbrown</t>
  </si>
  <si>
    <t>Gh!c\z]XW}Lg*N}</t>
  </si>
  <si>
    <t>Dudley</t>
  </si>
  <si>
    <t>Preston</t>
  </si>
  <si>
    <t>dudley.preston@gmail.com</t>
  </si>
  <si>
    <t>Conrad Preston</t>
  </si>
  <si>
    <t>Brandy Preston</t>
  </si>
  <si>
    <t>Blackburn</t>
  </si>
  <si>
    <t>607-87-4655</t>
  </si>
  <si>
    <t>236-552-8765</t>
  </si>
  <si>
    <t>Keokee</t>
  </si>
  <si>
    <t>dwpreston</t>
  </si>
  <si>
    <t>Oh3YE+Se/F%&lt;Hi</t>
  </si>
  <si>
    <t>monroe.beach@bp.com</t>
  </si>
  <si>
    <t>Vito Beach</t>
  </si>
  <si>
    <t>Adrienne Beach</t>
  </si>
  <si>
    <t>Hopkins</t>
  </si>
  <si>
    <t>198-84-8610</t>
  </si>
  <si>
    <t>225-797-4264</t>
  </si>
  <si>
    <t>Norwood</t>
  </si>
  <si>
    <t>East Feliciana</t>
  </si>
  <si>
    <t>mdbeach</t>
  </si>
  <si>
    <t>g&lt;xbWcc?IAj}1</t>
  </si>
  <si>
    <t>Dina</t>
  </si>
  <si>
    <t>Jones</t>
  </si>
  <si>
    <t>dina.jones@aol.com</t>
  </si>
  <si>
    <t>Guillermo Jones</t>
  </si>
  <si>
    <t>Kenya Jones</t>
  </si>
  <si>
    <t>Pollard</t>
  </si>
  <si>
    <t>474-55-5660</t>
  </si>
  <si>
    <t>218-825-9608</t>
  </si>
  <si>
    <t>dqjones</t>
  </si>
  <si>
    <t>4:79ZhA}Z&amp;Q</t>
  </si>
  <si>
    <t>Morrison</t>
  </si>
  <si>
    <t>christian.morrison@yahoo.co.in</t>
  </si>
  <si>
    <t>Heath Morrison</t>
  </si>
  <si>
    <t>Nicole Morrison</t>
  </si>
  <si>
    <t>Becker</t>
  </si>
  <si>
    <t>572-99-7139</t>
  </si>
  <si>
    <t>212-393-3329</t>
  </si>
  <si>
    <t>Sand Lake</t>
  </si>
  <si>
    <t>Rensselaer</t>
  </si>
  <si>
    <t>cgmorrison</t>
  </si>
  <si>
    <t>sa/GcpYwsAHQ;9Q</t>
  </si>
  <si>
    <t>Lucile</t>
  </si>
  <si>
    <t>Fleming</t>
  </si>
  <si>
    <t>lucile.fleming@hotmail.co.uk</t>
  </si>
  <si>
    <t>Jefferson Fleming</t>
  </si>
  <si>
    <t>Charlene Fleming</t>
  </si>
  <si>
    <t>769-02-7714</t>
  </si>
  <si>
    <t>802-541-8727</t>
  </si>
  <si>
    <t>Cabot</t>
  </si>
  <si>
    <t>VT</t>
  </si>
  <si>
    <t>llfleming</t>
  </si>
  <si>
    <t>n]Qv?0d7WJ3</t>
  </si>
  <si>
    <t>Luciano</t>
  </si>
  <si>
    <t>Ray</t>
  </si>
  <si>
    <t>luciano.ray@btinternet.com</t>
  </si>
  <si>
    <t>Joesph Ray</t>
  </si>
  <si>
    <t>Noreen Ray</t>
  </si>
  <si>
    <t>407-73-3301</t>
  </si>
  <si>
    <t>479-621-5916</t>
  </si>
  <si>
    <t>Pulaski</t>
  </si>
  <si>
    <t>lhray</t>
  </si>
  <si>
    <t>sn@6J/tm</t>
  </si>
  <si>
    <t>Ahmad</t>
  </si>
  <si>
    <t>Poole</t>
  </si>
  <si>
    <t>ahmad.poole@gmail.com</t>
  </si>
  <si>
    <t>Brenton Poole</t>
  </si>
  <si>
    <t>Ramona Poole</t>
  </si>
  <si>
    <t>179-86-2300</t>
  </si>
  <si>
    <t>219-947-6343</t>
  </si>
  <si>
    <t>North Judson</t>
  </si>
  <si>
    <t>Starke</t>
  </si>
  <si>
    <t>abpoole</t>
  </si>
  <si>
    <t>qYJAFnG5-b08:E</t>
  </si>
  <si>
    <t>Janna</t>
  </si>
  <si>
    <t>janna.hopkins@aol.com</t>
  </si>
  <si>
    <t>Errol Hopkins</t>
  </si>
  <si>
    <t>Robert Hopkins</t>
  </si>
  <si>
    <t>Richards</t>
  </si>
  <si>
    <t>246-99-6712</t>
  </si>
  <si>
    <t>212-272-9825</t>
  </si>
  <si>
    <t>jyhopkins</t>
  </si>
  <si>
    <t>cZ{lHIvS/\h</t>
  </si>
  <si>
    <t>Kendrick</t>
  </si>
  <si>
    <t>Miles</t>
  </si>
  <si>
    <t>kendrick.miles@ibm.com</t>
  </si>
  <si>
    <t>Refugio Miles</t>
  </si>
  <si>
    <t>Amelia Miles</t>
  </si>
  <si>
    <t>Heath</t>
  </si>
  <si>
    <t>323-11-2203</t>
  </si>
  <si>
    <t>603-789-4081</t>
  </si>
  <si>
    <t>Nashua</t>
  </si>
  <si>
    <t>kvmiles</t>
  </si>
  <si>
    <t>hHB#Ptw@||T8</t>
  </si>
  <si>
    <t>Demetrius</t>
  </si>
  <si>
    <t>Ruiz</t>
  </si>
  <si>
    <t>demetrius.ruiz@gmail.com</t>
  </si>
  <si>
    <t>Stuart Ruiz</t>
  </si>
  <si>
    <t>Kristy Ruiz</t>
  </si>
  <si>
    <t>348-08-8676</t>
  </si>
  <si>
    <t>236-957-6759</t>
  </si>
  <si>
    <t>Chantilly</t>
  </si>
  <si>
    <t>dzruiz</t>
  </si>
  <si>
    <t>Nls|6;.Tg6Y</t>
  </si>
  <si>
    <t>Ken</t>
  </si>
  <si>
    <t>Winters</t>
  </si>
  <si>
    <t>ken.winters@rediffmail.com</t>
  </si>
  <si>
    <t>Felix Winters</t>
  </si>
  <si>
    <t>Anne Winters</t>
  </si>
  <si>
    <t>Brennan</t>
  </si>
  <si>
    <t>448-27-5412</t>
  </si>
  <si>
    <t>314-956-9973</t>
  </si>
  <si>
    <t>Jefferson City</t>
  </si>
  <si>
    <t>kpwinters</t>
  </si>
  <si>
    <t>Y@NMOWx&lt;f~p</t>
  </si>
  <si>
    <t>Earl</t>
  </si>
  <si>
    <t>earl.gilbert@bp.com</t>
  </si>
  <si>
    <t>Bart Gilbert</t>
  </si>
  <si>
    <t>Thelma Gilbert</t>
  </si>
  <si>
    <t>Elliott</t>
  </si>
  <si>
    <t>724-28-7343</t>
  </si>
  <si>
    <t>212-758-7329</t>
  </si>
  <si>
    <t>Niagara Falls</t>
  </si>
  <si>
    <t>Niagara</t>
  </si>
  <si>
    <t>eogilbert</t>
  </si>
  <si>
    <t>t%+1_mS^t};Mo3</t>
  </si>
  <si>
    <t>Taylor</t>
  </si>
  <si>
    <t>Barlow</t>
  </si>
  <si>
    <t>taylor.barlow@aol.com</t>
  </si>
  <si>
    <t>Rene Barlow</t>
  </si>
  <si>
    <t>Melody Barlow</t>
  </si>
  <si>
    <t>Cherry</t>
  </si>
  <si>
    <t>321-11-1526</t>
  </si>
  <si>
    <t>405-534-3458</t>
  </si>
  <si>
    <t>Sentinel</t>
  </si>
  <si>
    <t>Washita</t>
  </si>
  <si>
    <t>tkbarlow</t>
  </si>
  <si>
    <t>kEyVxO_^9.Eu_?</t>
  </si>
  <si>
    <t>Clarissa</t>
  </si>
  <si>
    <t>Lawson</t>
  </si>
  <si>
    <t>clarissa.lawson@hotmail.com</t>
  </si>
  <si>
    <t>Erin Lawson</t>
  </si>
  <si>
    <t>Lolita Lawson</t>
  </si>
  <si>
    <t>Walter</t>
  </si>
  <si>
    <t>684-24-5365</t>
  </si>
  <si>
    <t>319-776-6050</t>
  </si>
  <si>
    <t>Melbourne</t>
  </si>
  <si>
    <t>Marshall</t>
  </si>
  <si>
    <t>czlawson</t>
  </si>
  <si>
    <t>E$:vE2\7:k_&amp;</t>
  </si>
  <si>
    <t>Lewis</t>
  </si>
  <si>
    <t>lewis.fuller@comcast.net</t>
  </si>
  <si>
    <t>Louis Fuller</t>
  </si>
  <si>
    <t>Kris Fuller</t>
  </si>
  <si>
    <t>414-99-0664</t>
  </si>
  <si>
    <t>270-353-0382</t>
  </si>
  <si>
    <t>Hope</t>
  </si>
  <si>
    <t>ltfuller</t>
  </si>
  <si>
    <t>GhGh~6/W</t>
  </si>
  <si>
    <t>Claudine</t>
  </si>
  <si>
    <t>Black</t>
  </si>
  <si>
    <t>claudine.black@gmail.com</t>
  </si>
  <si>
    <t>Chad Black</t>
  </si>
  <si>
    <t>Leticia Black</t>
  </si>
  <si>
    <t>Tyson</t>
  </si>
  <si>
    <t>348-08-0053</t>
  </si>
  <si>
    <t>215-283-6346</t>
  </si>
  <si>
    <t>Farrandsville</t>
  </si>
  <si>
    <t>cyblack</t>
  </si>
  <si>
    <t>hx[362a:E</t>
  </si>
  <si>
    <t>Mitzi</t>
  </si>
  <si>
    <t>Lynch</t>
  </si>
  <si>
    <t>mitzi.lynch@aol.com</t>
  </si>
  <si>
    <t>Shane Lynch</t>
  </si>
  <si>
    <t>Rena Lynch</t>
  </si>
  <si>
    <t>Lindsay</t>
  </si>
  <si>
    <t>118-98-4867</t>
  </si>
  <si>
    <t>212-439-7992</t>
  </si>
  <si>
    <t>Jamesville</t>
  </si>
  <si>
    <t>mylynch</t>
  </si>
  <si>
    <t>Sqe~0L-@</t>
  </si>
  <si>
    <t>Michel</t>
  </si>
  <si>
    <t>Finch</t>
  </si>
  <si>
    <t>michel.finch@gmail.com</t>
  </si>
  <si>
    <t>Elliot Finch</t>
  </si>
  <si>
    <t>Ana Finch</t>
  </si>
  <si>
    <t>248-99-6030</t>
  </si>
  <si>
    <t>239-671-5547</t>
  </si>
  <si>
    <t>Mascotte</t>
  </si>
  <si>
    <t>mtfinch</t>
  </si>
  <si>
    <t>8aYy2s!@VE:oP</t>
  </si>
  <si>
    <t>Janie</t>
  </si>
  <si>
    <t>Velasquez</t>
  </si>
  <si>
    <t>janie.velasquez@gmail.com</t>
  </si>
  <si>
    <t>Chester Velasquez</t>
  </si>
  <si>
    <t>Luisa Velasquez</t>
  </si>
  <si>
    <t>Peck</t>
  </si>
  <si>
    <t>237-99-2007</t>
  </si>
  <si>
    <t>215-463-9949</t>
  </si>
  <si>
    <t>Venango</t>
  </si>
  <si>
    <t>Crawford</t>
  </si>
  <si>
    <t>jpvelasquez</t>
  </si>
  <si>
    <t>HHl/Ul\S+^fv</t>
  </si>
  <si>
    <t>Sophie</t>
  </si>
  <si>
    <t>Bass</t>
  </si>
  <si>
    <t>sophie.bass@hotmail.com</t>
  </si>
  <si>
    <t>Gabriel Bass</t>
  </si>
  <si>
    <t>Tania Bass</t>
  </si>
  <si>
    <t>543-81-0393</t>
  </si>
  <si>
    <t>231-403-9886</t>
  </si>
  <si>
    <t>Oceana</t>
  </si>
  <si>
    <t>sfbass</t>
  </si>
  <si>
    <t>mLTjnD*1mlED.i</t>
  </si>
  <si>
    <t>Bette</t>
  </si>
  <si>
    <t>bette.kane@gmail.com</t>
  </si>
  <si>
    <t>Alton Kane</t>
  </si>
  <si>
    <t>Kirsten Kane</t>
  </si>
  <si>
    <t>Davis</t>
  </si>
  <si>
    <t>468-57-2192</t>
  </si>
  <si>
    <t>215-892-1317</t>
  </si>
  <si>
    <t>Mc Elhattan</t>
  </si>
  <si>
    <t>Clinton</t>
  </si>
  <si>
    <t>bykane</t>
  </si>
  <si>
    <t>g-!WERjdtl9f_</t>
  </si>
  <si>
    <t>Dena</t>
  </si>
  <si>
    <t>Blake</t>
  </si>
  <si>
    <t>dena.blake@hotmail.com</t>
  </si>
  <si>
    <t>Eldon Blake</t>
  </si>
  <si>
    <t>Naomi Blake</t>
  </si>
  <si>
    <t>Bennett</t>
  </si>
  <si>
    <t>610-87-0363</t>
  </si>
  <si>
    <t>406-262-9506</t>
  </si>
  <si>
    <t>Otter</t>
  </si>
  <si>
    <t>Powder River</t>
  </si>
  <si>
    <t>dqblake</t>
  </si>
  <si>
    <t>q9r8b0Cr</t>
  </si>
  <si>
    <t>Dante</t>
  </si>
  <si>
    <t>Farmer</t>
  </si>
  <si>
    <t>dante.farmer@aol.com</t>
  </si>
  <si>
    <t>Chris Farmer</t>
  </si>
  <si>
    <t>Emily Farmer</t>
  </si>
  <si>
    <t>Mejia</t>
  </si>
  <si>
    <t>340-11-6672</t>
  </si>
  <si>
    <t>701-937-3562</t>
  </si>
  <si>
    <t>Hannah</t>
  </si>
  <si>
    <t>Cavalier</t>
  </si>
  <si>
    <t>dqfarmer</t>
  </si>
  <si>
    <t>FbnPv]YL;</t>
  </si>
  <si>
    <t>Angelina</t>
  </si>
  <si>
    <t>angelina.lynn@rediffmail.com</t>
  </si>
  <si>
    <t>Kory Lynn</t>
  </si>
  <si>
    <t>Latasha Lynn</t>
  </si>
  <si>
    <t>537-71-3446</t>
  </si>
  <si>
    <t>308-901-3456</t>
  </si>
  <si>
    <t>Hazard</t>
  </si>
  <si>
    <t>Sherman</t>
  </si>
  <si>
    <t>adlynn</t>
  </si>
  <si>
    <t>rw-GvNt]UP*4q9!</t>
  </si>
  <si>
    <t>Snow</t>
  </si>
  <si>
    <t>shannon.snow@yahoo.com</t>
  </si>
  <si>
    <t>Darius Snow</t>
  </si>
  <si>
    <t>Effie Snow</t>
  </si>
  <si>
    <t>502-37-9247</t>
  </si>
  <si>
    <t>252-905-9562</t>
  </si>
  <si>
    <t>Durham</t>
  </si>
  <si>
    <t>sdsnow</t>
  </si>
  <si>
    <t>K1_g^yP.:</t>
  </si>
  <si>
    <t>Ron</t>
  </si>
  <si>
    <t>ron.glenn@gmail.com</t>
  </si>
  <si>
    <t>Maurice Glenn</t>
  </si>
  <si>
    <t>Aida Glenn</t>
  </si>
  <si>
    <t>760-12-0087</t>
  </si>
  <si>
    <t>216-693-4688</t>
  </si>
  <si>
    <t>Galion</t>
  </si>
  <si>
    <t>rcglenn</t>
  </si>
  <si>
    <t>S{%NuH:S</t>
  </si>
  <si>
    <t>Kerry</t>
  </si>
  <si>
    <t>Pitts</t>
  </si>
  <si>
    <t>kerry.pitts@aol.com</t>
  </si>
  <si>
    <t>Irving Pitts</t>
  </si>
  <si>
    <t>Martina Pitts</t>
  </si>
  <si>
    <t>Edwards</t>
  </si>
  <si>
    <t>639-29-0173</t>
  </si>
  <si>
    <t>405-549-8600</t>
  </si>
  <si>
    <t>Cleveland</t>
  </si>
  <si>
    <t>kcpitts</t>
  </si>
  <si>
    <t>p3j?1]8L?Hy</t>
  </si>
  <si>
    <t>Dominick</t>
  </si>
  <si>
    <t>Robbins</t>
  </si>
  <si>
    <t>dominick.robbins@hotmail.com</t>
  </si>
  <si>
    <t>Santos Robbins</t>
  </si>
  <si>
    <t>Leigh Robbins</t>
  </si>
  <si>
    <t>Estes</t>
  </si>
  <si>
    <t>395-33-8825</t>
  </si>
  <si>
    <t>262-482-5063</t>
  </si>
  <si>
    <t>Spring Green</t>
  </si>
  <si>
    <t>Sauk</t>
  </si>
  <si>
    <t>dmrobbins</t>
  </si>
  <si>
    <t>8M2vav5{V!vT</t>
  </si>
  <si>
    <t>Emory</t>
  </si>
  <si>
    <t>Spence</t>
  </si>
  <si>
    <t>emory.spence@yahoo.com</t>
  </si>
  <si>
    <t>Rocky Spence</t>
  </si>
  <si>
    <t>Iva Spence</t>
  </si>
  <si>
    <t>England</t>
  </si>
  <si>
    <t>762-12-2563</t>
  </si>
  <si>
    <t>603-917-1365</t>
  </si>
  <si>
    <t>Milford</t>
  </si>
  <si>
    <t>enspence</t>
  </si>
  <si>
    <t>Dfi!i~&amp;5!/</t>
  </si>
  <si>
    <t>Lana</t>
  </si>
  <si>
    <t>lana.spence@aol.com</t>
  </si>
  <si>
    <t>Erik Spence</t>
  </si>
  <si>
    <t>Queen Spence</t>
  </si>
  <si>
    <t>087-02-3956</t>
  </si>
  <si>
    <t>803-932-0349</t>
  </si>
  <si>
    <t>Beaufort</t>
  </si>
  <si>
    <t>lgspence</t>
  </si>
  <si>
    <t>M7$&gt;a3-S</t>
  </si>
  <si>
    <t>Jeremy</t>
  </si>
  <si>
    <t>English</t>
  </si>
  <si>
    <t>jeremy.english@gmail.com</t>
  </si>
  <si>
    <t>James English</t>
  </si>
  <si>
    <t>Josie English</t>
  </si>
  <si>
    <t>564-99-1302</t>
  </si>
  <si>
    <t>210-801-4949</t>
  </si>
  <si>
    <t>Big Spring</t>
  </si>
  <si>
    <t>Howard</t>
  </si>
  <si>
    <t>jgenglish</t>
  </si>
  <si>
    <t>VMH?Aqy}DQMV&amp;</t>
  </si>
  <si>
    <t>Melton</t>
  </si>
  <si>
    <t>dudley.melton@aol.com</t>
  </si>
  <si>
    <t>Ross Melton</t>
  </si>
  <si>
    <t>Corrine Melton</t>
  </si>
  <si>
    <t>248-99-5679</t>
  </si>
  <si>
    <t>201-678-5216</t>
  </si>
  <si>
    <t>Essex Fells</t>
  </si>
  <si>
    <t>Essex</t>
  </si>
  <si>
    <t>dnmelton</t>
  </si>
  <si>
    <t>Rf1&amp;:vS^t</t>
  </si>
  <si>
    <t>Frances</t>
  </si>
  <si>
    <t>Stafford</t>
  </si>
  <si>
    <t>frances.stafford@ntlworld.com</t>
  </si>
  <si>
    <t>Nolan Stafford</t>
  </si>
  <si>
    <t>Trina Stafford</t>
  </si>
  <si>
    <t>099-02-4447</t>
  </si>
  <si>
    <t>252-491-7854</t>
  </si>
  <si>
    <t>Pamlico</t>
  </si>
  <si>
    <t>fdstafford</t>
  </si>
  <si>
    <t>Ed#+}Q;L</t>
  </si>
  <si>
    <t>Percy</t>
  </si>
  <si>
    <t>Hunt</t>
  </si>
  <si>
    <t>percy.hunt@btinternet.com</t>
  </si>
  <si>
    <t>Karl Hunt</t>
  </si>
  <si>
    <t>Lacey Hunt</t>
  </si>
  <si>
    <t>Emerson</t>
  </si>
  <si>
    <t>025-92-2759</t>
  </si>
  <si>
    <t>210-274-8246</t>
  </si>
  <si>
    <t>Hasse</t>
  </si>
  <si>
    <t>pnhunt</t>
  </si>
  <si>
    <t>Eiii*5Mt</t>
  </si>
  <si>
    <t>Alfredo</t>
  </si>
  <si>
    <t>Vasquez</t>
  </si>
  <si>
    <t>alfredo.vasquez@bp.com</t>
  </si>
  <si>
    <t>Martin Vasquez</t>
  </si>
  <si>
    <t>Allyson Vasquez</t>
  </si>
  <si>
    <t>Hahn</t>
  </si>
  <si>
    <t>560-99-7135</t>
  </si>
  <si>
    <t>803-918-4988</t>
  </si>
  <si>
    <t>Clover</t>
  </si>
  <si>
    <t>York</t>
  </si>
  <si>
    <t>ahvasquez</t>
  </si>
  <si>
    <t>qC78DW-XH</t>
  </si>
  <si>
    <t>Joanna</t>
  </si>
  <si>
    <t>joanna.perkins@aol.com</t>
  </si>
  <si>
    <t>Shannon Perkins</t>
  </si>
  <si>
    <t>Juliana Perkins</t>
  </si>
  <si>
    <t>284-15-7682</t>
  </si>
  <si>
    <t>319-846-6922</t>
  </si>
  <si>
    <t>Audubon</t>
  </si>
  <si>
    <t>japerkins</t>
  </si>
  <si>
    <t>d:2e;{+tP+[M|</t>
  </si>
  <si>
    <t>Susanna</t>
  </si>
  <si>
    <t>Huff</t>
  </si>
  <si>
    <t>susanna.huff@hotmail.com</t>
  </si>
  <si>
    <t>Ellis Huff</t>
  </si>
  <si>
    <t>Penelope Huff</t>
  </si>
  <si>
    <t>358-08-7991</t>
  </si>
  <si>
    <t>215-713-2665</t>
  </si>
  <si>
    <t>Springdale</t>
  </si>
  <si>
    <t>Allegheny</t>
  </si>
  <si>
    <t>srhuff</t>
  </si>
  <si>
    <t>kW4BJc_$*</t>
  </si>
  <si>
    <t>Ola</t>
  </si>
  <si>
    <t>Thompson</t>
  </si>
  <si>
    <t>ola.thompson@yahoo.com</t>
  </si>
  <si>
    <t>Nolan Thompson</t>
  </si>
  <si>
    <t>Fannie Thompson</t>
  </si>
  <si>
    <t>147-23-4311</t>
  </si>
  <si>
    <t>307-538-2638</t>
  </si>
  <si>
    <t>Dayton</t>
  </si>
  <si>
    <t>otthompson</t>
  </si>
  <si>
    <t>pUzFR!qYH9</t>
  </si>
  <si>
    <t>Louella</t>
  </si>
  <si>
    <t>louella.wolfe@charter.net</t>
  </si>
  <si>
    <t>Kris Wolfe</t>
  </si>
  <si>
    <t>Carrie Wolfe</t>
  </si>
  <si>
    <t>Donaldson</t>
  </si>
  <si>
    <t>574-61-8029</t>
  </si>
  <si>
    <t>480-650-3603</t>
  </si>
  <si>
    <t>Phoenix</t>
  </si>
  <si>
    <t>lfwolfe</t>
  </si>
  <si>
    <t>Ww}qVkl&lt;;_~I</t>
  </si>
  <si>
    <t>Deirdre</t>
  </si>
  <si>
    <t>deirdre.travis@hotmail.com</t>
  </si>
  <si>
    <t>Kennith Travis</t>
  </si>
  <si>
    <t>Iva Travis</t>
  </si>
  <si>
    <t>026-92-8042</t>
  </si>
  <si>
    <t>219-467-5690</t>
  </si>
  <si>
    <t>Indianapolis</t>
  </si>
  <si>
    <t>dntravis</t>
  </si>
  <si>
    <t>9#&lt;++W%mQY:4+Z</t>
  </si>
  <si>
    <t>Ware</t>
  </si>
  <si>
    <t>kristina.ware@gmail.com</t>
  </si>
  <si>
    <t>Hubert Ware</t>
  </si>
  <si>
    <t>Cara Ware</t>
  </si>
  <si>
    <t>Frazier</t>
  </si>
  <si>
    <t>183-86-2067</t>
  </si>
  <si>
    <t>209-998-1930</t>
  </si>
  <si>
    <t>Moorpark</t>
  </si>
  <si>
    <t>Ventura</t>
  </si>
  <si>
    <t>kwware</t>
  </si>
  <si>
    <t>NSHvHwOA</t>
  </si>
  <si>
    <t>Dixon</t>
  </si>
  <si>
    <t>stacy.dixon@aol.com</t>
  </si>
  <si>
    <t>Royal Dixon</t>
  </si>
  <si>
    <t>Mindy Dixon</t>
  </si>
  <si>
    <t>Faulkner</t>
  </si>
  <si>
    <t>458-99-8461</t>
  </si>
  <si>
    <t>217-469-0283</t>
  </si>
  <si>
    <t>sodixon</t>
  </si>
  <si>
    <t>7aa?OcUZp_mz</t>
  </si>
  <si>
    <t>Frankie</t>
  </si>
  <si>
    <t>frankie.clark@apple.com</t>
  </si>
  <si>
    <t>Brandon Clark</t>
  </si>
  <si>
    <t>Martha Clark</t>
  </si>
  <si>
    <t>046-15-2622</t>
  </si>
  <si>
    <t>319-773-8175</t>
  </si>
  <si>
    <t>Red Oak</t>
  </si>
  <si>
    <t>fyclark</t>
  </si>
  <si>
    <t>c|QL%vW#26RQ?b</t>
  </si>
  <si>
    <t>Pauline</t>
  </si>
  <si>
    <t>pauline.gilbert@yahoo.com</t>
  </si>
  <si>
    <t>James Gilbert</t>
  </si>
  <si>
    <t>Elisabeth Gilbert</t>
  </si>
  <si>
    <t>570-99-4500</t>
  </si>
  <si>
    <t>316-849-9526</t>
  </si>
  <si>
    <t>Niotaze</t>
  </si>
  <si>
    <t>pjgilbert</t>
  </si>
  <si>
    <t>y&lt;f-cN!N</t>
  </si>
  <si>
    <t>Adolph</t>
  </si>
  <si>
    <t>Skinner</t>
  </si>
  <si>
    <t>adolph.skinner@gmail.com</t>
  </si>
  <si>
    <t>Glenn Skinner</t>
  </si>
  <si>
    <t>Shawn Skinner</t>
  </si>
  <si>
    <t>384-37-6327</t>
  </si>
  <si>
    <t>252-584-4280</t>
  </si>
  <si>
    <t>alskinner</t>
  </si>
  <si>
    <t>cIPr@6xgZ</t>
  </si>
  <si>
    <t>Rosa</t>
  </si>
  <si>
    <t>Camacho</t>
  </si>
  <si>
    <t>rosa.camacho@gmail.com</t>
  </si>
  <si>
    <t>Victor Camacho</t>
  </si>
  <si>
    <t>Justine Camacho</t>
  </si>
  <si>
    <t>Miranda</t>
  </si>
  <si>
    <t>687-24-2091</t>
  </si>
  <si>
    <t>262-735-0438</t>
  </si>
  <si>
    <t>Appleton</t>
  </si>
  <si>
    <t>Outagamie</t>
  </si>
  <si>
    <t>rpcamacho</t>
  </si>
  <si>
    <t>ak|&gt;vLr+&gt;</t>
  </si>
  <si>
    <t>Craig</t>
  </si>
  <si>
    <t>Marquez</t>
  </si>
  <si>
    <t>craig.marquez@gmail.com</t>
  </si>
  <si>
    <t>Alvin Marquez</t>
  </si>
  <si>
    <t>Jerry Marquez</t>
  </si>
  <si>
    <t>207-84-2832</t>
  </si>
  <si>
    <t>231-786-8588</t>
  </si>
  <si>
    <t>Sand Creek</t>
  </si>
  <si>
    <t>Lenawee</t>
  </si>
  <si>
    <t>cwmarquez</t>
  </si>
  <si>
    <t>0m^pLvwDIt</t>
  </si>
  <si>
    <t>Stanley</t>
  </si>
  <si>
    <t>Lowe</t>
  </si>
  <si>
    <t>stanley.lowe@gmail.com</t>
  </si>
  <si>
    <t>Rex Lowe</t>
  </si>
  <si>
    <t>Isabella Lowe</t>
  </si>
  <si>
    <t>064-02-4325</t>
  </si>
  <si>
    <t>304-323-8939</t>
  </si>
  <si>
    <t>Jolo</t>
  </si>
  <si>
    <t>stlowe</t>
  </si>
  <si>
    <t>Ez#mku9cx3wEYj:</t>
  </si>
  <si>
    <t>Morgan</t>
  </si>
  <si>
    <t>Farrell</t>
  </si>
  <si>
    <t>morgan.farrell@gmail.com</t>
  </si>
  <si>
    <t>Calvin Farrell</t>
  </si>
  <si>
    <t>Corina Farrell</t>
  </si>
  <si>
    <t>136-25-6207</t>
  </si>
  <si>
    <t>206-732-0851</t>
  </si>
  <si>
    <t>Hartline</t>
  </si>
  <si>
    <t>mcfarrell</t>
  </si>
  <si>
    <t>I#VwgL-in$1w/#&lt;</t>
  </si>
  <si>
    <t>Reba</t>
  </si>
  <si>
    <t>Potts</t>
  </si>
  <si>
    <t>reba.potts@microsoft.com</t>
  </si>
  <si>
    <t>Colby Potts</t>
  </si>
  <si>
    <t>Beatriz Potts</t>
  </si>
  <si>
    <t>237-99-4109</t>
  </si>
  <si>
    <t>803-530-4861</t>
  </si>
  <si>
    <t>Columbia</t>
  </si>
  <si>
    <t>Richland</t>
  </si>
  <si>
    <t>ropotts</t>
  </si>
  <si>
    <t>crDw\pS!_W-p</t>
  </si>
  <si>
    <t>Shana</t>
  </si>
  <si>
    <t>Gould</t>
  </si>
  <si>
    <t>shana.gould@gmail.com</t>
  </si>
  <si>
    <t>Dwight Gould</t>
  </si>
  <si>
    <t>Patsy Gould</t>
  </si>
  <si>
    <t>271-17-8858</t>
  </si>
  <si>
    <t>252-316-7224</t>
  </si>
  <si>
    <t>Edward</t>
  </si>
  <si>
    <t>sogould</t>
  </si>
  <si>
    <t>gW142CO&amp;OX&lt;;l|</t>
  </si>
  <si>
    <t>Bartlett</t>
  </si>
  <si>
    <t>adam.bartlett@aol.com</t>
  </si>
  <si>
    <t>Landon Bartlett</t>
  </si>
  <si>
    <t>Darla Bartlett</t>
  </si>
  <si>
    <t>500-29-9319</t>
  </si>
  <si>
    <t>205-745-6937</t>
  </si>
  <si>
    <t>Ohatchee</t>
  </si>
  <si>
    <t>Calhoun</t>
  </si>
  <si>
    <t>aibartlett</t>
  </si>
  <si>
    <t>1E$sBq}P$TFR</t>
  </si>
  <si>
    <t>leann.melendez@gmail.com</t>
  </si>
  <si>
    <t>Diego Melendez</t>
  </si>
  <si>
    <t>Marsha Melendez</t>
  </si>
  <si>
    <t>008-94-7923</t>
  </si>
  <si>
    <t>236-331-5273</t>
  </si>
  <si>
    <t>Woodbridge</t>
  </si>
  <si>
    <t>Prince William</t>
  </si>
  <si>
    <t>lwmelendez</t>
  </si>
  <si>
    <t>W_n+;yZuzfjJ</t>
  </si>
  <si>
    <t>Floyd</t>
  </si>
  <si>
    <t>Mills</t>
  </si>
  <si>
    <t>floyd.mills@gmail.com</t>
  </si>
  <si>
    <t>Kristopher Mills</t>
  </si>
  <si>
    <t>Colleen Mills</t>
  </si>
  <si>
    <t>481-41-0460</t>
  </si>
  <si>
    <t>308-874-7810</t>
  </si>
  <si>
    <t>Farwell</t>
  </si>
  <si>
    <t>fbmills</t>
  </si>
  <si>
    <t>Aq?ch[mqCw;3QM</t>
  </si>
  <si>
    <t>Carrillo</t>
  </si>
  <si>
    <t>scott.carrillo@sbcglobal.net</t>
  </si>
  <si>
    <t>Son Carrillo</t>
  </si>
  <si>
    <t>Lorraine Carrillo</t>
  </si>
  <si>
    <t>458-99-4184</t>
  </si>
  <si>
    <t>319-913-8966</t>
  </si>
  <si>
    <t>Rockford</t>
  </si>
  <si>
    <t>sqcarrillo</t>
  </si>
  <si>
    <t>kWT78g_~uz{;</t>
  </si>
  <si>
    <t>Sterling</t>
  </si>
  <si>
    <t>Hooper</t>
  </si>
  <si>
    <t>sterling.hooper@hotmail.com</t>
  </si>
  <si>
    <t>Lynn Hooper</t>
  </si>
  <si>
    <t>Beatrice Hooper</t>
  </si>
  <si>
    <t>167-86-0816</t>
  </si>
  <si>
    <t>217-697-9027</t>
  </si>
  <si>
    <t>Saint Anne</t>
  </si>
  <si>
    <t>Kankakee</t>
  </si>
  <si>
    <t>skhooper</t>
  </si>
  <si>
    <t>F&gt;eQ*HU&gt;$</t>
  </si>
  <si>
    <t>damon.hunt@gmail.com</t>
  </si>
  <si>
    <t>Calvin Hunt</t>
  </si>
  <si>
    <t>Beverley Hunt</t>
  </si>
  <si>
    <t>Horne</t>
  </si>
  <si>
    <t>462-99-3472</t>
  </si>
  <si>
    <t>304-994-3681</t>
  </si>
  <si>
    <t>Onego</t>
  </si>
  <si>
    <t>Pendleton</t>
  </si>
  <si>
    <t>dthunt</t>
  </si>
  <si>
    <t>Xk:*o|Z:zcF.~!</t>
  </si>
  <si>
    <t>Mauricio</t>
  </si>
  <si>
    <t>mauricio.potts@yahoo.com</t>
  </si>
  <si>
    <t>Elbert Potts</t>
  </si>
  <si>
    <t>Sondra Potts</t>
  </si>
  <si>
    <t>213-91-9114</t>
  </si>
  <si>
    <t>339-660-2629</t>
  </si>
  <si>
    <t>mapotts</t>
  </si>
  <si>
    <t>h$r[.aXNy</t>
  </si>
  <si>
    <t>Ebony</t>
  </si>
  <si>
    <t>ebony.eaton@gmail.com</t>
  </si>
  <si>
    <t>Jesus Eaton</t>
  </si>
  <si>
    <t>Francine Eaton</t>
  </si>
  <si>
    <t>511-33-0572</t>
  </si>
  <si>
    <t>212-680-4445</t>
  </si>
  <si>
    <t>Otego</t>
  </si>
  <si>
    <t>Otsego</t>
  </si>
  <si>
    <t>ebeaton</t>
  </si>
  <si>
    <t>r]XX+!/[hU/&lt;Z</t>
  </si>
  <si>
    <t>Bobbie</t>
  </si>
  <si>
    <t>bobbie.joyner@gmail.com</t>
  </si>
  <si>
    <t>Jim Joyner</t>
  </si>
  <si>
    <t>Guadalupe Joyner</t>
  </si>
  <si>
    <t>437-99-4679</t>
  </si>
  <si>
    <t>385-473-3065</t>
  </si>
  <si>
    <t>Park Valley</t>
  </si>
  <si>
    <t>Box Elder</t>
  </si>
  <si>
    <t>bmjoyner</t>
  </si>
  <si>
    <t>rkag+5v{</t>
  </si>
  <si>
    <t>jami.velasquez@hotmail.com</t>
  </si>
  <si>
    <t>Saul Velasquez</t>
  </si>
  <si>
    <t>Patricia Velasquez</t>
  </si>
  <si>
    <t>Burt</t>
  </si>
  <si>
    <t>316-35-5631</t>
  </si>
  <si>
    <t>218-557-1655</t>
  </si>
  <si>
    <t>Max</t>
  </si>
  <si>
    <t>Itasca</t>
  </si>
  <si>
    <t>jnvelasquez</t>
  </si>
  <si>
    <t>G2x0w{8mOoa</t>
  </si>
  <si>
    <t>Aisha</t>
  </si>
  <si>
    <t>Gentry</t>
  </si>
  <si>
    <t>aisha.gentry@aol.com</t>
  </si>
  <si>
    <t>Louis Gentry</t>
  </si>
  <si>
    <t>Cheryl Gentry</t>
  </si>
  <si>
    <t>Guzman</t>
  </si>
  <si>
    <t>180-86-5081</t>
  </si>
  <si>
    <t>212-970-9881</t>
  </si>
  <si>
    <t>Montezuma</t>
  </si>
  <si>
    <t>Cayuga</t>
  </si>
  <si>
    <t>azgentry</t>
  </si>
  <si>
    <t>C$&lt;gF\!_A-%Nca\</t>
  </si>
  <si>
    <t>Moses</t>
  </si>
  <si>
    <t>moses.reid@apple.com</t>
  </si>
  <si>
    <t>Clifton Reid</t>
  </si>
  <si>
    <t>Ester Reid</t>
  </si>
  <si>
    <t>Sims</t>
  </si>
  <si>
    <t>424-65-3064</t>
  </si>
  <si>
    <t>239-593-3202</t>
  </si>
  <si>
    <t>mpreid</t>
  </si>
  <si>
    <t>H9zUwL&lt;nl@}e</t>
  </si>
  <si>
    <t>Monique</t>
  </si>
  <si>
    <t>monique.deleon@hotmail.com</t>
  </si>
  <si>
    <t>Sylvester Deleon</t>
  </si>
  <si>
    <t>Tania Deleon</t>
  </si>
  <si>
    <t>513-31-6303</t>
  </si>
  <si>
    <t>216-250-6145</t>
  </si>
  <si>
    <t>Cardington</t>
  </si>
  <si>
    <t>msdeleon</t>
  </si>
  <si>
    <t>aNR#7*@D56</t>
  </si>
  <si>
    <t>Domingo</t>
  </si>
  <si>
    <t>Gibbs</t>
  </si>
  <si>
    <t>domingo.gibbs@hotmail.com</t>
  </si>
  <si>
    <t>Williams Gibbs</t>
  </si>
  <si>
    <t>Silvia Gibbs</t>
  </si>
  <si>
    <t>546-99-2961</t>
  </si>
  <si>
    <t>480-908-8095</t>
  </si>
  <si>
    <t>Littlefield</t>
  </si>
  <si>
    <t>Mohave</t>
  </si>
  <si>
    <t>dsgibbs</t>
  </si>
  <si>
    <t>lBHbc.ApgQ]d{T</t>
  </si>
  <si>
    <t>Tammy</t>
  </si>
  <si>
    <t>Vincent</t>
  </si>
  <si>
    <t>tammy.vincent@aol.com</t>
  </si>
  <si>
    <t>Marshall Vincent</t>
  </si>
  <si>
    <t>Chelsea Vincent</t>
  </si>
  <si>
    <t>082-02-5393</t>
  </si>
  <si>
    <t>217-831-1569</t>
  </si>
  <si>
    <t>Dongola</t>
  </si>
  <si>
    <t>tdvincent</t>
  </si>
  <si>
    <t>TnIm6v%SV-nK%</t>
  </si>
  <si>
    <t>Federico</t>
  </si>
  <si>
    <t>federico.wilson@yahoo.com</t>
  </si>
  <si>
    <t>Mathew Wilson</t>
  </si>
  <si>
    <t>Keisha Wilson</t>
  </si>
  <si>
    <t>445-27-4988</t>
  </si>
  <si>
    <t>210-930-2999</t>
  </si>
  <si>
    <t>Hart</t>
  </si>
  <si>
    <t>fjwilson</t>
  </si>
  <si>
    <t>g6~{t%1p8H&amp;*}S</t>
  </si>
  <si>
    <t>Kory</t>
  </si>
  <si>
    <t>Roth</t>
  </si>
  <si>
    <t>kory.roth@bp.com</t>
  </si>
  <si>
    <t>Issac Roth</t>
  </si>
  <si>
    <t>Connie Roth</t>
  </si>
  <si>
    <t>Frost</t>
  </si>
  <si>
    <t>386-37-5617</t>
  </si>
  <si>
    <t>252-364-6018</t>
  </si>
  <si>
    <t>Buies Creek</t>
  </si>
  <si>
    <t>Harnett</t>
  </si>
  <si>
    <t>kxroth</t>
  </si>
  <si>
    <t>T@GS[s+5DxNs</t>
  </si>
  <si>
    <t>Lloyd</t>
  </si>
  <si>
    <t>nichole.lloyd@shell.com</t>
  </si>
  <si>
    <t>Albert Lloyd</t>
  </si>
  <si>
    <t>Marquita Lloyd</t>
  </si>
  <si>
    <t>496-29-4801</t>
  </si>
  <si>
    <t>316-344-7236</t>
  </si>
  <si>
    <t>Wichita</t>
  </si>
  <si>
    <t>Sedgwick</t>
  </si>
  <si>
    <t>nzlloyd</t>
  </si>
  <si>
    <t>IR1;qapte2-Q</t>
  </si>
  <si>
    <t>Rodger</t>
  </si>
  <si>
    <t>Chavez</t>
  </si>
  <si>
    <t>rodger.chavez@outlook.com</t>
  </si>
  <si>
    <t>Rich Chavez</t>
  </si>
  <si>
    <t>Jody Chavez</t>
  </si>
  <si>
    <t>Jimenez</t>
  </si>
  <si>
    <t>061-02-4120</t>
  </si>
  <si>
    <t>209-881-4520</t>
  </si>
  <si>
    <t>rdchavez</t>
  </si>
  <si>
    <t>EUp3}.Un|</t>
  </si>
  <si>
    <t>bruce.carney@hotmail.com</t>
  </si>
  <si>
    <t>Wilbur Carney</t>
  </si>
  <si>
    <t>Constance Carney</t>
  </si>
  <si>
    <t>330-11-2949</t>
  </si>
  <si>
    <t>231-344-7782</t>
  </si>
  <si>
    <t>Detroit</t>
  </si>
  <si>
    <t>Wayne</t>
  </si>
  <si>
    <t>bzcarney</t>
  </si>
  <si>
    <t>V4j52QV2iz&gt;dL</t>
  </si>
  <si>
    <t>Derick</t>
  </si>
  <si>
    <t>derick.ferrell@yahoo.co.in</t>
  </si>
  <si>
    <t>Sonny Ferrell</t>
  </si>
  <si>
    <t>Helena Ferrell</t>
  </si>
  <si>
    <t>155-23-2078</t>
  </si>
  <si>
    <t>215-650-2255</t>
  </si>
  <si>
    <t>Mc Veytown</t>
  </si>
  <si>
    <t>Mifflin</t>
  </si>
  <si>
    <t>dnferrell</t>
  </si>
  <si>
    <t>6-Mq&lt;UaF-3&gt;&gt;h3</t>
  </si>
  <si>
    <t>Lorna</t>
  </si>
  <si>
    <t>lorna.henson@outlook.com</t>
  </si>
  <si>
    <t>Elias Henson</t>
  </si>
  <si>
    <t>Araceli Henson</t>
  </si>
  <si>
    <t>146-23-6275</t>
  </si>
  <si>
    <t>215-781-4273</t>
  </si>
  <si>
    <t>Scranton</t>
  </si>
  <si>
    <t>Lackawanna</t>
  </si>
  <si>
    <t>lwhenson</t>
  </si>
  <si>
    <t>G&lt;wLiPElBi\</t>
  </si>
  <si>
    <t>Rico</t>
  </si>
  <si>
    <t>rico.mayo@gmail.com</t>
  </si>
  <si>
    <t>Devin Mayo</t>
  </si>
  <si>
    <t>Lawanda Mayo</t>
  </si>
  <si>
    <t>705-18-7358</t>
  </si>
  <si>
    <t>216-519-9558</t>
  </si>
  <si>
    <t>Mineral City</t>
  </si>
  <si>
    <t>Tuscarawas</t>
  </si>
  <si>
    <t>rkmayo</t>
  </si>
  <si>
    <t>Wm71-&amp;soe</t>
  </si>
  <si>
    <t>Luann</t>
  </si>
  <si>
    <t>Crane</t>
  </si>
  <si>
    <t>luann.crane@gmail.com</t>
  </si>
  <si>
    <t>Merrill Crane</t>
  </si>
  <si>
    <t>Sybil Crane</t>
  </si>
  <si>
    <t>101-02-1834</t>
  </si>
  <si>
    <t>212-213-3997</t>
  </si>
  <si>
    <t>Oswego</t>
  </si>
  <si>
    <t>lrcrane</t>
  </si>
  <si>
    <t>l%g-ut\Z</t>
  </si>
  <si>
    <t>Goodwin</t>
  </si>
  <si>
    <t>tara.goodwin@shaw.ca</t>
  </si>
  <si>
    <t>Armando Goodwin</t>
  </si>
  <si>
    <t>Dona Goodwin</t>
  </si>
  <si>
    <t>714-18-9674</t>
  </si>
  <si>
    <t>215-869-6924</t>
  </si>
  <si>
    <t>Glenmoore</t>
  </si>
  <si>
    <t>thgoodwin</t>
  </si>
  <si>
    <t>z?qUF|:F~4F</t>
  </si>
  <si>
    <t>Shaun</t>
  </si>
  <si>
    <t>Evans</t>
  </si>
  <si>
    <t>shaun.evans@gmail.com</t>
  </si>
  <si>
    <t>Alfredo Evans</t>
  </si>
  <si>
    <t>Florine Evans</t>
  </si>
  <si>
    <t>Levine</t>
  </si>
  <si>
    <t>115-98-3287</t>
  </si>
  <si>
    <t>314-659-6901</t>
  </si>
  <si>
    <t>Kansas City</t>
  </si>
  <si>
    <t>sjevans</t>
  </si>
  <si>
    <t>sKxrLD&amp;w.d</t>
  </si>
  <si>
    <t>Debbie</t>
  </si>
  <si>
    <t>Velez</t>
  </si>
  <si>
    <t>debbie.velez@aol.com</t>
  </si>
  <si>
    <t>Wesley Velez</t>
  </si>
  <si>
    <t>Vicki Velez</t>
  </si>
  <si>
    <t>Jarvis</t>
  </si>
  <si>
    <t>026-92-8239</t>
  </si>
  <si>
    <t>303-865-0002</t>
  </si>
  <si>
    <t>Littleton</t>
  </si>
  <si>
    <t>Arapahoe</t>
  </si>
  <si>
    <t>dsvelez</t>
  </si>
  <si>
    <t>E&amp;v&amp;Q.Ny:</t>
  </si>
  <si>
    <t>may.hodge@hotmail.com</t>
  </si>
  <si>
    <t>Willard Hodge</t>
  </si>
  <si>
    <t>Christine Hodge</t>
  </si>
  <si>
    <t>031-92-9813</t>
  </si>
  <si>
    <t>314-442-0589</t>
  </si>
  <si>
    <t>mrhodge</t>
  </si>
  <si>
    <t>2G3i7.G_H4a|</t>
  </si>
  <si>
    <t>Adeline</t>
  </si>
  <si>
    <t>adeline.evans@cox.net</t>
  </si>
  <si>
    <t>Valentin Evans</t>
  </si>
  <si>
    <t>Twila Evans</t>
  </si>
  <si>
    <t>029-92-1928</t>
  </si>
  <si>
    <t>217-205-4597</t>
  </si>
  <si>
    <t>Niota</t>
  </si>
  <si>
    <t>Hancock</t>
  </si>
  <si>
    <t>arevans</t>
  </si>
  <si>
    <t>7v_esqyX{jg?</t>
  </si>
  <si>
    <t>guy.gilbert@gmail.com</t>
  </si>
  <si>
    <t>Trey Gilbert</t>
  </si>
  <si>
    <t>Tamara Gilbert</t>
  </si>
  <si>
    <t>154-23-7518</t>
  </si>
  <si>
    <t>303-645-5316</t>
  </si>
  <si>
    <t>Castle Rock</t>
  </si>
  <si>
    <t>gcgilbert</t>
  </si>
  <si>
    <t>IO!+4~859p2Xcv</t>
  </si>
  <si>
    <t>Opal</t>
  </si>
  <si>
    <t>opal.hansen@hotmail.com</t>
  </si>
  <si>
    <t>Edmond Hansen</t>
  </si>
  <si>
    <t>Madeline Hansen</t>
  </si>
  <si>
    <t>268-17-1925</t>
  </si>
  <si>
    <t>802-968-1672</t>
  </si>
  <si>
    <t>South Ryegate</t>
  </si>
  <si>
    <t>Caledonia</t>
  </si>
  <si>
    <t>oxhansen</t>
  </si>
  <si>
    <t>nc$@aPh+Hp#</t>
  </si>
  <si>
    <t>Robbie</t>
  </si>
  <si>
    <t>Oconnor</t>
  </si>
  <si>
    <t>robbie.oconnor@bellsouth.net</t>
  </si>
  <si>
    <t>Ronny Oconnor</t>
  </si>
  <si>
    <t>Cherie Oconnor</t>
  </si>
  <si>
    <t>659-24-3337</t>
  </si>
  <si>
    <t>228-458-9001</t>
  </si>
  <si>
    <t>Pascagoula</t>
  </si>
  <si>
    <t>rcoconnor</t>
  </si>
  <si>
    <t>k!90tYFm</t>
  </si>
  <si>
    <t>Ella</t>
  </si>
  <si>
    <t>Craft</t>
  </si>
  <si>
    <t>ella.craft@aol.com</t>
  </si>
  <si>
    <t>Rod Craft</t>
  </si>
  <si>
    <t>Alyssa Craft</t>
  </si>
  <si>
    <t>Garcia</t>
  </si>
  <si>
    <t>659-24-6888</t>
  </si>
  <si>
    <t>215-668-2344</t>
  </si>
  <si>
    <t>Norvelt</t>
  </si>
  <si>
    <t>Westmoreland</t>
  </si>
  <si>
    <t>ewcraft</t>
  </si>
  <si>
    <t>CJkB^ktT}+</t>
  </si>
  <si>
    <t>Derrick</t>
  </si>
  <si>
    <t>Vaughn</t>
  </si>
  <si>
    <t>derrick.vaughn@ibm.com</t>
  </si>
  <si>
    <t>Milo Vaughn</t>
  </si>
  <si>
    <t>Elizabeth Vaughn</t>
  </si>
  <si>
    <t>Sampson</t>
  </si>
  <si>
    <t>641-29-1438</t>
  </si>
  <si>
    <t>319-530-2214</t>
  </si>
  <si>
    <t>Ossian</t>
  </si>
  <si>
    <t>Winneshiek</t>
  </si>
  <si>
    <t>dtvaughn</t>
  </si>
  <si>
    <t>vZmCqW|^ZG?[Y</t>
  </si>
  <si>
    <t>Maura</t>
  </si>
  <si>
    <t>maura.cherry@earthlink.net</t>
  </si>
  <si>
    <t>Sang Cherry</t>
  </si>
  <si>
    <t>Mollie Cherry</t>
  </si>
  <si>
    <t>Richard</t>
  </si>
  <si>
    <t>350-08-0605</t>
  </si>
  <si>
    <t>252-599-2888</t>
  </si>
  <si>
    <t>Fairfield</t>
  </si>
  <si>
    <t>Hyde</t>
  </si>
  <si>
    <t>mwcherry</t>
  </si>
  <si>
    <t>Q0G!nmu\ph2GO]X</t>
  </si>
  <si>
    <t>Roderick</t>
  </si>
  <si>
    <t>Vinson</t>
  </si>
  <si>
    <t>roderick.vinson@hotmail.com</t>
  </si>
  <si>
    <t>Bryant Vinson</t>
  </si>
  <si>
    <t>Elise Vinson</t>
  </si>
  <si>
    <t>516-49-2135</t>
  </si>
  <si>
    <t>307-616-3182</t>
  </si>
  <si>
    <t>Encampment</t>
  </si>
  <si>
    <t>rrvinson</t>
  </si>
  <si>
    <t>8oD;93zl2:h+dL|</t>
  </si>
  <si>
    <t>Gwen</t>
  </si>
  <si>
    <t>Gilliam</t>
  </si>
  <si>
    <t>gwen.gilliam@aol.com</t>
  </si>
  <si>
    <t>Sammie Gilliam</t>
  </si>
  <si>
    <t>Maryann Gilliam</t>
  </si>
  <si>
    <t>Mclaughlin</t>
  </si>
  <si>
    <t>702-18-2141</t>
  </si>
  <si>
    <t>216-992-9734</t>
  </si>
  <si>
    <t>Marathon</t>
  </si>
  <si>
    <t>Clermont</t>
  </si>
  <si>
    <t>gtgilliam</t>
  </si>
  <si>
    <t>d7SlFkO*sQ]</t>
  </si>
  <si>
    <t>Melanie</t>
  </si>
  <si>
    <t>melanie.zimmerman@aol.com</t>
  </si>
  <si>
    <t>Jamel Zimmerman</t>
  </si>
  <si>
    <t>Candice Zimmerman</t>
  </si>
  <si>
    <t>Goff</t>
  </si>
  <si>
    <t>325-11-3291</t>
  </si>
  <si>
    <t>209-629-2789</t>
  </si>
  <si>
    <t>La Puente</t>
  </si>
  <si>
    <t>mlzimmerman</t>
  </si>
  <si>
    <t>T|RMM3N\/l</t>
  </si>
  <si>
    <t>Micah</t>
  </si>
  <si>
    <t>micah.merritt@rediffmail.com</t>
  </si>
  <si>
    <t>Matt Merritt</t>
  </si>
  <si>
    <t>Suzanne Merritt</t>
  </si>
  <si>
    <t>380-37-8505</t>
  </si>
  <si>
    <t>209-857-4471</t>
  </si>
  <si>
    <t>Lyoth</t>
  </si>
  <si>
    <t>San Joaquin</t>
  </si>
  <si>
    <t>mymerritt</t>
  </si>
  <si>
    <t>1f5n}{nl</t>
  </si>
  <si>
    <t>Buford</t>
  </si>
  <si>
    <t>buford.hobbs@msn.com</t>
  </si>
  <si>
    <t>Julio Hobbs</t>
  </si>
  <si>
    <t>Kari Hobbs</t>
  </si>
  <si>
    <t>652-62-4222</t>
  </si>
  <si>
    <t>479-893-9574</t>
  </si>
  <si>
    <t>Success</t>
  </si>
  <si>
    <t>bdhobbs</t>
  </si>
  <si>
    <t>1%.{TQ@YWtD?P.h</t>
  </si>
  <si>
    <t>Kyle</t>
  </si>
  <si>
    <t>kyle.farmer@gmail.com</t>
  </si>
  <si>
    <t>Hershel Farmer</t>
  </si>
  <si>
    <t>Maureen Farmer</t>
  </si>
  <si>
    <t>593-99-9799</t>
  </si>
  <si>
    <t>314-838-8839</t>
  </si>
  <si>
    <t>Tebbetts</t>
  </si>
  <si>
    <t>Callaway</t>
  </si>
  <si>
    <t>knfarmer</t>
  </si>
  <si>
    <t>ud{hKtGIB</t>
  </si>
  <si>
    <t>Jocelyn</t>
  </si>
  <si>
    <t>Rojas</t>
  </si>
  <si>
    <t>jocelyn.rojas@earthlink.net</t>
  </si>
  <si>
    <t>Marty Rojas</t>
  </si>
  <si>
    <t>Leanne Rojas</t>
  </si>
  <si>
    <t>122-98-2107</t>
  </si>
  <si>
    <t>239-885-4736</t>
  </si>
  <si>
    <t>Merritt Island</t>
  </si>
  <si>
    <t>Brevard</t>
  </si>
  <si>
    <t>jurojas</t>
  </si>
  <si>
    <t>f$nN:}i#-K</t>
  </si>
  <si>
    <t>Gray</t>
  </si>
  <si>
    <t>larry.gray@outlook.com</t>
  </si>
  <si>
    <t>Gregorio Gray</t>
  </si>
  <si>
    <t>Gwen Gray</t>
  </si>
  <si>
    <t>177-86-6879</t>
  </si>
  <si>
    <t>210-262-9740</t>
  </si>
  <si>
    <t>San Augustine</t>
  </si>
  <si>
    <t>lggray</t>
  </si>
  <si>
    <t>N|bttAfro</t>
  </si>
  <si>
    <t>Wilbur</t>
  </si>
  <si>
    <t>wilbur.bates@verizon.net</t>
  </si>
  <si>
    <t>Bennie Bates</t>
  </si>
  <si>
    <t>Tammie Bates</t>
  </si>
  <si>
    <t>Acevedo</t>
  </si>
  <si>
    <t>121-98-0891</t>
  </si>
  <si>
    <t>212-993-7125</t>
  </si>
  <si>
    <t>West Copake</t>
  </si>
  <si>
    <t>wpbates</t>
  </si>
  <si>
    <t>87AsG3A_</t>
  </si>
  <si>
    <t>Maxine</t>
  </si>
  <si>
    <t>Moran</t>
  </si>
  <si>
    <t>maxine.moran@gmail.com</t>
  </si>
  <si>
    <t>Sergio Moran</t>
  </si>
  <si>
    <t>Bridgette Moran</t>
  </si>
  <si>
    <t>Shaw</t>
  </si>
  <si>
    <t>084-02-1509</t>
  </si>
  <si>
    <t>212-589-4230</t>
  </si>
  <si>
    <t>Hogansburg</t>
  </si>
  <si>
    <t>mfmoran</t>
  </si>
  <si>
    <t>z2nBg#~A:R9</t>
  </si>
  <si>
    <t>Kathleen</t>
  </si>
  <si>
    <t>Middleton</t>
  </si>
  <si>
    <t>kathleen.middleton@yahoo.com</t>
  </si>
  <si>
    <t>Freddie Middleton</t>
  </si>
  <si>
    <t>Trina Middleton</t>
  </si>
  <si>
    <t>Mcleod</t>
  </si>
  <si>
    <t>050-02-2695</t>
  </si>
  <si>
    <t>270-462-8251</t>
  </si>
  <si>
    <t>ktmiddleton</t>
  </si>
  <si>
    <t>0a&lt;%xGdvNgFA</t>
  </si>
  <si>
    <t>Norbert</t>
  </si>
  <si>
    <t>norbert.joyner@gmail.com</t>
  </si>
  <si>
    <t>Francis Joyner</t>
  </si>
  <si>
    <t>Louise Joyner</t>
  </si>
  <si>
    <t>765-27-9014</t>
  </si>
  <si>
    <t>308-463-4519</t>
  </si>
  <si>
    <t>Schuyler</t>
  </si>
  <si>
    <t>Colfax</t>
  </si>
  <si>
    <t>npjoyner</t>
  </si>
  <si>
    <t>tK}l@RUIX3~z</t>
  </si>
  <si>
    <t>Chadwick</t>
  </si>
  <si>
    <t>Walton</t>
  </si>
  <si>
    <t>chadwick.walton@earthlink.net</t>
  </si>
  <si>
    <t>Lenard Walton</t>
  </si>
  <si>
    <t>Phyllis Walton</t>
  </si>
  <si>
    <t>496-29-1717</t>
  </si>
  <si>
    <t>215-345-7279</t>
  </si>
  <si>
    <t>Lattimer Mines</t>
  </si>
  <si>
    <t>Luzerne</t>
  </si>
  <si>
    <t>cgwalton</t>
  </si>
  <si>
    <t>bUf}27f|hM9</t>
  </si>
  <si>
    <t>Connie</t>
  </si>
  <si>
    <t>Shaffer</t>
  </si>
  <si>
    <t>connie.shaffer@walmart.com</t>
  </si>
  <si>
    <t>Eddie Shaffer</t>
  </si>
  <si>
    <t>Henrietta Shaffer</t>
  </si>
  <si>
    <t>508-57-3446</t>
  </si>
  <si>
    <t>239-957-2975</t>
  </si>
  <si>
    <t>Casselberry</t>
  </si>
  <si>
    <t>coshaffer</t>
  </si>
  <si>
    <t>0P&amp;f1[+a~hMh</t>
  </si>
  <si>
    <t>bobbie.singleton@yahoo.com</t>
  </si>
  <si>
    <t>Andrea Singleton</t>
  </si>
  <si>
    <t>Marylou Singleton</t>
  </si>
  <si>
    <t>Meadows</t>
  </si>
  <si>
    <t>017-94-0645</t>
  </si>
  <si>
    <t>212-653-6029</t>
  </si>
  <si>
    <t>bcsingleton</t>
  </si>
  <si>
    <t>Bzc:YC&lt;gD[i/&gt;F/</t>
  </si>
  <si>
    <t>Lesley</t>
  </si>
  <si>
    <t>Rollins</t>
  </si>
  <si>
    <t>lesley.rollins@aol.com</t>
  </si>
  <si>
    <t>Donald Rollins</t>
  </si>
  <si>
    <t>Carmella Rollins</t>
  </si>
  <si>
    <t>540-83-5227</t>
  </si>
  <si>
    <t>209-231-7124</t>
  </si>
  <si>
    <t>Nuevo</t>
  </si>
  <si>
    <t>Riverside</t>
  </si>
  <si>
    <t>lkrollins</t>
  </si>
  <si>
    <t>TX&amp;a.6V4B]w~</t>
  </si>
  <si>
    <t>Howe</t>
  </si>
  <si>
    <t>victoria.howe@gmail.com</t>
  </si>
  <si>
    <t>Vaughn Howe</t>
  </si>
  <si>
    <t>Kenya Howe</t>
  </si>
  <si>
    <t>587-99-9556</t>
  </si>
  <si>
    <t>216-303-3981</t>
  </si>
  <si>
    <t>Toledo</t>
  </si>
  <si>
    <t>vhhowe</t>
  </si>
  <si>
    <t>gZ_@l_bY!M?Fs#</t>
  </si>
  <si>
    <t>Marc</t>
  </si>
  <si>
    <t>Nixon</t>
  </si>
  <si>
    <t>marc.nixon@gmail.com</t>
  </si>
  <si>
    <t>Vaughn Nixon</t>
  </si>
  <si>
    <t>Holly Nixon</t>
  </si>
  <si>
    <t>251-99-1319</t>
  </si>
  <si>
    <t>215-276-4646</t>
  </si>
  <si>
    <t>East Hickory</t>
  </si>
  <si>
    <t>Forest</t>
  </si>
  <si>
    <t>mfnixon</t>
  </si>
  <si>
    <t>kwDez~:**7+vBI}</t>
  </si>
  <si>
    <t>elias.pena@hotmail.com</t>
  </si>
  <si>
    <t>Jeffery Pena</t>
  </si>
  <si>
    <t>Sheree Pena</t>
  </si>
  <si>
    <t>Campos</t>
  </si>
  <si>
    <t>579-53-7330</t>
  </si>
  <si>
    <t>270-272-3267</t>
  </si>
  <si>
    <t>Mayking</t>
  </si>
  <si>
    <t>Letcher</t>
  </si>
  <si>
    <t>eapena</t>
  </si>
  <si>
    <t>u3#Bt/kNd}6|x</t>
  </si>
  <si>
    <t>Flossie</t>
  </si>
  <si>
    <t>Mcpherson</t>
  </si>
  <si>
    <t>flossie.mcpherson@gmail.com</t>
  </si>
  <si>
    <t>Calvin Mcpherson</t>
  </si>
  <si>
    <t>Corine Mcpherson</t>
  </si>
  <si>
    <t>705-18-7866</t>
  </si>
  <si>
    <t>208-965-8377</t>
  </si>
  <si>
    <t>Nezperce</t>
  </si>
  <si>
    <t>fcmcpherson</t>
  </si>
  <si>
    <t>W--AWA*86</t>
  </si>
  <si>
    <t>Hayes</t>
  </si>
  <si>
    <t>lana.hayes@hotmail.com</t>
  </si>
  <si>
    <t>Shaun Hayes</t>
  </si>
  <si>
    <t>Penelope Hayes</t>
  </si>
  <si>
    <t>231-99-5548</t>
  </si>
  <si>
    <t>316-644-3677</t>
  </si>
  <si>
    <t>Shawnee Mission</t>
  </si>
  <si>
    <t>lehayes</t>
  </si>
  <si>
    <t>jE0rUVi1@Y^</t>
  </si>
  <si>
    <t>Nick</t>
  </si>
  <si>
    <t>Wilcox</t>
  </si>
  <si>
    <t>nick.wilcox@bellsouth.net</t>
  </si>
  <si>
    <t>Morton Wilcox</t>
  </si>
  <si>
    <t>Claire Wilcox</t>
  </si>
  <si>
    <t>027-92-5366</t>
  </si>
  <si>
    <t>217-505-1313</t>
  </si>
  <si>
    <t>Glen Ellyn</t>
  </si>
  <si>
    <t>ncwilcox</t>
  </si>
  <si>
    <t>y&amp;XMj7-I9*pimca</t>
  </si>
  <si>
    <t>Nona</t>
  </si>
  <si>
    <t>nona.buck@outlook.com</t>
  </si>
  <si>
    <t>Johnny Buck</t>
  </si>
  <si>
    <t>Adeline Buck</t>
  </si>
  <si>
    <t>Sexton</t>
  </si>
  <si>
    <t>654-38-4904</t>
  </si>
  <si>
    <t>210-661-7658</t>
  </si>
  <si>
    <t>Odessa</t>
  </si>
  <si>
    <t>Ector</t>
  </si>
  <si>
    <t>nwbuck</t>
  </si>
  <si>
    <t>ZbqBrr{y</t>
  </si>
  <si>
    <t>Abdul</t>
  </si>
  <si>
    <t>Barnett</t>
  </si>
  <si>
    <t>abdul.barnett@hotmail.com</t>
  </si>
  <si>
    <t>Jame Barnett</t>
  </si>
  <si>
    <t>Angelina Barnett</t>
  </si>
  <si>
    <t>580-41-6312</t>
  </si>
  <si>
    <t>236-885-1600</t>
  </si>
  <si>
    <t>akbarnett</t>
  </si>
  <si>
    <t>wS_FOPH}1nw/</t>
  </si>
  <si>
    <t>Inez</t>
  </si>
  <si>
    <t>inez.kane@ntlworld.com</t>
  </si>
  <si>
    <t>John Kane</t>
  </si>
  <si>
    <t>Lea Kane</t>
  </si>
  <si>
    <t>Robinson</t>
  </si>
  <si>
    <t>265-99-4110</t>
  </si>
  <si>
    <t>209-572-5312</t>
  </si>
  <si>
    <t>Sierra Madre</t>
  </si>
  <si>
    <t>ickane</t>
  </si>
  <si>
    <t>H&gt;Ee&gt;&gt;g\iy</t>
  </si>
  <si>
    <t>Raquel</t>
  </si>
  <si>
    <t>Bray</t>
  </si>
  <si>
    <t>raquel.bray@hotmail.co.uk</t>
  </si>
  <si>
    <t>Cliff Bray</t>
  </si>
  <si>
    <t>Chelsea Bray</t>
  </si>
  <si>
    <t>Prince</t>
  </si>
  <si>
    <t>628-31-5360</t>
  </si>
  <si>
    <t>212-329-7544</t>
  </si>
  <si>
    <t>Pine Island</t>
  </si>
  <si>
    <t>rabray</t>
  </si>
  <si>
    <t>4B5j%Pwt</t>
  </si>
  <si>
    <t>Sean</t>
  </si>
  <si>
    <t>Noble</t>
  </si>
  <si>
    <t>sean.noble@cox.net</t>
  </si>
  <si>
    <t>Alberto Noble</t>
  </si>
  <si>
    <t>Cherry Noble</t>
  </si>
  <si>
    <t>557-99-1301</t>
  </si>
  <si>
    <t>209-586-9398</t>
  </si>
  <si>
    <t>Corona</t>
  </si>
  <si>
    <t>sfnoble</t>
  </si>
  <si>
    <t>g~q&gt;_23U@p9L}f</t>
  </si>
  <si>
    <t>Fred</t>
  </si>
  <si>
    <t>Woodward</t>
  </si>
  <si>
    <t>fred.woodward@hotmail.com</t>
  </si>
  <si>
    <t>Sam Woodward</t>
  </si>
  <si>
    <t>Polly Woodward</t>
  </si>
  <si>
    <t>House</t>
  </si>
  <si>
    <t>715-18-1976</t>
  </si>
  <si>
    <t>209-240-2610</t>
  </si>
  <si>
    <t>North Palm Springs</t>
  </si>
  <si>
    <t>fiwoodward</t>
  </si>
  <si>
    <t>b0E;1tWzG.$bWR</t>
  </si>
  <si>
    <t>Sylvester</t>
  </si>
  <si>
    <t>Salas</t>
  </si>
  <si>
    <t>sylvester.salas@outlook.com</t>
  </si>
  <si>
    <t>Tanner Salas</t>
  </si>
  <si>
    <t>Della Salas</t>
  </si>
  <si>
    <t>276-17-7941</t>
  </si>
  <si>
    <t>239-817-0332</t>
  </si>
  <si>
    <t>sqsalas</t>
  </si>
  <si>
    <t>af&lt;@LoZHaVGQWW6</t>
  </si>
  <si>
    <t>Berta</t>
  </si>
  <si>
    <t>berta.irwin@gmail.com</t>
  </si>
  <si>
    <t>Mathew Irwin</t>
  </si>
  <si>
    <t>Lindsey Irwin</t>
  </si>
  <si>
    <t>650-62-5600</t>
  </si>
  <si>
    <t>212-758-0414</t>
  </si>
  <si>
    <t>Holbrook</t>
  </si>
  <si>
    <t>Suffolk</t>
  </si>
  <si>
    <t>bpirwin</t>
  </si>
  <si>
    <t>Z#M\0V&lt;#aN\[hlM</t>
  </si>
  <si>
    <t>Noelle</t>
  </si>
  <si>
    <t>noelle.paul@yahoo.com</t>
  </si>
  <si>
    <t>Hiram Paul</t>
  </si>
  <si>
    <t>Aline Paul</t>
  </si>
  <si>
    <t>475-55-5235</t>
  </si>
  <si>
    <t>605-838-1184</t>
  </si>
  <si>
    <t>Crocker</t>
  </si>
  <si>
    <t>ngpaul</t>
  </si>
  <si>
    <t>MbS_ve+L</t>
  </si>
  <si>
    <t>Chrystal</t>
  </si>
  <si>
    <t>chrystal.swanson@aol.com</t>
  </si>
  <si>
    <t>Cleo Swanson</t>
  </si>
  <si>
    <t>Marlene Swanson</t>
  </si>
  <si>
    <t>Delgado</t>
  </si>
  <si>
    <t>584-99-3299</t>
  </si>
  <si>
    <t>215-902-9729</t>
  </si>
  <si>
    <t>Norristown</t>
  </si>
  <si>
    <t>cdswanson</t>
  </si>
  <si>
    <t>R&gt;P2t{e{rv.Tx</t>
  </si>
  <si>
    <t>Reggie</t>
  </si>
  <si>
    <t>Nolan</t>
  </si>
  <si>
    <t>reggie.nolan@gmail.com</t>
  </si>
  <si>
    <t>Philip Nolan</t>
  </si>
  <si>
    <t>Lily Nolan</t>
  </si>
  <si>
    <t>126-98-3026</t>
  </si>
  <si>
    <t>319-430-2681</t>
  </si>
  <si>
    <t>Dallas</t>
  </si>
  <si>
    <t>rrnolan</t>
  </si>
  <si>
    <t>K.pAyOb!Q</t>
  </si>
  <si>
    <t>Joanne</t>
  </si>
  <si>
    <t>joanne.melton@verizon.net</t>
  </si>
  <si>
    <t>Freeman Melton</t>
  </si>
  <si>
    <t>Elaine Melton</t>
  </si>
  <si>
    <t>265-99-9921</t>
  </si>
  <si>
    <t>216-426-9488</t>
  </si>
  <si>
    <t>Cincinnati</t>
  </si>
  <si>
    <t>Hamilton</t>
  </si>
  <si>
    <t>jkmelton</t>
  </si>
  <si>
    <t>UlW?aBVTacKj\</t>
  </si>
  <si>
    <t>Bryon</t>
  </si>
  <si>
    <t>Gardner</t>
  </si>
  <si>
    <t>bryon.gardner@aol.com</t>
  </si>
  <si>
    <t>Rogelio Gardner</t>
  </si>
  <si>
    <t>Lillian Gardner</t>
  </si>
  <si>
    <t>482-41-1206</t>
  </si>
  <si>
    <t>209-532-8208</t>
  </si>
  <si>
    <t>Platina</t>
  </si>
  <si>
    <t>Shasta</t>
  </si>
  <si>
    <t>bjgardner</t>
  </si>
  <si>
    <t>x\N_X$C._!</t>
  </si>
  <si>
    <t>Noreen</t>
  </si>
  <si>
    <t>noreen.vincent@yahoo.com</t>
  </si>
  <si>
    <t>Jose Vincent</t>
  </si>
  <si>
    <t>Rochelle Vincent</t>
  </si>
  <si>
    <t>Allison</t>
  </si>
  <si>
    <t>119-98-0757</t>
  </si>
  <si>
    <t>270-268-3778</t>
  </si>
  <si>
    <t>Fisty</t>
  </si>
  <si>
    <t>Knott</t>
  </si>
  <si>
    <t>nmvincent</t>
  </si>
  <si>
    <t>1zB$#+{AY{tV</t>
  </si>
  <si>
    <t>Duran</t>
  </si>
  <si>
    <t>mathew.duran@aol.com</t>
  </si>
  <si>
    <t>Abe Duran</t>
  </si>
  <si>
    <t>Emily Duran</t>
  </si>
  <si>
    <t>Colon</t>
  </si>
  <si>
    <t>681-24-3625</t>
  </si>
  <si>
    <t>302-891-8805</t>
  </si>
  <si>
    <t>Millville</t>
  </si>
  <si>
    <t>Sussex</t>
  </si>
  <si>
    <t>msduran</t>
  </si>
  <si>
    <t>G|S_Ykzj2</t>
  </si>
  <si>
    <t>Herminia</t>
  </si>
  <si>
    <t>Morin</t>
  </si>
  <si>
    <t>herminia.morin@yahoo.com</t>
  </si>
  <si>
    <t>Joel Morin</t>
  </si>
  <si>
    <t>Alejandra Morin</t>
  </si>
  <si>
    <t>481-41-6687</t>
  </si>
  <si>
    <t>252-295-6841</t>
  </si>
  <si>
    <t>Reidsville</t>
  </si>
  <si>
    <t>Rockingham</t>
  </si>
  <si>
    <t>himorin</t>
  </si>
  <si>
    <t>HFkKuAPa8Vq</t>
  </si>
  <si>
    <t>Luke</t>
  </si>
  <si>
    <t>luke.craft@apple.com</t>
  </si>
  <si>
    <t>Isidro Craft</t>
  </si>
  <si>
    <t>Lorna Craft</t>
  </si>
  <si>
    <t>548-99-4491</t>
  </si>
  <si>
    <t>270-381-3548</t>
  </si>
  <si>
    <t>Harned</t>
  </si>
  <si>
    <t>lycraft</t>
  </si>
  <si>
    <t>Z^pd7%Q9s^l*uG</t>
  </si>
  <si>
    <t>Ronny</t>
  </si>
  <si>
    <t>ronny.long@microsoft.com</t>
  </si>
  <si>
    <t>Randal Long</t>
  </si>
  <si>
    <t>Dionne Long</t>
  </si>
  <si>
    <t>445-27-1852</t>
  </si>
  <si>
    <t>319-680-3248</t>
  </si>
  <si>
    <t>rclong</t>
  </si>
  <si>
    <t>0&amp;$Y{QQ~!V</t>
  </si>
  <si>
    <t>Jeannine</t>
  </si>
  <si>
    <t>jeannine.vaughn@aol.com</t>
  </si>
  <si>
    <t>Rodrick Vaughn</t>
  </si>
  <si>
    <t>Lora Vaughn</t>
  </si>
  <si>
    <t>Adkins</t>
  </si>
  <si>
    <t>034-92-7282</t>
  </si>
  <si>
    <t>207-276-8057</t>
  </si>
  <si>
    <t>Bingham</t>
  </si>
  <si>
    <t>jevaughn</t>
  </si>
  <si>
    <t>ePVxuf&lt;0cW/WD</t>
  </si>
  <si>
    <t>Silvia</t>
  </si>
  <si>
    <t>silvia.huff@gmail.com</t>
  </si>
  <si>
    <t>Tanner Huff</t>
  </si>
  <si>
    <t>Justine Huff</t>
  </si>
  <si>
    <t>Carson</t>
  </si>
  <si>
    <t>101-02-3793</t>
  </si>
  <si>
    <t>210-570-5638</t>
  </si>
  <si>
    <t>Fort Worth</t>
  </si>
  <si>
    <t>Tarrant</t>
  </si>
  <si>
    <t>sfhuff</t>
  </si>
  <si>
    <t>H-nXtC%M-2</t>
  </si>
  <si>
    <t>Margo</t>
  </si>
  <si>
    <t>Hoffman</t>
  </si>
  <si>
    <t>margo.hoffman@gmail.com</t>
  </si>
  <si>
    <t>Chuck Hoffman</t>
  </si>
  <si>
    <t>Gina Hoffman</t>
  </si>
  <si>
    <t>Cochran</t>
  </si>
  <si>
    <t>500-29-6149</t>
  </si>
  <si>
    <t>207-512-9091</t>
  </si>
  <si>
    <t>Crouseville</t>
  </si>
  <si>
    <t>mkhoffman</t>
  </si>
  <si>
    <t>vBqm?*5P</t>
  </si>
  <si>
    <t>Kimberly</t>
  </si>
  <si>
    <t>kimberly.summers@msn.com</t>
  </si>
  <si>
    <t>Brice Summers</t>
  </si>
  <si>
    <t>Robert Summers</t>
  </si>
  <si>
    <t>Hill</t>
  </si>
  <si>
    <t>125-98-6121</t>
  </si>
  <si>
    <t>270-484-2113</t>
  </si>
  <si>
    <t>kksummers</t>
  </si>
  <si>
    <t>k_#wuxwqj^&gt;IfZ</t>
  </si>
  <si>
    <t>Jodie</t>
  </si>
  <si>
    <t>Mckinney</t>
  </si>
  <si>
    <t>jodie.mckinney@bp.com</t>
  </si>
  <si>
    <t>Clifton Mckinney</t>
  </si>
  <si>
    <t>Juliette Mckinney</t>
  </si>
  <si>
    <t>337-11-9823</t>
  </si>
  <si>
    <t>423-906-6653</t>
  </si>
  <si>
    <t>Miston</t>
  </si>
  <si>
    <t>jimckinney</t>
  </si>
  <si>
    <t>bQ5Bdup#ngI</t>
  </si>
  <si>
    <t>Lorrie</t>
  </si>
  <si>
    <t>Leblanc</t>
  </si>
  <si>
    <t>lorrie.leblanc@gmail.com</t>
  </si>
  <si>
    <t>Jimmy Leblanc</t>
  </si>
  <si>
    <t>Casey Leblanc</t>
  </si>
  <si>
    <t>268-17-3666</t>
  </si>
  <si>
    <t>209-971-3069</t>
  </si>
  <si>
    <t>San Bernardino</t>
  </si>
  <si>
    <t>lvleblanc</t>
  </si>
  <si>
    <t>YNPPUYK+W</t>
  </si>
  <si>
    <t>miles.giles@yahoo.com</t>
  </si>
  <si>
    <t>Fredrick Giles</t>
  </si>
  <si>
    <t>Emma Giles</t>
  </si>
  <si>
    <t>067-02-8021</t>
  </si>
  <si>
    <t>219-201-2782</t>
  </si>
  <si>
    <t>mqgiles</t>
  </si>
  <si>
    <t>s4Zs7s+zFZ*g</t>
  </si>
  <si>
    <t>Jamar</t>
  </si>
  <si>
    <t>Castaneda</t>
  </si>
  <si>
    <t>jamar.castaneda@yahoo.com</t>
  </si>
  <si>
    <t>Normand Castaneda</t>
  </si>
  <si>
    <t>Robyn Castaneda</t>
  </si>
  <si>
    <t>441-29-0134</t>
  </si>
  <si>
    <t>302-432-3433</t>
  </si>
  <si>
    <t>Wilmington</t>
  </si>
  <si>
    <t>New Castle</t>
  </si>
  <si>
    <t>jqcastaneda</t>
  </si>
  <si>
    <t>o&gt;A?Qf*}v-</t>
  </si>
  <si>
    <t>Amber</t>
  </si>
  <si>
    <t>amber.warner@hotmail.com</t>
  </si>
  <si>
    <t>Rodney Warner</t>
  </si>
  <si>
    <t>Thelma Warner</t>
  </si>
  <si>
    <t>Church</t>
  </si>
  <si>
    <t>214-91-0355</t>
  </si>
  <si>
    <t>229-317-6542</t>
  </si>
  <si>
    <t>Darien</t>
  </si>
  <si>
    <t>McIntosh</t>
  </si>
  <si>
    <t>azwarner</t>
  </si>
  <si>
    <t>J:N;5ljQi</t>
  </si>
  <si>
    <t>Patel</t>
  </si>
  <si>
    <t>sterling.patel@aol.com</t>
  </si>
  <si>
    <t>Randolph Patel</t>
  </si>
  <si>
    <t>Christie Patel</t>
  </si>
  <si>
    <t>Wilkins</t>
  </si>
  <si>
    <t>694-16-8263</t>
  </si>
  <si>
    <t>206-767-7661</t>
  </si>
  <si>
    <t>Burton</t>
  </si>
  <si>
    <t>King</t>
  </si>
  <si>
    <t>sxpatel</t>
  </si>
  <si>
    <t>Ax&gt;&lt;l*3WSal@.1~</t>
  </si>
  <si>
    <t>Enid</t>
  </si>
  <si>
    <t>enid.pearson@cox.net</t>
  </si>
  <si>
    <t>Jerome Pearson</t>
  </si>
  <si>
    <t>Florine Pearson</t>
  </si>
  <si>
    <t>Vance</t>
  </si>
  <si>
    <t>363-39-7730</t>
  </si>
  <si>
    <t>201-401-9033</t>
  </si>
  <si>
    <t>Brick</t>
  </si>
  <si>
    <t>Ocean</t>
  </si>
  <si>
    <t>empearson</t>
  </si>
  <si>
    <t>TN-6vBGE</t>
  </si>
  <si>
    <t>Annmarie</t>
  </si>
  <si>
    <t>annmarie.frye@charter.net</t>
  </si>
  <si>
    <t>Rickey Frye</t>
  </si>
  <si>
    <t>Nannie Frye</t>
  </si>
  <si>
    <t>Battle</t>
  </si>
  <si>
    <t>082-02-2486</t>
  </si>
  <si>
    <t>219-931-4746</t>
  </si>
  <si>
    <t>Smithville</t>
  </si>
  <si>
    <t>acfrye</t>
  </si>
  <si>
    <t>7X1fHgcDC</t>
  </si>
  <si>
    <t>Molly</t>
  </si>
  <si>
    <t>Roach</t>
  </si>
  <si>
    <t>molly.roach@gmail.com</t>
  </si>
  <si>
    <t>Amado Roach</t>
  </si>
  <si>
    <t>Louella Roach</t>
  </si>
  <si>
    <t>Bishop</t>
  </si>
  <si>
    <t>060-02-6264</t>
  </si>
  <si>
    <t>262-674-8386</t>
  </si>
  <si>
    <t>Fairwater</t>
  </si>
  <si>
    <t>Fond du Lac</t>
  </si>
  <si>
    <t>mxroach</t>
  </si>
  <si>
    <t>2ne&gt;f[Chx</t>
  </si>
  <si>
    <t>Rogelio</t>
  </si>
  <si>
    <t>rogelio.poole@exxonmobil.com</t>
  </si>
  <si>
    <t>Randall Poole</t>
  </si>
  <si>
    <t>Lilia Poole</t>
  </si>
  <si>
    <t>395-33-4076</t>
  </si>
  <si>
    <t>405-479-3205</t>
  </si>
  <si>
    <t>Vici</t>
  </si>
  <si>
    <t>Dewey</t>
  </si>
  <si>
    <t>rppoole</t>
  </si>
  <si>
    <t>T;y&lt;nb9}Vy?B</t>
  </si>
  <si>
    <t>mathew.duke@rediffmail.com</t>
  </si>
  <si>
    <t>Chang Duke</t>
  </si>
  <si>
    <t>Ebony Duke</t>
  </si>
  <si>
    <t>Collins</t>
  </si>
  <si>
    <t>115-98-3680</t>
  </si>
  <si>
    <t>316-687-4762</t>
  </si>
  <si>
    <t>Ramona</t>
  </si>
  <si>
    <t>mpduke</t>
  </si>
  <si>
    <t>c5Z;2Y}K@8n3A-Q</t>
  </si>
  <si>
    <t>Ayala</t>
  </si>
  <si>
    <t>lewis.ayala@gmail.com</t>
  </si>
  <si>
    <t>Isaiah Ayala</t>
  </si>
  <si>
    <t>Valerie Ayala</t>
  </si>
  <si>
    <t>Chandler</t>
  </si>
  <si>
    <t>468-57-8809</t>
  </si>
  <si>
    <t>252-216-6091</t>
  </si>
  <si>
    <t>Davidson</t>
  </si>
  <si>
    <t>lqayala</t>
  </si>
  <si>
    <t>c/&amp;oi~\^</t>
  </si>
  <si>
    <t>claudette.walter@outlook.com</t>
  </si>
  <si>
    <t>Edgardo Walter</t>
  </si>
  <si>
    <t>Mai Walter</t>
  </si>
  <si>
    <t>Patton</t>
  </si>
  <si>
    <t>521-99-8220</t>
  </si>
  <si>
    <t>212-366-5351</t>
  </si>
  <si>
    <t>Albany</t>
  </si>
  <si>
    <t>cbwalter</t>
  </si>
  <si>
    <t>NzF8\Y+|V:</t>
  </si>
  <si>
    <t>Tracie</t>
  </si>
  <si>
    <t>tracie.delaney@hotmail.com</t>
  </si>
  <si>
    <t>Raphael Delaney</t>
  </si>
  <si>
    <t>Francis Delaney</t>
  </si>
  <si>
    <t>719-18-7122</t>
  </si>
  <si>
    <t>239-752-5987</t>
  </si>
  <si>
    <t>The Villages</t>
  </si>
  <si>
    <t>tbdelaney</t>
  </si>
  <si>
    <t>lJeXKWzfS:e</t>
  </si>
  <si>
    <t>Eric</t>
  </si>
  <si>
    <t>Mccullough</t>
  </si>
  <si>
    <t>eric.mccullough@gmail.com</t>
  </si>
  <si>
    <t>Nathan Mccullough</t>
  </si>
  <si>
    <t>Delia Mccullough</t>
  </si>
  <si>
    <t>Rodgers</t>
  </si>
  <si>
    <t>208-84-0053</t>
  </si>
  <si>
    <t>216-663-9379</t>
  </si>
  <si>
    <t>Allen</t>
  </si>
  <si>
    <t>enmccullough</t>
  </si>
  <si>
    <t>5j&lt;Md4:9S</t>
  </si>
  <si>
    <t>Nestor</t>
  </si>
  <si>
    <t>nestor.carney@gmail.com</t>
  </si>
  <si>
    <t>Walker Carney</t>
  </si>
  <si>
    <t>Ava Carney</t>
  </si>
  <si>
    <t>444-27-6764</t>
  </si>
  <si>
    <t>314-545-0008</t>
  </si>
  <si>
    <t>Warsaw</t>
  </si>
  <si>
    <t>njcarney</t>
  </si>
  <si>
    <t>szc11&gt;yW\VkBn</t>
  </si>
  <si>
    <t>Mueller</t>
  </si>
  <si>
    <t>mitzi.mueller@hotmail.com</t>
  </si>
  <si>
    <t>Blair Mueller</t>
  </si>
  <si>
    <t>Whitney Mueller</t>
  </si>
  <si>
    <t>250-99-5174</t>
  </si>
  <si>
    <t>302-207-3101</t>
  </si>
  <si>
    <t>Rockland</t>
  </si>
  <si>
    <t>mpmueller</t>
  </si>
  <si>
    <t>b$!]:5s]4d?khH</t>
  </si>
  <si>
    <t>Lillian</t>
  </si>
  <si>
    <t>Atkinson</t>
  </si>
  <si>
    <t>lillian.atkinson@aol.com</t>
  </si>
  <si>
    <t>Mario Atkinson</t>
  </si>
  <si>
    <t>Keisha Atkinson</t>
  </si>
  <si>
    <t>085-02-7955</t>
  </si>
  <si>
    <t>209-957-4797</t>
  </si>
  <si>
    <t>Clipper Mills</t>
  </si>
  <si>
    <t>ljatkinson</t>
  </si>
  <si>
    <t>N8Bq[8Vf</t>
  </si>
  <si>
    <t>barry.garner@gmail.com</t>
  </si>
  <si>
    <t>Bryan Garner</t>
  </si>
  <si>
    <t>Corrine Garner</t>
  </si>
  <si>
    <t>638-29-1816</t>
  </si>
  <si>
    <t>479-955-4801</t>
  </si>
  <si>
    <t>Hot Spring</t>
  </si>
  <si>
    <t>bagarner</t>
  </si>
  <si>
    <t>2|j[]f|pTTZY7</t>
  </si>
  <si>
    <t>Coleen</t>
  </si>
  <si>
    <t>Morris</t>
  </si>
  <si>
    <t>coleen.morris@gmail.com</t>
  </si>
  <si>
    <t>Hal Morris</t>
  </si>
  <si>
    <t>Deann Morris</t>
  </si>
  <si>
    <t>058-02-1043</t>
  </si>
  <si>
    <t>215-600-1535</t>
  </si>
  <si>
    <t>Holmes</t>
  </si>
  <si>
    <t>Delaware</t>
  </si>
  <si>
    <t>cvmorris</t>
  </si>
  <si>
    <t>Maib-92;G</t>
  </si>
  <si>
    <t>Marci</t>
  </si>
  <si>
    <t>marci.alvarado@gmail.com</t>
  </si>
  <si>
    <t>Felix Alvarado</t>
  </si>
  <si>
    <t>Ronda Alvarado</t>
  </si>
  <si>
    <t>Ochoa</t>
  </si>
  <si>
    <t>428-99-9355</t>
  </si>
  <si>
    <t>803-237-9797</t>
  </si>
  <si>
    <t>Bowling Green</t>
  </si>
  <si>
    <t>moalvarado</t>
  </si>
  <si>
    <t>S2i0hVZ25hN;&lt;</t>
  </si>
  <si>
    <t>Monty</t>
  </si>
  <si>
    <t>monty.lancaster@walmart.com</t>
  </si>
  <si>
    <t>Johnie Lancaster</t>
  </si>
  <si>
    <t>Elise Lancaster</t>
  </si>
  <si>
    <t>759-12-6657</t>
  </si>
  <si>
    <t>236-489-0926</t>
  </si>
  <si>
    <t>Sedley</t>
  </si>
  <si>
    <t>Southampton</t>
  </si>
  <si>
    <t>mrlancaster</t>
  </si>
  <si>
    <t>j7?pg#Oh.8q</t>
  </si>
  <si>
    <t>Norris</t>
  </si>
  <si>
    <t>norris.adams@yahoo.com</t>
  </si>
  <si>
    <t>Parker Adams</t>
  </si>
  <si>
    <t>Socorro Adams</t>
  </si>
  <si>
    <t>551-99-9716</t>
  </si>
  <si>
    <t>215-214-5440</t>
  </si>
  <si>
    <t>Georgetown</t>
  </si>
  <si>
    <t>Beaver</t>
  </si>
  <si>
    <t>nradams</t>
  </si>
  <si>
    <t>r#h:F+Q\pd</t>
  </si>
  <si>
    <t>Elvira</t>
  </si>
  <si>
    <t>Byrd</t>
  </si>
  <si>
    <t>elvira.byrd@gmail.com</t>
  </si>
  <si>
    <t>Wilford Byrd</t>
  </si>
  <si>
    <t>Nadia Byrd</t>
  </si>
  <si>
    <t>552-99-8369</t>
  </si>
  <si>
    <t>270-690-8211</t>
  </si>
  <si>
    <t>Louisville</t>
  </si>
  <si>
    <t>edbyrd</t>
  </si>
  <si>
    <t>x[ZUnmeGuEH*</t>
  </si>
  <si>
    <t>Keven</t>
  </si>
  <si>
    <t>Logan</t>
  </si>
  <si>
    <t>keven.logan@gmail.com</t>
  </si>
  <si>
    <t>Douglas Logan</t>
  </si>
  <si>
    <t>Felicia Logan</t>
  </si>
  <si>
    <t>213-91-1279</t>
  </si>
  <si>
    <t>215-821-6108</t>
  </si>
  <si>
    <t>Philadelphia</t>
  </si>
  <si>
    <t>kelogan</t>
  </si>
  <si>
    <t>t[Zw&lt;/&gt;u</t>
  </si>
  <si>
    <t>Rosendo</t>
  </si>
  <si>
    <t>Rasmussen</t>
  </si>
  <si>
    <t>rosendo.rasmussen@earthlink.net</t>
  </si>
  <si>
    <t>Gregg Rasmussen</t>
  </si>
  <si>
    <t>Lesley Rasmussen</t>
  </si>
  <si>
    <t>474-55-7843</t>
  </si>
  <si>
    <t>209-570-8160</t>
  </si>
  <si>
    <t>Ripley</t>
  </si>
  <si>
    <t>rrrasmussen</t>
  </si>
  <si>
    <t>T[k8E-01</t>
  </si>
  <si>
    <t>Carly</t>
  </si>
  <si>
    <t>Leach</t>
  </si>
  <si>
    <t>carly.leach@cox.net</t>
  </si>
  <si>
    <t>Mary Leach</t>
  </si>
  <si>
    <t>Sondra Leach</t>
  </si>
  <si>
    <t>457-99-5283</t>
  </si>
  <si>
    <t>231-419-8211</t>
  </si>
  <si>
    <t>Oakland</t>
  </si>
  <si>
    <t>crleach</t>
  </si>
  <si>
    <t>Q&gt;R3JPD}\stAF</t>
  </si>
  <si>
    <t>Colleen</t>
  </si>
  <si>
    <t>colleen.bray@hotmail.com</t>
  </si>
  <si>
    <t>Terrell Bray</t>
  </si>
  <si>
    <t>Erma Bray</t>
  </si>
  <si>
    <t>614-87-2498</t>
  </si>
  <si>
    <t>239-748-0076</t>
  </si>
  <si>
    <t>Jacksonville</t>
  </si>
  <si>
    <t>Duval</t>
  </si>
  <si>
    <t>cnbray</t>
  </si>
  <si>
    <t>DPNL^?_dNw</t>
  </si>
  <si>
    <t>Ollie</t>
  </si>
  <si>
    <t>William</t>
  </si>
  <si>
    <t>ollie.william@verizon.net</t>
  </si>
  <si>
    <t>Bennie William</t>
  </si>
  <si>
    <t>Debora William</t>
  </si>
  <si>
    <t>Navarro</t>
  </si>
  <si>
    <t>542-81-4737</t>
  </si>
  <si>
    <t>210-447-5194</t>
  </si>
  <si>
    <t>Gillett</t>
  </si>
  <si>
    <t>Karnes</t>
  </si>
  <si>
    <t>ogwilliam</t>
  </si>
  <si>
    <t>Dcb~:Uo96q</t>
  </si>
  <si>
    <t>Hilario</t>
  </si>
  <si>
    <t>Vang</t>
  </si>
  <si>
    <t>hilario.vang@gmail.com</t>
  </si>
  <si>
    <t>Sergio Vang</t>
  </si>
  <si>
    <t>Latisha Vang</t>
  </si>
  <si>
    <t>176-86-5658</t>
  </si>
  <si>
    <t>212-345-2791</t>
  </si>
  <si>
    <t>Ridge</t>
  </si>
  <si>
    <t>hbvang</t>
  </si>
  <si>
    <t>lCqs|nMPMy8lPJ</t>
  </si>
  <si>
    <t>Nadine</t>
  </si>
  <si>
    <t>nadine.blanchard@exxonmobil.com</t>
  </si>
  <si>
    <t>Vernon Blanchard</t>
  </si>
  <si>
    <t>Concetta Blanchard</t>
  </si>
  <si>
    <t>Chaney</t>
  </si>
  <si>
    <t>010-94-5824</t>
  </si>
  <si>
    <t>209-571-2529</t>
  </si>
  <si>
    <t>Los Molinos</t>
  </si>
  <si>
    <t>Tehama</t>
  </si>
  <si>
    <t>nxblanchard</t>
  </si>
  <si>
    <t>rFaX&gt;{9d.A+j_h</t>
  </si>
  <si>
    <t>Wm</t>
  </si>
  <si>
    <t>wm.carroll@gmail.com</t>
  </si>
  <si>
    <t>Patrick Carroll</t>
  </si>
  <si>
    <t>Shawna Carroll</t>
  </si>
  <si>
    <t>114-98-9215</t>
  </si>
  <si>
    <t>212-333-9668</t>
  </si>
  <si>
    <t>Unionville</t>
  </si>
  <si>
    <t>wccarroll</t>
  </si>
  <si>
    <t>Kj@}[v&lt;]4_/yn</t>
  </si>
  <si>
    <t>Minnie</t>
  </si>
  <si>
    <t>Mckee</t>
  </si>
  <si>
    <t>minnie.mckee@gmail.com</t>
  </si>
  <si>
    <t>Rickey Mckee</t>
  </si>
  <si>
    <t>Elnora Mckee</t>
  </si>
  <si>
    <t>353-08-1806</t>
  </si>
  <si>
    <t>216-831-2721</t>
  </si>
  <si>
    <t>Swanton</t>
  </si>
  <si>
    <t>mbmckee</t>
  </si>
  <si>
    <t>e/EKgLY/mY</t>
  </si>
  <si>
    <t>Angela</t>
  </si>
  <si>
    <t>angela.compton@gmail.com</t>
  </si>
  <si>
    <t>Terry Compton</t>
  </si>
  <si>
    <t>Ava Compton</t>
  </si>
  <si>
    <t>045-15-8779</t>
  </si>
  <si>
    <t>802-785-3606</t>
  </si>
  <si>
    <t>Middletown Springs</t>
  </si>
  <si>
    <t>Rutland</t>
  </si>
  <si>
    <t>amcompton</t>
  </si>
  <si>
    <t>jjnQQt9DZi</t>
  </si>
  <si>
    <t>lillian.gill@gmail.com</t>
  </si>
  <si>
    <t>Son Gill</t>
  </si>
  <si>
    <t>Heather Gill</t>
  </si>
  <si>
    <t>258-99-9431</t>
  </si>
  <si>
    <t>505-396-0307</t>
  </si>
  <si>
    <t>Claunch</t>
  </si>
  <si>
    <t>Socorro</t>
  </si>
  <si>
    <t>lhgill</t>
  </si>
  <si>
    <t>E1^iR6&amp;Y}51;c</t>
  </si>
  <si>
    <t>Bob</t>
  </si>
  <si>
    <t>bob.weiss@hotmail.com</t>
  </si>
  <si>
    <t>Vernon Weiss</t>
  </si>
  <si>
    <t>Dorothy Weiss</t>
  </si>
  <si>
    <t>143-23-1339</t>
  </si>
  <si>
    <t>212-927-2029</t>
  </si>
  <si>
    <t>North Collins</t>
  </si>
  <si>
    <t>Erie</t>
  </si>
  <si>
    <t>bwweiss</t>
  </si>
  <si>
    <t>7Z3pv~48p&gt;</t>
  </si>
  <si>
    <t>Edwin</t>
  </si>
  <si>
    <t>edwin.perez@gmail.com</t>
  </si>
  <si>
    <t>Alton Perez</t>
  </si>
  <si>
    <t>Alison Perez</t>
  </si>
  <si>
    <t>339-11-7841</t>
  </si>
  <si>
    <t>262-268-3289</t>
  </si>
  <si>
    <t>Crivitz</t>
  </si>
  <si>
    <t>Marinette</t>
  </si>
  <si>
    <t>eaperez</t>
  </si>
  <si>
    <t>AUNjyd~w;144&amp;&gt;</t>
  </si>
  <si>
    <t>bernardo.langley@hotmail.com</t>
  </si>
  <si>
    <t>Tanner Langley</t>
  </si>
  <si>
    <t>Angel Langley</t>
  </si>
  <si>
    <t>350-08-5414</t>
  </si>
  <si>
    <t>229-818-8713</t>
  </si>
  <si>
    <t>bwlangley</t>
  </si>
  <si>
    <t>xZU~V&lt;.&amp;^d8</t>
  </si>
  <si>
    <t>william.morrison@gmail.com</t>
  </si>
  <si>
    <t>Caleb Morrison</t>
  </si>
  <si>
    <t>Sondra Morrison</t>
  </si>
  <si>
    <t>Burgess</t>
  </si>
  <si>
    <t>620-85-9976</t>
  </si>
  <si>
    <t>405-559-1017</t>
  </si>
  <si>
    <t>Longdale</t>
  </si>
  <si>
    <t>wkmorrison</t>
  </si>
  <si>
    <t>J0LrzvJ#VtS</t>
  </si>
  <si>
    <t>Osborne</t>
  </si>
  <si>
    <t>vance.osborne@shaw.ca</t>
  </si>
  <si>
    <t>Brent Osborne</t>
  </si>
  <si>
    <t>Sharlene Osborne</t>
  </si>
  <si>
    <t>728-14-3717</t>
  </si>
  <si>
    <t>503-546-8875</t>
  </si>
  <si>
    <t>Independence</t>
  </si>
  <si>
    <t>vaosborne</t>
  </si>
  <si>
    <t>tPIA&amp;tanN8t:X</t>
  </si>
  <si>
    <t>Edmund</t>
  </si>
  <si>
    <t>edmund.salas@aol.com</t>
  </si>
  <si>
    <t>Carlo Salas</t>
  </si>
  <si>
    <t>Nicole Salas</t>
  </si>
  <si>
    <t>717-18-6482</t>
  </si>
  <si>
    <t>217-682-7457</t>
  </si>
  <si>
    <t>Hillsboro</t>
  </si>
  <si>
    <t>eesalas</t>
  </si>
  <si>
    <t>2uSg^~?^&amp;</t>
  </si>
  <si>
    <t>Imogene</t>
  </si>
  <si>
    <t>imogene.sanders@yahoo.com</t>
  </si>
  <si>
    <t>Dudley Sanders</t>
  </si>
  <si>
    <t>Roslyn Sanders</t>
  </si>
  <si>
    <t>Santana</t>
  </si>
  <si>
    <t>681-24-8302</t>
  </si>
  <si>
    <t>319-714-7958</t>
  </si>
  <si>
    <t>Hayesville</t>
  </si>
  <si>
    <t>Keokuk</t>
  </si>
  <si>
    <t>iosanders</t>
  </si>
  <si>
    <t>bRxABKKH?d2:</t>
  </si>
  <si>
    <t>Darin</t>
  </si>
  <si>
    <t>darin.callahan@gmail.com</t>
  </si>
  <si>
    <t>Jay Callahan</t>
  </si>
  <si>
    <t>Ronda Callahan</t>
  </si>
  <si>
    <t>Livingston</t>
  </si>
  <si>
    <t>381-37-2114</t>
  </si>
  <si>
    <t>406-263-9628</t>
  </si>
  <si>
    <t>Avon</t>
  </si>
  <si>
    <t>Powell</t>
  </si>
  <si>
    <t>dfcallahan</t>
  </si>
  <si>
    <t>ft}IPjQ$t!y</t>
  </si>
  <si>
    <t>Loretta</t>
  </si>
  <si>
    <t>Sawyer</t>
  </si>
  <si>
    <t>loretta.sawyer@hotmail.com</t>
  </si>
  <si>
    <t>Terence Sawyer</t>
  </si>
  <si>
    <t>Vickie Sawyer</t>
  </si>
  <si>
    <t>Beasley</t>
  </si>
  <si>
    <t>069-02-8229</t>
  </si>
  <si>
    <t>270-277-4308</t>
  </si>
  <si>
    <t>Nerinx</t>
  </si>
  <si>
    <t>lmsawyer</t>
  </si>
  <si>
    <t>Xwm/0isr9T{f+</t>
  </si>
  <si>
    <t>Olive</t>
  </si>
  <si>
    <t>olive.livingston@charter.net</t>
  </si>
  <si>
    <t>Wiley Livingston</t>
  </si>
  <si>
    <t>Amanda Livingston</t>
  </si>
  <si>
    <t>Cote</t>
  </si>
  <si>
    <t>429-99-4646</t>
  </si>
  <si>
    <t>314-500-3453</t>
  </si>
  <si>
    <t>Alba</t>
  </si>
  <si>
    <t>ollivingston</t>
  </si>
  <si>
    <t>u~f!bRIHwDQY1</t>
  </si>
  <si>
    <t>Gino</t>
  </si>
  <si>
    <t>Mcconnell</t>
  </si>
  <si>
    <t>gino.mcconnell@aol.com</t>
  </si>
  <si>
    <t>Rich Mcconnell</t>
  </si>
  <si>
    <t>Kimberly Mcconnell</t>
  </si>
  <si>
    <t>Stone</t>
  </si>
  <si>
    <t>691-18-9714</t>
  </si>
  <si>
    <t>803-885-7673</t>
  </si>
  <si>
    <t>Coosawatchie</t>
  </si>
  <si>
    <t>gamcconnell</t>
  </si>
  <si>
    <t>jFqP&amp;q/9%CJ/I</t>
  </si>
  <si>
    <t>fred.hayes@yahoo.com</t>
  </si>
  <si>
    <t>Armando Hayes</t>
  </si>
  <si>
    <t>Harriet Hayes</t>
  </si>
  <si>
    <t>241-99-6276</t>
  </si>
  <si>
    <t>228-610-8759</t>
  </si>
  <si>
    <t>Pleasant Grove</t>
  </si>
  <si>
    <t>fehayes</t>
  </si>
  <si>
    <t>FM&amp;o*9hh4KoJ</t>
  </si>
  <si>
    <t>nelson.wilkins@earthlink.net</t>
  </si>
  <si>
    <t>Edwin Wilkins</t>
  </si>
  <si>
    <t>Bertha Wilkins</t>
  </si>
  <si>
    <t>592-99-8788</t>
  </si>
  <si>
    <t>479-735-4213</t>
  </si>
  <si>
    <t>Fort Smith</t>
  </si>
  <si>
    <t>Sebastian</t>
  </si>
  <si>
    <t>nowilkins</t>
  </si>
  <si>
    <t>Bvdbp_9uk</t>
  </si>
  <si>
    <t>joyce.hooper@hotmail.com</t>
  </si>
  <si>
    <t>Horace Hooper</t>
  </si>
  <si>
    <t>Priscilla Hooper</t>
  </si>
  <si>
    <t>211-84-7533</t>
  </si>
  <si>
    <t>270-280-4283</t>
  </si>
  <si>
    <t>Calloway</t>
  </si>
  <si>
    <t>jkhooper</t>
  </si>
  <si>
    <t>fi!IFMNi&lt;9k</t>
  </si>
  <si>
    <t>Juliana</t>
  </si>
  <si>
    <t>Rowland</t>
  </si>
  <si>
    <t>juliana.rowland@aol.com</t>
  </si>
  <si>
    <t>Carson Rowland</t>
  </si>
  <si>
    <t>Lisa Rowland</t>
  </si>
  <si>
    <t>Fields</t>
  </si>
  <si>
    <t>104-02-6452</t>
  </si>
  <si>
    <t>314-819-1491</t>
  </si>
  <si>
    <t>jwrowland</t>
  </si>
  <si>
    <t>Z}N2lR.Mqm~y_M%</t>
  </si>
  <si>
    <t>Mack</t>
  </si>
  <si>
    <t>norris.mack@yahoo.co.in</t>
  </si>
  <si>
    <t>Cliff Mack</t>
  </si>
  <si>
    <t>Mavis Mack</t>
  </si>
  <si>
    <t>Bean</t>
  </si>
  <si>
    <t>011-94-3680</t>
  </si>
  <si>
    <t>339-617-2666</t>
  </si>
  <si>
    <t>Erving</t>
  </si>
  <si>
    <t>nsmack</t>
  </si>
  <si>
    <t>O9%PGE4VjZ[E</t>
  </si>
  <si>
    <t>Tom</t>
  </si>
  <si>
    <t>tom.frye@gmail.com</t>
  </si>
  <si>
    <t>Javier Frye</t>
  </si>
  <si>
    <t>Willa Frye</t>
  </si>
  <si>
    <t>Mckenzie</t>
  </si>
  <si>
    <t>655-36-6334</t>
  </si>
  <si>
    <t>225-574-3475</t>
  </si>
  <si>
    <t>Deridder</t>
  </si>
  <si>
    <t>Beauregard</t>
  </si>
  <si>
    <t>tbfrye</t>
  </si>
  <si>
    <t>u%XVyxtwE8u2C</t>
  </si>
  <si>
    <t>Josephine</t>
  </si>
  <si>
    <t>josephine.pitts@hotmail.com</t>
  </si>
  <si>
    <t>Santos Pitts</t>
  </si>
  <si>
    <t>Rachael Pitts</t>
  </si>
  <si>
    <t>285-15-3625</t>
  </si>
  <si>
    <t>216-702-5455</t>
  </si>
  <si>
    <t>Reynoldsburg</t>
  </si>
  <si>
    <t>jgpitts</t>
  </si>
  <si>
    <t>iZ9ikk~TAMRmvP</t>
  </si>
  <si>
    <t>Les</t>
  </si>
  <si>
    <t>les.brady@gmail.com</t>
  </si>
  <si>
    <t>Maynard Brady</t>
  </si>
  <si>
    <t>Berta Brady</t>
  </si>
  <si>
    <t>Santos</t>
  </si>
  <si>
    <t>240-99-4848</t>
  </si>
  <si>
    <t>206-830-5542</t>
  </si>
  <si>
    <t>Tacoma</t>
  </si>
  <si>
    <t>lwbrady</t>
  </si>
  <si>
    <t>t7So}Zu-z</t>
  </si>
  <si>
    <t>Jaime</t>
  </si>
  <si>
    <t>Avery</t>
  </si>
  <si>
    <t>jaime.avery@aol.com</t>
  </si>
  <si>
    <t>Dannie Avery</t>
  </si>
  <si>
    <t>Corinne Avery</t>
  </si>
  <si>
    <t>Morales</t>
  </si>
  <si>
    <t>144-23-1324</t>
  </si>
  <si>
    <t>701-430-8105</t>
  </si>
  <si>
    <t>Verona</t>
  </si>
  <si>
    <t>LaMoure</t>
  </si>
  <si>
    <t>jmavery</t>
  </si>
  <si>
    <t>1}DZ3eDCPX^</t>
  </si>
  <si>
    <t>Marissa</t>
  </si>
  <si>
    <t>marissa.caldwell@aol.com</t>
  </si>
  <si>
    <t>Raymundo Caldwell</t>
  </si>
  <si>
    <t>Greta Caldwell</t>
  </si>
  <si>
    <t>560-99-3843</t>
  </si>
  <si>
    <t>229-266-9475</t>
  </si>
  <si>
    <t>mlcaldwell</t>
  </si>
  <si>
    <t>acZQ9B]TFF}2</t>
  </si>
  <si>
    <t>Lavern</t>
  </si>
  <si>
    <t>lavern.gardner@aol.com</t>
  </si>
  <si>
    <t>Josiah Gardner</t>
  </si>
  <si>
    <t>Lorie Gardner</t>
  </si>
  <si>
    <t>385-37-9685</t>
  </si>
  <si>
    <t>219-973-4977</t>
  </si>
  <si>
    <t>lxgardner</t>
  </si>
  <si>
    <t>aRg&lt;n9!GrVUkZ6</t>
  </si>
  <si>
    <t>Evangeline</t>
  </si>
  <si>
    <t>evangeline.mejia@gmail.com</t>
  </si>
  <si>
    <t>Jacob Mejia</t>
  </si>
  <si>
    <t>Gwendolyn Mejia</t>
  </si>
  <si>
    <t>202-84-5766</t>
  </si>
  <si>
    <t>385-955-8462</t>
  </si>
  <si>
    <t>Cedar City</t>
  </si>
  <si>
    <t>Iron</t>
  </si>
  <si>
    <t>ekmejia</t>
  </si>
  <si>
    <t>9&lt;*iuMkVX0O</t>
  </si>
  <si>
    <t>Brandy</t>
  </si>
  <si>
    <t>Carr</t>
  </si>
  <si>
    <t>brandy.carr@btinternet.com</t>
  </si>
  <si>
    <t>Silas Carr</t>
  </si>
  <si>
    <t>Nadia Carr</t>
  </si>
  <si>
    <t>228-99-6983</t>
  </si>
  <si>
    <t>701-618-4337</t>
  </si>
  <si>
    <t>Watford City</t>
  </si>
  <si>
    <t>McKenzie</t>
  </si>
  <si>
    <t>bocarr</t>
  </si>
  <si>
    <t>PVc!^1+enB3</t>
  </si>
  <si>
    <t>Manning</t>
  </si>
  <si>
    <t>molly.manning@hotmail.com</t>
  </si>
  <si>
    <t>Marshall Manning</t>
  </si>
  <si>
    <t>Elise Manning</t>
  </si>
  <si>
    <t>Talley</t>
  </si>
  <si>
    <t>302-15-1318</t>
  </si>
  <si>
    <t>316-214-2098</t>
  </si>
  <si>
    <t>Russell Springs</t>
  </si>
  <si>
    <t>momanning</t>
  </si>
  <si>
    <t>l$\j}u\^UuIY7</t>
  </si>
  <si>
    <t>Gale</t>
  </si>
  <si>
    <t>gale.perez@rediffmail.com</t>
  </si>
  <si>
    <t>Bradford Perez</t>
  </si>
  <si>
    <t>Terri Perez</t>
  </si>
  <si>
    <t>514-31-5757</t>
  </si>
  <si>
    <t>701-825-3358</t>
  </si>
  <si>
    <t>Killdeer</t>
  </si>
  <si>
    <t>Dunn</t>
  </si>
  <si>
    <t>grperez</t>
  </si>
  <si>
    <t>qcLj0_C|0Pt</t>
  </si>
  <si>
    <t>Merlin</t>
  </si>
  <si>
    <t>merlin.yates@yahoo.co.uk</t>
  </si>
  <si>
    <t>Carlton Yates</t>
  </si>
  <si>
    <t>Liz Yates</t>
  </si>
  <si>
    <t>695-16-9603</t>
  </si>
  <si>
    <t>215-757-1383</t>
  </si>
  <si>
    <t>Fawn Grove</t>
  </si>
  <si>
    <t>mzyates</t>
  </si>
  <si>
    <t>5Vq4x&lt;9LuCnxEA</t>
  </si>
  <si>
    <t>Mooney</t>
  </si>
  <si>
    <t>nelson.mooney@yahoo.com</t>
  </si>
  <si>
    <t>Terry Mooney</t>
  </si>
  <si>
    <t>Violet Mooney</t>
  </si>
  <si>
    <t>469-57-4220</t>
  </si>
  <si>
    <t>314-674-3119</t>
  </si>
  <si>
    <t>California</t>
  </si>
  <si>
    <t>nhmooney</t>
  </si>
  <si>
    <t>KLhyrpN84.it</t>
  </si>
  <si>
    <t>jackson.bass@gmail.com</t>
  </si>
  <si>
    <t>Leonardo Bass</t>
  </si>
  <si>
    <t>Natalia Bass</t>
  </si>
  <si>
    <t>327-11-0796</t>
  </si>
  <si>
    <t>228-942-3725</t>
  </si>
  <si>
    <t>jebass</t>
  </si>
  <si>
    <t>0MrynZ&gt;O$5DbcuS</t>
  </si>
  <si>
    <t>Trisha</t>
  </si>
  <si>
    <t>trisha.mueller@bp.com</t>
  </si>
  <si>
    <t>Lance Mueller</t>
  </si>
  <si>
    <t>Pat Mueller</t>
  </si>
  <si>
    <t>156-23-0167</t>
  </si>
  <si>
    <t>212-514-3604</t>
  </si>
  <si>
    <t>Niverville</t>
  </si>
  <si>
    <t>tumueller</t>
  </si>
  <si>
    <t>9rC7U6_iaF@{k}x</t>
  </si>
  <si>
    <t>Lilia</t>
  </si>
  <si>
    <t>lilia.collins@yahoo.com</t>
  </si>
  <si>
    <t>Tommie Collins</t>
  </si>
  <si>
    <t>Rosanne Collins</t>
  </si>
  <si>
    <t>Alston</t>
  </si>
  <si>
    <t>218-89-1286</t>
  </si>
  <si>
    <t>209-724-7936</t>
  </si>
  <si>
    <t>Aromas</t>
  </si>
  <si>
    <t>Monterey</t>
  </si>
  <si>
    <t>licollins</t>
  </si>
  <si>
    <t>6ms_xt/ct%Qzb</t>
  </si>
  <si>
    <t>Cantu</t>
  </si>
  <si>
    <t>kimberly.cantu@yahoo.com</t>
  </si>
  <si>
    <t>Ronnie Cantu</t>
  </si>
  <si>
    <t>Shari Cantu</t>
  </si>
  <si>
    <t>Stuart</t>
  </si>
  <si>
    <t>226-99-7374</t>
  </si>
  <si>
    <t>308-517-8706</t>
  </si>
  <si>
    <t>Kenesaw</t>
  </si>
  <si>
    <t>krcantu</t>
  </si>
  <si>
    <t>8ZfhIzDFSI+xi-</t>
  </si>
  <si>
    <t>luciano.jordan@aol.com</t>
  </si>
  <si>
    <t>Carey Jordan</t>
  </si>
  <si>
    <t>Aimee Jordan</t>
  </si>
  <si>
    <t>031-92-1343</t>
  </si>
  <si>
    <t>212-601-9238</t>
  </si>
  <si>
    <t>Geneseo</t>
  </si>
  <si>
    <t>lbjordan</t>
  </si>
  <si>
    <t>LFSbj6M.OP1[1W</t>
  </si>
  <si>
    <t>Danny</t>
  </si>
  <si>
    <t>danny.robbins@hotmail.com</t>
  </si>
  <si>
    <t>Jonah Robbins</t>
  </si>
  <si>
    <t>Barbra Robbins</t>
  </si>
  <si>
    <t>586-67-4518</t>
  </si>
  <si>
    <t>219-323-1225</t>
  </si>
  <si>
    <t>Bluffton</t>
  </si>
  <si>
    <t>dhrobbins</t>
  </si>
  <si>
    <t>ZuMN9Sjq</t>
  </si>
  <si>
    <t>Wilfredo</t>
  </si>
  <si>
    <t>wilfredo.richards@gmail.com</t>
  </si>
  <si>
    <t>Enrique Richards</t>
  </si>
  <si>
    <t>Marsha Richards</t>
  </si>
  <si>
    <t>356-08-5270</t>
  </si>
  <si>
    <t>218-269-4257</t>
  </si>
  <si>
    <t>Randall</t>
  </si>
  <si>
    <t>wjrichards</t>
  </si>
  <si>
    <t>k|Eg!dp4}L!w</t>
  </si>
  <si>
    <t>Callie</t>
  </si>
  <si>
    <t>Snider</t>
  </si>
  <si>
    <t>callie.snider@yahoo.com</t>
  </si>
  <si>
    <t>Genaro Snider</t>
  </si>
  <si>
    <t>Luz Snider</t>
  </si>
  <si>
    <t>219-89-6568</t>
  </si>
  <si>
    <t>505-793-7860</t>
  </si>
  <si>
    <t>Ocate</t>
  </si>
  <si>
    <t>Mora</t>
  </si>
  <si>
    <t>cysnider</t>
  </si>
  <si>
    <t>94&lt;ECS&lt;@|ekH&gt;&gt;</t>
  </si>
  <si>
    <t>Rachelle</t>
  </si>
  <si>
    <t>Reed</t>
  </si>
  <si>
    <t>rachelle.reed@yahoo.co.uk</t>
  </si>
  <si>
    <t>Josiah Reed</t>
  </si>
  <si>
    <t>Yesenia Reed</t>
  </si>
  <si>
    <t>770-02-4059</t>
  </si>
  <si>
    <t>210-267-6023</t>
  </si>
  <si>
    <t>El Paso</t>
  </si>
  <si>
    <t>rjreed</t>
  </si>
  <si>
    <t>a~o$mqx1</t>
  </si>
  <si>
    <t>Bobbi</t>
  </si>
  <si>
    <t>Olson</t>
  </si>
  <si>
    <t>bobbi.olson@hotmail.com</t>
  </si>
  <si>
    <t>Cruz Olson</t>
  </si>
  <si>
    <t>Bernadine Olson</t>
  </si>
  <si>
    <t>313-35-8701</t>
  </si>
  <si>
    <t>319-758-4226</t>
  </si>
  <si>
    <t>Keystone</t>
  </si>
  <si>
    <t>bmolson</t>
  </si>
  <si>
    <t>b0CoEX?\X</t>
  </si>
  <si>
    <t>kris.richards@aol.com</t>
  </si>
  <si>
    <t>Newton Richards</t>
  </si>
  <si>
    <t>Robert Richards</t>
  </si>
  <si>
    <t>Russell</t>
  </si>
  <si>
    <t>512-33-0548</t>
  </si>
  <si>
    <t>314-830-8975</t>
  </si>
  <si>
    <t>Leeton</t>
  </si>
  <si>
    <t>ksrichards</t>
  </si>
  <si>
    <t>H+Ibu?khYD</t>
  </si>
  <si>
    <t>Meyer</t>
  </si>
  <si>
    <t>marissa.meyer@rediffmail.com</t>
  </si>
  <si>
    <t>Bruce Meyer</t>
  </si>
  <si>
    <t>Summer Meyer</t>
  </si>
  <si>
    <t>321-11-2706</t>
  </si>
  <si>
    <t>701-369-9836</t>
  </si>
  <si>
    <t>Davenport</t>
  </si>
  <si>
    <t>Cass</t>
  </si>
  <si>
    <t>mjmeyer</t>
  </si>
  <si>
    <t>8Bhk{4Bg</t>
  </si>
  <si>
    <t>Reese</t>
  </si>
  <si>
    <t>jamar.reese@hotmail.co.uk</t>
  </si>
  <si>
    <t>Tod Reese</t>
  </si>
  <si>
    <t>Eugenia Reese</t>
  </si>
  <si>
    <t>505-59-7074</t>
  </si>
  <si>
    <t>405-738-3960</t>
  </si>
  <si>
    <t>Texola</t>
  </si>
  <si>
    <t>Beckham</t>
  </si>
  <si>
    <t>jzreese</t>
  </si>
  <si>
    <t>RGL\OoeE?+&gt;</t>
  </si>
  <si>
    <t>Nelda</t>
  </si>
  <si>
    <t>Webster</t>
  </si>
  <si>
    <t>nelda.webster@gmail.com</t>
  </si>
  <si>
    <t>Josue Webster</t>
  </si>
  <si>
    <t>Joy Webster</t>
  </si>
  <si>
    <t>368-39-5885</t>
  </si>
  <si>
    <t>229-950-3117</t>
  </si>
  <si>
    <t>Columbus</t>
  </si>
  <si>
    <t>Muscogee</t>
  </si>
  <si>
    <t>newebster</t>
  </si>
  <si>
    <t>WrZHypJ.&gt;</t>
  </si>
  <si>
    <t>carolina.bruce@aol.com</t>
  </si>
  <si>
    <t>Charlie Bruce</t>
  </si>
  <si>
    <t>Rosalie Bruce</t>
  </si>
  <si>
    <t>Lott</t>
  </si>
  <si>
    <t>156-23-5637</t>
  </si>
  <si>
    <t>201-569-3227</t>
  </si>
  <si>
    <t>Newark</t>
  </si>
  <si>
    <t>cfbruce</t>
  </si>
  <si>
    <t>6r1ztN^9V</t>
  </si>
  <si>
    <t>Terri</t>
  </si>
  <si>
    <t>Phelps</t>
  </si>
  <si>
    <t>terri.phelps@microsoft.com</t>
  </si>
  <si>
    <t>Agustin Phelps</t>
  </si>
  <si>
    <t>Maryellen Phelps</t>
  </si>
  <si>
    <t>Goodman</t>
  </si>
  <si>
    <t>280-15-2470</t>
  </si>
  <si>
    <t>231-941-6394</t>
  </si>
  <si>
    <t>Copper City</t>
  </si>
  <si>
    <t>Houghton</t>
  </si>
  <si>
    <t>tkphelps</t>
  </si>
  <si>
    <t>E39a$cMD</t>
  </si>
  <si>
    <t>nestor.rosales@aol.com</t>
  </si>
  <si>
    <t>Lazaro Rosales</t>
  </si>
  <si>
    <t>Sally Rosales</t>
  </si>
  <si>
    <t>Larson</t>
  </si>
  <si>
    <t>027-92-0549</t>
  </si>
  <si>
    <t>423-342-5433</t>
  </si>
  <si>
    <t>Clarksville</t>
  </si>
  <si>
    <t>nlrosales</t>
  </si>
  <si>
    <t>qmqqs&lt;-kNvI</t>
  </si>
  <si>
    <t>Adrian</t>
  </si>
  <si>
    <t>adrian.robles@gmail.com</t>
  </si>
  <si>
    <t>Reid Robles</t>
  </si>
  <si>
    <t>Mallory Robles</t>
  </si>
  <si>
    <t>Simmons</t>
  </si>
  <si>
    <t>526-99-7519</t>
  </si>
  <si>
    <t>212-956-0905</t>
  </si>
  <si>
    <t>Glen Spey</t>
  </si>
  <si>
    <t>alrobles</t>
  </si>
  <si>
    <t>YS*jn1ClERUn</t>
  </si>
  <si>
    <t>Rios</t>
  </si>
  <si>
    <t>kyle.rios@yahoo.co.uk</t>
  </si>
  <si>
    <t>Brain Rios</t>
  </si>
  <si>
    <t>Gloria Rios</t>
  </si>
  <si>
    <t>331-11-3592</t>
  </si>
  <si>
    <t>303-875-0643</t>
  </si>
  <si>
    <t>Pine</t>
  </si>
  <si>
    <t>kyrios</t>
  </si>
  <si>
    <t>nW?*J&gt;&gt;U//K}</t>
  </si>
  <si>
    <t>Wilkinson</t>
  </si>
  <si>
    <t>domingo.wilkinson@outlook.com</t>
  </si>
  <si>
    <t>Kendall Wilkinson</t>
  </si>
  <si>
    <t>Maribel Wilkinson</t>
  </si>
  <si>
    <t>471-57-3328</t>
  </si>
  <si>
    <t>262-227-1790</t>
  </si>
  <si>
    <t>Milwaukee</t>
  </si>
  <si>
    <t>dywilkinson</t>
  </si>
  <si>
    <t>1^netFI1}/s7Jcy</t>
  </si>
  <si>
    <t>Leonardo</t>
  </si>
  <si>
    <t>Bird</t>
  </si>
  <si>
    <t>leonardo.bird@bp.com</t>
  </si>
  <si>
    <t>Damon Bird</t>
  </si>
  <si>
    <t>Vivian Bird</t>
  </si>
  <si>
    <t>Aguirre</t>
  </si>
  <si>
    <t>495-29-1676</t>
  </si>
  <si>
    <t>228-228-5325</t>
  </si>
  <si>
    <t>Noxubee</t>
  </si>
  <si>
    <t>ltbird</t>
  </si>
  <si>
    <t>e:7JFAL]gmw3zm</t>
  </si>
  <si>
    <t>Hubert</t>
  </si>
  <si>
    <t>hubert.zimmerman@gmail.com</t>
  </si>
  <si>
    <t>Wilson Zimmerman</t>
  </si>
  <si>
    <t>Kelsey Zimmerman</t>
  </si>
  <si>
    <t>076-02-8334</t>
  </si>
  <si>
    <t>270-258-3097</t>
  </si>
  <si>
    <t>hpzimmerman</t>
  </si>
  <si>
    <t>8V%:ss\-njA{</t>
  </si>
  <si>
    <t>kory.frank@yahoo.co.in</t>
  </si>
  <si>
    <t>Sales</t>
  </si>
  <si>
    <t>Arturo Frank</t>
  </si>
  <si>
    <t>Diane Frank</t>
  </si>
  <si>
    <t>654-38-6993</t>
  </si>
  <si>
    <t>205-760-7355</t>
  </si>
  <si>
    <t>Leeds</t>
  </si>
  <si>
    <t>kgfrank</t>
  </si>
  <si>
    <t>CuUQ\7U4t_e!HX</t>
  </si>
  <si>
    <t>Tami</t>
  </si>
  <si>
    <t>tami.hayes@gmail.com</t>
  </si>
  <si>
    <t>Harley Hayes</t>
  </si>
  <si>
    <t>Ella Hayes</t>
  </si>
  <si>
    <t>413-99-8525</t>
  </si>
  <si>
    <t>307-371-2781</t>
  </si>
  <si>
    <t>tzhayes</t>
  </si>
  <si>
    <t>Ma}a$t~}mm}HeLC</t>
  </si>
  <si>
    <t>Amanda</t>
  </si>
  <si>
    <t>amanda.carr@gmail.com</t>
  </si>
  <si>
    <t>Everett Carr</t>
  </si>
  <si>
    <t>Marcella Carr</t>
  </si>
  <si>
    <t>510-33-9678</t>
  </si>
  <si>
    <t>210-872-1018</t>
  </si>
  <si>
    <t>Agua Dulce</t>
  </si>
  <si>
    <t>Nueces</t>
  </si>
  <si>
    <t>aycarr</t>
  </si>
  <si>
    <t>FyJlDR]4</t>
  </si>
  <si>
    <t>Stephen</t>
  </si>
  <si>
    <t>Bauer</t>
  </si>
  <si>
    <t>stephen.bauer@sbcglobal.net</t>
  </si>
  <si>
    <t>August Bauer</t>
  </si>
  <si>
    <t>Jessica Bauer</t>
  </si>
  <si>
    <t>071-02-1344</t>
  </si>
  <si>
    <t>201-262-7702</t>
  </si>
  <si>
    <t>Jersey City</t>
  </si>
  <si>
    <t>Hudson</t>
  </si>
  <si>
    <t>sjbauer</t>
  </si>
  <si>
    <t>4x4^ctqA~4</t>
  </si>
  <si>
    <t>Johnie</t>
  </si>
  <si>
    <t>johnie.carney@yahoo.com</t>
  </si>
  <si>
    <t>Herschel Carney</t>
  </si>
  <si>
    <t>Alison Carney</t>
  </si>
  <si>
    <t>044-15-2958</t>
  </si>
  <si>
    <t>236-562-1999</t>
  </si>
  <si>
    <t>Stanardsville</t>
  </si>
  <si>
    <t>jgcarney</t>
  </si>
  <si>
    <t>jqJpw@i[st</t>
  </si>
  <si>
    <t>Rebekah</t>
  </si>
  <si>
    <t>Hull</t>
  </si>
  <si>
    <t>rebekah.hull@earthlink.net</t>
  </si>
  <si>
    <t>Vincent Hull</t>
  </si>
  <si>
    <t>Ida Hull</t>
  </si>
  <si>
    <t>240-99-2092</t>
  </si>
  <si>
    <t>303-243-8627</t>
  </si>
  <si>
    <t>Glen Haven</t>
  </si>
  <si>
    <t>Larimer</t>
  </si>
  <si>
    <t>rjhull</t>
  </si>
  <si>
    <t>Zf3rjz\UV</t>
  </si>
  <si>
    <t>Kelly</t>
  </si>
  <si>
    <t>kelly.spence@yahoo.co.uk</t>
  </si>
  <si>
    <t>Loyd Spence</t>
  </si>
  <si>
    <t>Kellie Spence</t>
  </si>
  <si>
    <t>Lang</t>
  </si>
  <si>
    <t>643-29-0812</t>
  </si>
  <si>
    <t>210-574-2395</t>
  </si>
  <si>
    <t>Penwell</t>
  </si>
  <si>
    <t>kgspence</t>
  </si>
  <si>
    <t>newwzzOi6%Ok9R+</t>
  </si>
  <si>
    <t>tracie.estes@hotmail.com</t>
  </si>
  <si>
    <t>Branden Estes</t>
  </si>
  <si>
    <t>Deloris Estes</t>
  </si>
  <si>
    <t>323-11-2842</t>
  </si>
  <si>
    <t>201-900-5228</t>
  </si>
  <si>
    <t>North Bergen</t>
  </si>
  <si>
    <t>tkestes</t>
  </si>
  <si>
    <t>6/FU*}/.CyRw1;&amp;</t>
  </si>
  <si>
    <t>Le</t>
  </si>
  <si>
    <t>bennett.le@gmail.com</t>
  </si>
  <si>
    <t>Eric Le</t>
  </si>
  <si>
    <t>Dixie Le</t>
  </si>
  <si>
    <t>Saunders</t>
  </si>
  <si>
    <t>524-99-8128</t>
  </si>
  <si>
    <t>252-545-5705</t>
  </si>
  <si>
    <t>Winston Salem</t>
  </si>
  <si>
    <t>Forsyth</t>
  </si>
  <si>
    <t>bhle</t>
  </si>
  <si>
    <t>5^_%N_BIq|YXgB</t>
  </si>
  <si>
    <t>Vernon</t>
  </si>
  <si>
    <t>vernon.bass@aol.com</t>
  </si>
  <si>
    <t>David Bass</t>
  </si>
  <si>
    <t>Alta Bass</t>
  </si>
  <si>
    <t>763-12-3837</t>
  </si>
  <si>
    <t>215-737-1085</t>
  </si>
  <si>
    <t>Hallstead</t>
  </si>
  <si>
    <t>Susquehanna</t>
  </si>
  <si>
    <t>vvbass</t>
  </si>
  <si>
    <t>MHr++F/_TjzDn%</t>
  </si>
  <si>
    <t>Theron</t>
  </si>
  <si>
    <t>Sweet</t>
  </si>
  <si>
    <t>theron.sweet@gmail.com</t>
  </si>
  <si>
    <t>Irwin Sweet</t>
  </si>
  <si>
    <t>Stefanie Sweet</t>
  </si>
  <si>
    <t>Downs</t>
  </si>
  <si>
    <t>394-33-3362</t>
  </si>
  <si>
    <t>209-659-1839</t>
  </si>
  <si>
    <t>tesweet</t>
  </si>
  <si>
    <t>0L?N4x@vy1q/4HW</t>
  </si>
  <si>
    <t>Ernie</t>
  </si>
  <si>
    <t>ernie.holden@yahoo.com</t>
  </si>
  <si>
    <t>Keith Holden</t>
  </si>
  <si>
    <t>Sherrie Holden</t>
  </si>
  <si>
    <t>131-98-7403</t>
  </si>
  <si>
    <t>316-629-8682</t>
  </si>
  <si>
    <t>eyholden</t>
  </si>
  <si>
    <t>m8^RYzxq</t>
  </si>
  <si>
    <t>Shawn</t>
  </si>
  <si>
    <t>shawn.rasmussen@gmail.com</t>
  </si>
  <si>
    <t>Abdul Rasmussen</t>
  </si>
  <si>
    <t>Jeannie Rasmussen</t>
  </si>
  <si>
    <t>Ryan</t>
  </si>
  <si>
    <t>405-73-3684</t>
  </si>
  <si>
    <t>218-496-2108</t>
  </si>
  <si>
    <t>Manhattan Beach</t>
  </si>
  <si>
    <t>scrasmussen</t>
  </si>
  <si>
    <t>n@^3~5bzj2</t>
  </si>
  <si>
    <t>Enrique</t>
  </si>
  <si>
    <t>enrique.adams@rediffmail.com</t>
  </si>
  <si>
    <t>Terrence Adams</t>
  </si>
  <si>
    <t>Kendra Adams</t>
  </si>
  <si>
    <t>332-11-4351</t>
  </si>
  <si>
    <t>405-571-4413</t>
  </si>
  <si>
    <t>Binger</t>
  </si>
  <si>
    <t>Caddo</t>
  </si>
  <si>
    <t>emadams</t>
  </si>
  <si>
    <t>D!YM^nPD8QN</t>
  </si>
  <si>
    <t>Aguilar</t>
  </si>
  <si>
    <t>ernie.aguilar@aol.com</t>
  </si>
  <si>
    <t>Wyatt Aguilar</t>
  </si>
  <si>
    <t>Virgie Aguilar</t>
  </si>
  <si>
    <t>478-43-2646</t>
  </si>
  <si>
    <t>210-379-4233</t>
  </si>
  <si>
    <t>Higgins</t>
  </si>
  <si>
    <t>Lipscomb</t>
  </si>
  <si>
    <t>ehaguilar</t>
  </si>
  <si>
    <t>XYuSEU*^SNl$N</t>
  </si>
  <si>
    <t>Carolyn</t>
  </si>
  <si>
    <t>carolyn.donaldson@gmail.com</t>
  </si>
  <si>
    <t>Ernie Donaldson</t>
  </si>
  <si>
    <t>Jana Donaldson</t>
  </si>
  <si>
    <t>579-53-2885</t>
  </si>
  <si>
    <t>231-530-3573</t>
  </si>
  <si>
    <t>Eben Junction</t>
  </si>
  <si>
    <t>Alger</t>
  </si>
  <si>
    <t>csdonaldson</t>
  </si>
  <si>
    <t>Mq6yrIN}k6</t>
  </si>
  <si>
    <t>Margie</t>
  </si>
  <si>
    <t>margie.deleon@sbcglobal.net</t>
  </si>
  <si>
    <t>Josh Deleon</t>
  </si>
  <si>
    <t>Jessica Deleon</t>
  </si>
  <si>
    <t>329-11-0331</t>
  </si>
  <si>
    <t>262-328-7339</t>
  </si>
  <si>
    <t>Port Washington</t>
  </si>
  <si>
    <t>Ozaukee</t>
  </si>
  <si>
    <t>A&gt;&lt;**d4h5t^yY</t>
  </si>
  <si>
    <t>keven.collins@gmail.com</t>
  </si>
  <si>
    <t>Dennis Collins</t>
  </si>
  <si>
    <t>Frankie Collins</t>
  </si>
  <si>
    <t>Lara</t>
  </si>
  <si>
    <t>294-15-0007</t>
  </si>
  <si>
    <t>479-891-5368</t>
  </si>
  <si>
    <t>kfcollins</t>
  </si>
  <si>
    <t>lr2_R?L^2</t>
  </si>
  <si>
    <t>bruce.colon@microsoft.com</t>
  </si>
  <si>
    <t>Dick Colon</t>
  </si>
  <si>
    <t>Abby Colon</t>
  </si>
  <si>
    <t>Huber</t>
  </si>
  <si>
    <t>533-71-6012</t>
  </si>
  <si>
    <t>231-408-6959</t>
  </si>
  <si>
    <t>Ida</t>
  </si>
  <si>
    <t>bqcolon</t>
  </si>
  <si>
    <t>xyg0b7hn;ab</t>
  </si>
  <si>
    <t>Kristen</t>
  </si>
  <si>
    <t>kristen.lott@msn.com</t>
  </si>
  <si>
    <t>Eric Lott</t>
  </si>
  <si>
    <t>Bobbi Lott</t>
  </si>
  <si>
    <t>Mcguire</t>
  </si>
  <si>
    <t>763-12-5424</t>
  </si>
  <si>
    <t>229-410-7907</t>
  </si>
  <si>
    <t>Smyrna</t>
  </si>
  <si>
    <t>Cobb</t>
  </si>
  <si>
    <t>kflott</t>
  </si>
  <si>
    <t>jZ_YE0yIB!v[l.&gt;</t>
  </si>
  <si>
    <t>howard.dodson@gmail.com</t>
  </si>
  <si>
    <t>Irving Dodson</t>
  </si>
  <si>
    <t>Leonor Dodson</t>
  </si>
  <si>
    <t>264-99-3310</t>
  </si>
  <si>
    <t>225-278-0032</t>
  </si>
  <si>
    <t>Elmer</t>
  </si>
  <si>
    <t>Rapides</t>
  </si>
  <si>
    <t>hxdodson</t>
  </si>
  <si>
    <t>e*Rz*6i.8V:]?</t>
  </si>
  <si>
    <t>Merle</t>
  </si>
  <si>
    <t>Britt</t>
  </si>
  <si>
    <t>merle.britt@aol.com</t>
  </si>
  <si>
    <t>Scott Britt</t>
  </si>
  <si>
    <t>Alfreda Britt</t>
  </si>
  <si>
    <t>314-35-7956</t>
  </si>
  <si>
    <t>218-565-3209</t>
  </si>
  <si>
    <t>Maple Plain</t>
  </si>
  <si>
    <t>Hennepin</t>
  </si>
  <si>
    <t>mrbritt</t>
  </si>
  <si>
    <t>LkVH6&lt;gqF#4!tb</t>
  </si>
  <si>
    <t>Hector</t>
  </si>
  <si>
    <t>hector.bradley@yahoo.com</t>
  </si>
  <si>
    <t>Scottie Bradley</t>
  </si>
  <si>
    <t>Hallie Bradley</t>
  </si>
  <si>
    <t>657-36-7842</t>
  </si>
  <si>
    <t>215-446-9901</t>
  </si>
  <si>
    <t>Northampton</t>
  </si>
  <si>
    <t>hdbradley</t>
  </si>
  <si>
    <t>7EupW/Z-llT</t>
  </si>
  <si>
    <t>Darnell</t>
  </si>
  <si>
    <t>Spencer</t>
  </si>
  <si>
    <t>darnell.spencer@aol.com</t>
  </si>
  <si>
    <t>Eloy Spencer</t>
  </si>
  <si>
    <t>Randi Spencer</t>
  </si>
  <si>
    <t>712-18-4439</t>
  </si>
  <si>
    <t>212-201-2194</t>
  </si>
  <si>
    <t>New York City</t>
  </si>
  <si>
    <t>New York</t>
  </si>
  <si>
    <t>ddspencer</t>
  </si>
  <si>
    <t>agF8bvM:!iCs$&amp;A</t>
  </si>
  <si>
    <t>janelle.william@hotmail.com</t>
  </si>
  <si>
    <t>Beau William</t>
  </si>
  <si>
    <t>Janine William</t>
  </si>
  <si>
    <t>250-99-7390</t>
  </si>
  <si>
    <t>907-713-8781</t>
  </si>
  <si>
    <t>Atqasuk</t>
  </si>
  <si>
    <t>North Slope</t>
  </si>
  <si>
    <t>jzwilliam</t>
  </si>
  <si>
    <t>Bxs@@&amp;G3Sl.</t>
  </si>
  <si>
    <t>Eula</t>
  </si>
  <si>
    <t>eula.atkinson@hotmail.com</t>
  </si>
  <si>
    <t>Josef Atkinson</t>
  </si>
  <si>
    <t>Juliana Atkinson</t>
  </si>
  <si>
    <t>Daniels</t>
  </si>
  <si>
    <t>699-16-1135</t>
  </si>
  <si>
    <t>270-896-2990</t>
  </si>
  <si>
    <t>Slemp</t>
  </si>
  <si>
    <t>Perry</t>
  </si>
  <si>
    <t>ehatkinson</t>
  </si>
  <si>
    <t>C:F1B\m\I</t>
  </si>
  <si>
    <t>Theresa</t>
  </si>
  <si>
    <t>Bender</t>
  </si>
  <si>
    <t>theresa.bender@gmail.com</t>
  </si>
  <si>
    <t>Daryl Bender</t>
  </si>
  <si>
    <t>Sherry Bender</t>
  </si>
  <si>
    <t>Harvey</t>
  </si>
  <si>
    <t>632-31-4546</t>
  </si>
  <si>
    <t>406-354-1359</t>
  </si>
  <si>
    <t>Sonnette</t>
  </si>
  <si>
    <t>tmbender</t>
  </si>
  <si>
    <t>4.[C3qdoo%pV</t>
  </si>
  <si>
    <t>Kimberley</t>
  </si>
  <si>
    <t>Jacobson</t>
  </si>
  <si>
    <t>kimberley.jacobson@gmail.com</t>
  </si>
  <si>
    <t>Julio Jacobson</t>
  </si>
  <si>
    <t>Jeri Jacobson</t>
  </si>
  <si>
    <t>Schultz</t>
  </si>
  <si>
    <t>064-02-7631</t>
  </si>
  <si>
    <t>314-694-4397</t>
  </si>
  <si>
    <t>Excelsior Springs</t>
  </si>
  <si>
    <t>kcjacobson</t>
  </si>
  <si>
    <t>Uq8pE_s[\M;Q6@5</t>
  </si>
  <si>
    <t>Angelita</t>
  </si>
  <si>
    <t>Reyes</t>
  </si>
  <si>
    <t>angelita.reyes@shaw.ca</t>
  </si>
  <si>
    <t>Johnny Reyes</t>
  </si>
  <si>
    <t>Susie Reyes</t>
  </si>
  <si>
    <t>384-37-1874</t>
  </si>
  <si>
    <t>231-348-5787</t>
  </si>
  <si>
    <t>West Bloomfield</t>
  </si>
  <si>
    <t>ajreyes</t>
  </si>
  <si>
    <t>8%zW%hUzI~sCDq</t>
  </si>
  <si>
    <t>Selma</t>
  </si>
  <si>
    <t>selma.floyd@hotmail.com</t>
  </si>
  <si>
    <t>Jared Floyd</t>
  </si>
  <si>
    <t>Marina Floyd</t>
  </si>
  <si>
    <t>132-98-3258</t>
  </si>
  <si>
    <t>201-890-6290</t>
  </si>
  <si>
    <t>Union City</t>
  </si>
  <si>
    <t>slfloyd</t>
  </si>
  <si>
    <t>Y7.&gt;7veD~</t>
  </si>
  <si>
    <t>Edna</t>
  </si>
  <si>
    <t>edna.paul@yahoo.com</t>
  </si>
  <si>
    <t>Donnell Paul</t>
  </si>
  <si>
    <t>Blanche Paul</t>
  </si>
  <si>
    <t>701-18-9565</t>
  </si>
  <si>
    <t>202-884-0157</t>
  </si>
  <si>
    <t>District of Columbia</t>
  </si>
  <si>
    <t>DC</t>
  </si>
  <si>
    <t>ebpaul</t>
  </si>
  <si>
    <t>0;/}7C#o;aKr8</t>
  </si>
  <si>
    <t>Dewayne</t>
  </si>
  <si>
    <t>dewayne.sheppard@gmail.com</t>
  </si>
  <si>
    <t>Jasper Sheppard</t>
  </si>
  <si>
    <t>June Sheppard</t>
  </si>
  <si>
    <t>Barnes</t>
  </si>
  <si>
    <t>174-86-5982</t>
  </si>
  <si>
    <t>314-751-4025</t>
  </si>
  <si>
    <t>dnsheppard</t>
  </si>
  <si>
    <t>YwdX;m@JA{&gt;@-t</t>
  </si>
  <si>
    <t>Rodriquez</t>
  </si>
  <si>
    <t>gale.rodriquez@ibm.com</t>
  </si>
  <si>
    <t>Clement Rodriquez</t>
  </si>
  <si>
    <t>Alma Rodriquez</t>
  </si>
  <si>
    <t>Ford</t>
  </si>
  <si>
    <t>092-02-5594</t>
  </si>
  <si>
    <t>218-967-8338</t>
  </si>
  <si>
    <t>Faribault</t>
  </si>
  <si>
    <t>gcrodriquez</t>
  </si>
  <si>
    <t>PU*MO&amp;Syj</t>
  </si>
  <si>
    <t>Cora</t>
  </si>
  <si>
    <t>cora.blackburn@gmail.com</t>
  </si>
  <si>
    <t>Orville Blackburn</t>
  </si>
  <si>
    <t>Rosa Blackburn</t>
  </si>
  <si>
    <t>Cox</t>
  </si>
  <si>
    <t>203-84-3823</t>
  </si>
  <si>
    <t>303-881-1240</t>
  </si>
  <si>
    <t>Colorado Springs</t>
  </si>
  <si>
    <t>cjblackburn</t>
  </si>
  <si>
    <t>6OHSp\Q$oz]!</t>
  </si>
  <si>
    <t>annmarie.roth@outlook.com</t>
  </si>
  <si>
    <t>Doyle Roth</t>
  </si>
  <si>
    <t>Courtney Roth</t>
  </si>
  <si>
    <t>Whitaker</t>
  </si>
  <si>
    <t>026-92-8374</t>
  </si>
  <si>
    <t>212-963-4986</t>
  </si>
  <si>
    <t>Bronx</t>
  </si>
  <si>
    <t>adroth</t>
  </si>
  <si>
    <t>nB.f2v~p</t>
  </si>
  <si>
    <t>owen.lopez@hotmail.co.uk</t>
  </si>
  <si>
    <t>Albert Lopez</t>
  </si>
  <si>
    <t>Sarah Lopez</t>
  </si>
  <si>
    <t>399-31-8754</t>
  </si>
  <si>
    <t>314-473-4852</t>
  </si>
  <si>
    <t>Joplin</t>
  </si>
  <si>
    <t>oylopez</t>
  </si>
  <si>
    <t>wF1dG|i~o~7Ii</t>
  </si>
  <si>
    <t>chrystal.pittman@gmail.com</t>
  </si>
  <si>
    <t>Dorian Pittman</t>
  </si>
  <si>
    <t>Tricia Pittman</t>
  </si>
  <si>
    <t>373-37-1916</t>
  </si>
  <si>
    <t>212-255-0536</t>
  </si>
  <si>
    <t>Wellesley Island</t>
  </si>
  <si>
    <t>czpittman</t>
  </si>
  <si>
    <t>LnVZUK?af?fwCl]</t>
  </si>
  <si>
    <t>thurman.daniel@gmail.com</t>
  </si>
  <si>
    <t>Jessie Daniel</t>
  </si>
  <si>
    <t>Stefanie Daniel</t>
  </si>
  <si>
    <t>117-98-3109</t>
  </si>
  <si>
    <t>319-660-0064</t>
  </si>
  <si>
    <t>Oakville</t>
  </si>
  <si>
    <t>Louisa</t>
  </si>
  <si>
    <t>trdaniel</t>
  </si>
  <si>
    <t>c6X~1JtZ8%5l&lt;</t>
  </si>
  <si>
    <t>darnell.hoffman@rediffmail.com</t>
  </si>
  <si>
    <t>Nelson Hoffman</t>
  </si>
  <si>
    <t>Darcy Hoffman</t>
  </si>
  <si>
    <t>506-57-3479</t>
  </si>
  <si>
    <t>406-889-6201</t>
  </si>
  <si>
    <t>Somers</t>
  </si>
  <si>
    <t>Flathead</t>
  </si>
  <si>
    <t>dqhoffman</t>
  </si>
  <si>
    <t>WWFYr-&amp;s}!{</t>
  </si>
  <si>
    <t>raymundo.sims@aol.com</t>
  </si>
  <si>
    <t>Mitchel Sims</t>
  </si>
  <si>
    <t>Flossie Sims</t>
  </si>
  <si>
    <t>348-08-8490</t>
  </si>
  <si>
    <t>218-865-5355</t>
  </si>
  <si>
    <t>Sargeant</t>
  </si>
  <si>
    <t>Mower</t>
  </si>
  <si>
    <t>rjsims</t>
  </si>
  <si>
    <t>Z?pkAt7VN1pB75</t>
  </si>
  <si>
    <t>Frederick</t>
  </si>
  <si>
    <t>frederick.graham@aol.com</t>
  </si>
  <si>
    <t>Malcolm Graham</t>
  </si>
  <si>
    <t>Pat Graham</t>
  </si>
  <si>
    <t>Cooke</t>
  </si>
  <si>
    <t>039-74-3734</t>
  </si>
  <si>
    <t>262-925-8981</t>
  </si>
  <si>
    <t>Tisch Mills</t>
  </si>
  <si>
    <t>Manitowoc</t>
  </si>
  <si>
    <t>fhgraham</t>
  </si>
  <si>
    <t>k$[$BkWFR</t>
  </si>
  <si>
    <t>Natalie</t>
  </si>
  <si>
    <t>natalie.marshall@outlook.com</t>
  </si>
  <si>
    <t>Hershel Marshall</t>
  </si>
  <si>
    <t>Teri Marshall</t>
  </si>
  <si>
    <t>Larsen</t>
  </si>
  <si>
    <t>465-99-7174</t>
  </si>
  <si>
    <t>202-347-7490</t>
  </si>
  <si>
    <t>npmarshall</t>
  </si>
  <si>
    <t>nwMk-&amp;N&amp;icFr</t>
  </si>
  <si>
    <t>Thad</t>
  </si>
  <si>
    <t>thad.franklin@charter.net</t>
  </si>
  <si>
    <t>Shelton Franklin</t>
  </si>
  <si>
    <t>Aurelia Franklin</t>
  </si>
  <si>
    <t>Cash</t>
  </si>
  <si>
    <t>695-16-9414</t>
  </si>
  <si>
    <t>423-587-6653</t>
  </si>
  <si>
    <t>Baxter</t>
  </si>
  <si>
    <t>trfranklin</t>
  </si>
  <si>
    <t>bXok9WHsPLW0]</t>
  </si>
  <si>
    <t>Belinda</t>
  </si>
  <si>
    <t>belinda.trujillo@btinternet.com</t>
  </si>
  <si>
    <t>Efren Trujillo</t>
  </si>
  <si>
    <t>Maryanne Trujillo</t>
  </si>
  <si>
    <t>651-62-6017</t>
  </si>
  <si>
    <t>319-756-6511</t>
  </si>
  <si>
    <t>Killduff</t>
  </si>
  <si>
    <t>bytrujillo</t>
  </si>
  <si>
    <t>U+Uq+eM^&gt;Zzkb6</t>
  </si>
  <si>
    <t>Rosanna</t>
  </si>
  <si>
    <t>rosanna.chase@yahoo.com</t>
  </si>
  <si>
    <t>Ashley Chase</t>
  </si>
  <si>
    <t>Shannon Chase</t>
  </si>
  <si>
    <t>230-99-8474</t>
  </si>
  <si>
    <t>406-613-2777</t>
  </si>
  <si>
    <t>Wolf Creek</t>
  </si>
  <si>
    <t>Lewis and Clark</t>
  </si>
  <si>
    <t>rpchase</t>
  </si>
  <si>
    <t>Ns|}b~_2_a</t>
  </si>
  <si>
    <t>Wilda</t>
  </si>
  <si>
    <t>wilda.rios@yahoo.com</t>
  </si>
  <si>
    <t>Jonathon Rios</t>
  </si>
  <si>
    <t>Penelope Rios</t>
  </si>
  <si>
    <t>206-84-2861</t>
  </si>
  <si>
    <t>207-782-0745</t>
  </si>
  <si>
    <t>Sebago</t>
  </si>
  <si>
    <t>Cumberland</t>
  </si>
  <si>
    <t>wirios</t>
  </si>
  <si>
    <t>D?y^Z:B7&amp;/</t>
  </si>
  <si>
    <t>Alyssa</t>
  </si>
  <si>
    <t>alyssa.marquez@gmail.com</t>
  </si>
  <si>
    <t>Quincy Marquez</t>
  </si>
  <si>
    <t>Johanna Marquez</t>
  </si>
  <si>
    <t>353-08-7747</t>
  </si>
  <si>
    <t>236-605-1693</t>
  </si>
  <si>
    <t>Saltville</t>
  </si>
  <si>
    <t>Smyth</t>
  </si>
  <si>
    <t>apmarquez</t>
  </si>
  <si>
    <t>58E*?Rc%gD</t>
  </si>
  <si>
    <t>liz.barry@gmail.com</t>
  </si>
  <si>
    <t>Bruno Barry</t>
  </si>
  <si>
    <t>Allie Barry</t>
  </si>
  <si>
    <t>Jacobs</t>
  </si>
  <si>
    <t>698-16-5440</t>
  </si>
  <si>
    <t>209-903-1796</t>
  </si>
  <si>
    <t>lebarry</t>
  </si>
  <si>
    <t>aqOo!UCor^iYfx</t>
  </si>
  <si>
    <t>Mariano</t>
  </si>
  <si>
    <t>mariano.lloyd@aol.com</t>
  </si>
  <si>
    <t>Otis Lloyd</t>
  </si>
  <si>
    <t>Margery Lloyd</t>
  </si>
  <si>
    <t>Gomez</t>
  </si>
  <si>
    <t>648-58-3097</t>
  </si>
  <si>
    <t>304-979-3524</t>
  </si>
  <si>
    <t>Ellamore</t>
  </si>
  <si>
    <t>mdlloyd</t>
  </si>
  <si>
    <t>bR~\e-JMZ1</t>
  </si>
  <si>
    <t>Moss</t>
  </si>
  <si>
    <t>forest.moss@yahoo.com</t>
  </si>
  <si>
    <t>Jack Moss</t>
  </si>
  <si>
    <t>Harriett Moss</t>
  </si>
  <si>
    <t>469-57-2790</t>
  </si>
  <si>
    <t>701-635-9553</t>
  </si>
  <si>
    <t>Fargo</t>
  </si>
  <si>
    <t>flmoss</t>
  </si>
  <si>
    <t>qPk&lt;1OvFFz]R</t>
  </si>
  <si>
    <t>gino.sullivan@exxonmobil.com</t>
  </si>
  <si>
    <t>Eugenio Sullivan</t>
  </si>
  <si>
    <t>Eddie Sullivan</t>
  </si>
  <si>
    <t>452-99-2078</t>
  </si>
  <si>
    <t>236-716-9172</t>
  </si>
  <si>
    <t>Earlysville</t>
  </si>
  <si>
    <t>Albemarle</t>
  </si>
  <si>
    <t>gksullivan</t>
  </si>
  <si>
    <t>f1gucevRr</t>
  </si>
  <si>
    <t>Jarred</t>
  </si>
  <si>
    <t>Bernard</t>
  </si>
  <si>
    <t>jarred.bernard@hotmail.com</t>
  </si>
  <si>
    <t>Numbers Bernard</t>
  </si>
  <si>
    <t>Sheena Bernard</t>
  </si>
  <si>
    <t>Berger</t>
  </si>
  <si>
    <t>117-98-9147</t>
  </si>
  <si>
    <t>205-585-7186</t>
  </si>
  <si>
    <t>Natural Bridge</t>
  </si>
  <si>
    <t>Winston</t>
  </si>
  <si>
    <t>jtbernard</t>
  </si>
  <si>
    <t>Gc@~ahIb+S%xKSX</t>
  </si>
  <si>
    <t>preston.floyd@bellsouth.net</t>
  </si>
  <si>
    <t>Emilio Floyd</t>
  </si>
  <si>
    <t>Edna Floyd</t>
  </si>
  <si>
    <t>321-11-9089</t>
  </si>
  <si>
    <t>314-653-6714</t>
  </si>
  <si>
    <t>Gideon</t>
  </si>
  <si>
    <t>New Madrid</t>
  </si>
  <si>
    <t>pxfloyd</t>
  </si>
  <si>
    <t>EZ7OE9O_]&lt;MK</t>
  </si>
  <si>
    <t>Farley</t>
  </si>
  <si>
    <t>clinton.farley@sbcglobal.net</t>
  </si>
  <si>
    <t>Gregg Farley</t>
  </si>
  <si>
    <t>Constance Farley</t>
  </si>
  <si>
    <t>750-20-0365</t>
  </si>
  <si>
    <t>231-961-6736</t>
  </si>
  <si>
    <t>Ortonville</t>
  </si>
  <si>
    <t>cwfarley</t>
  </si>
  <si>
    <t>DoC5^KHvcV2</t>
  </si>
  <si>
    <t>Dana</t>
  </si>
  <si>
    <t>dana.hill@gmail.com</t>
  </si>
  <si>
    <t>Ezra Hill</t>
  </si>
  <si>
    <t>Laurie Hill</t>
  </si>
  <si>
    <t>137-25-3034</t>
  </si>
  <si>
    <t>907-394-7955</t>
  </si>
  <si>
    <t>Sand Point</t>
  </si>
  <si>
    <t>Aleutians East</t>
  </si>
  <si>
    <t>dahill</t>
  </si>
  <si>
    <t>ikHMM:43e262rh$</t>
  </si>
  <si>
    <t>Odell</t>
  </si>
  <si>
    <t>Bryan</t>
  </si>
  <si>
    <t>odell.bryan@yahoo.co.in</t>
  </si>
  <si>
    <t>Reuben Bryan</t>
  </si>
  <si>
    <t>Leila Bryan</t>
  </si>
  <si>
    <t>321-11-2808</t>
  </si>
  <si>
    <t>262-231-1161</t>
  </si>
  <si>
    <t>Twin Lakes</t>
  </si>
  <si>
    <t>Kenosha</t>
  </si>
  <si>
    <t>ogbryan</t>
  </si>
  <si>
    <t>ThAp87xBLu</t>
  </si>
  <si>
    <t>Tameka</t>
  </si>
  <si>
    <t>tameka.atkinson@hotmail.com</t>
  </si>
  <si>
    <t>Carlton Atkinson</t>
  </si>
  <si>
    <t>Minerva Atkinson</t>
  </si>
  <si>
    <t>Schroeder</t>
  </si>
  <si>
    <t>596-94-7472</t>
  </si>
  <si>
    <t>240-525-4695</t>
  </si>
  <si>
    <t>Glyndon</t>
  </si>
  <si>
    <t>tnatkinson</t>
  </si>
  <si>
    <t>P6&gt;iVf~ZI?el</t>
  </si>
  <si>
    <t>Dominique</t>
  </si>
  <si>
    <t>dominique.moreno@aol.com</t>
  </si>
  <si>
    <t>Mark Moreno</t>
  </si>
  <si>
    <t>Laverne Moreno</t>
  </si>
  <si>
    <t>370-37-4770</t>
  </si>
  <si>
    <t>385-619-6792</t>
  </si>
  <si>
    <t>Lynndyl</t>
  </si>
  <si>
    <t>Millard</t>
  </si>
  <si>
    <t>dzmoreno</t>
  </si>
  <si>
    <t>OI4:j#*J~x~pVV</t>
  </si>
  <si>
    <t>Abraham</t>
  </si>
  <si>
    <t>abraham.mayo@ibm.com</t>
  </si>
  <si>
    <t>Marcelino Mayo</t>
  </si>
  <si>
    <t>Shelley Mayo</t>
  </si>
  <si>
    <t>527-99-3279</t>
  </si>
  <si>
    <t>270-635-8933</t>
  </si>
  <si>
    <t>Krypton</t>
  </si>
  <si>
    <t>ahmayo</t>
  </si>
  <si>
    <t>GXT3&lt;Mbi]pz</t>
  </si>
  <si>
    <t>Hines</t>
  </si>
  <si>
    <t>augustus.hines@yahoo.com</t>
  </si>
  <si>
    <t>Carter Hines</t>
  </si>
  <si>
    <t>Jodie Hines</t>
  </si>
  <si>
    <t>721-18-0372</t>
  </si>
  <si>
    <t>206-591-3506</t>
  </si>
  <si>
    <t>Yakima</t>
  </si>
  <si>
    <t>avhines</t>
  </si>
  <si>
    <t>Z}}6gzxW</t>
  </si>
  <si>
    <t>Rene</t>
  </si>
  <si>
    <t>rene.burks@rediffmail.com</t>
  </si>
  <si>
    <t>Charley Burks</t>
  </si>
  <si>
    <t>Ebony Burks</t>
  </si>
  <si>
    <t>642-29-3799</t>
  </si>
  <si>
    <t>270-263-6464</t>
  </si>
  <si>
    <t>Buckner</t>
  </si>
  <si>
    <t>Oldham</t>
  </si>
  <si>
    <t>rxburks</t>
  </si>
  <si>
    <t>Zo4rpvy_MTSC</t>
  </si>
  <si>
    <t>christian.acevedo@outlook.com</t>
  </si>
  <si>
    <t>Edward Acevedo</t>
  </si>
  <si>
    <t>Genevieve Acevedo</t>
  </si>
  <si>
    <t>134-98-5971</t>
  </si>
  <si>
    <t>216-560-2480</t>
  </si>
  <si>
    <t>Canton</t>
  </si>
  <si>
    <t>cvacevedo</t>
  </si>
  <si>
    <t>I7q!^x_H4</t>
  </si>
  <si>
    <t>Major</t>
  </si>
  <si>
    <t>major.lucas@gmail.com</t>
  </si>
  <si>
    <t>Gino Lucas</t>
  </si>
  <si>
    <t>Lelia Lucas</t>
  </si>
  <si>
    <t>George</t>
  </si>
  <si>
    <t>145-23-2504</t>
  </si>
  <si>
    <t>803-342-2604</t>
  </si>
  <si>
    <t>Salters</t>
  </si>
  <si>
    <t>Williamsburg</t>
  </si>
  <si>
    <t>mxlucas</t>
  </si>
  <si>
    <t>qMN+K-VUu*pc$UA</t>
  </si>
  <si>
    <t>Frieda</t>
  </si>
  <si>
    <t>frieda.hebert@ntlworld.com</t>
  </si>
  <si>
    <t>Jamal Hebert</t>
  </si>
  <si>
    <t>Shawna Hebert</t>
  </si>
  <si>
    <t>Conrad</t>
  </si>
  <si>
    <t>209-84-9070</t>
  </si>
  <si>
    <t>215-341-4420</t>
  </si>
  <si>
    <t>Allentown</t>
  </si>
  <si>
    <t>Lehigh</t>
  </si>
  <si>
    <t>fzhebert</t>
  </si>
  <si>
    <t>5@Ik#v2^E+vx8</t>
  </si>
  <si>
    <t>Rachael</t>
  </si>
  <si>
    <t>Newman</t>
  </si>
  <si>
    <t>rachael.newman@gmail.com</t>
  </si>
  <si>
    <t>Carmine Newman</t>
  </si>
  <si>
    <t>Dianna Newman</t>
  </si>
  <si>
    <t>443-27-3150</t>
  </si>
  <si>
    <t>205-630-4701</t>
  </si>
  <si>
    <t>rsnewman</t>
  </si>
  <si>
    <t>oJtUrW^FP%PE</t>
  </si>
  <si>
    <t>Bernadine</t>
  </si>
  <si>
    <t>Joseph</t>
  </si>
  <si>
    <t>bernadine.joseph@gmail.com</t>
  </si>
  <si>
    <t>Louie Joseph</t>
  </si>
  <si>
    <t>Flossie Joseph</t>
  </si>
  <si>
    <t>Orr</t>
  </si>
  <si>
    <t>667-48-9716</t>
  </si>
  <si>
    <t>270-399-4566</t>
  </si>
  <si>
    <t>bsjoseph</t>
  </si>
  <si>
    <t>Jd[$u#}\.@0a</t>
  </si>
  <si>
    <t>Deanna</t>
  </si>
  <si>
    <t>Mccoy</t>
  </si>
  <si>
    <t>deanna.mccoy@yahoo.com</t>
  </si>
  <si>
    <t>Reuben Mccoy</t>
  </si>
  <si>
    <t>Latonya Mccoy</t>
  </si>
  <si>
    <t>248-99-2433</t>
  </si>
  <si>
    <t>262-864-7136</t>
  </si>
  <si>
    <t>dpmccoy</t>
  </si>
  <si>
    <t>YO[*w%DZv8c</t>
  </si>
  <si>
    <t>Tucker</t>
  </si>
  <si>
    <t>joseph.tucker@bp.com</t>
  </si>
  <si>
    <t>Lamont Tucker</t>
  </si>
  <si>
    <t>Rosalie Tucker</t>
  </si>
  <si>
    <t>232-57-4416</t>
  </si>
  <si>
    <t>423-702-7689</t>
  </si>
  <si>
    <t>Camden</t>
  </si>
  <si>
    <t>jbtucker</t>
  </si>
  <si>
    <t>HZGG@\h.k</t>
  </si>
  <si>
    <t>Antwan</t>
  </si>
  <si>
    <t>Richardson</t>
  </si>
  <si>
    <t>antwan.richardson@hotmail.com</t>
  </si>
  <si>
    <t>Randell Richardson</t>
  </si>
  <si>
    <t>Stacy Richardson</t>
  </si>
  <si>
    <t>058-02-5142</t>
  </si>
  <si>
    <t>209-406-6320</t>
  </si>
  <si>
    <t>alrichardson</t>
  </si>
  <si>
    <t>Yi[N}0Sp</t>
  </si>
  <si>
    <t>harrison.ortega@exxonmobil.com</t>
  </si>
  <si>
    <t>Lionel Ortega</t>
  </si>
  <si>
    <t>Judith Ortega</t>
  </si>
  <si>
    <t>Murphy</t>
  </si>
  <si>
    <t>232-57-2534</t>
  </si>
  <si>
    <t>314-369-3092</t>
  </si>
  <si>
    <t>hdortega</t>
  </si>
  <si>
    <t>yj%QK39t5]B9XFQ</t>
  </si>
  <si>
    <t>Dylan</t>
  </si>
  <si>
    <t>dylan.cantu@aol.com</t>
  </si>
  <si>
    <t>Sandy Cantu</t>
  </si>
  <si>
    <t>Laverne Cantu</t>
  </si>
  <si>
    <t>Blackwell</t>
  </si>
  <si>
    <t>264-99-1821</t>
  </si>
  <si>
    <t>202-492-5695</t>
  </si>
  <si>
    <t>Washington Navy Yard</t>
  </si>
  <si>
    <t>District Of Columbia</t>
  </si>
  <si>
    <t>dtcantu</t>
  </si>
  <si>
    <t>G9bU*da&gt;K[Y</t>
  </si>
  <si>
    <t>winston.hewitt@bp.com</t>
  </si>
  <si>
    <t>Everett Hewitt</t>
  </si>
  <si>
    <t>Cheryl Hewitt</t>
  </si>
  <si>
    <t>213-91-5204</t>
  </si>
  <si>
    <t>225-919-9605</t>
  </si>
  <si>
    <t>Napoleonville</t>
  </si>
  <si>
    <t>Assumption</t>
  </si>
  <si>
    <t>wjhewitt</t>
  </si>
  <si>
    <t>X\~&gt;b*p/];</t>
  </si>
  <si>
    <t>Serena</t>
  </si>
  <si>
    <t>serena.marshall@yahoo.com</t>
  </si>
  <si>
    <t>Alfredo Marshall</t>
  </si>
  <si>
    <t>Odessa Marshall</t>
  </si>
  <si>
    <t>367-39-8919</t>
  </si>
  <si>
    <t>240-890-0735</t>
  </si>
  <si>
    <t>Curtis Bay</t>
  </si>
  <si>
    <t>Anne Arundel</t>
  </si>
  <si>
    <t>sfmarshall</t>
  </si>
  <si>
    <t>k*1&lt;bwK|lI%</t>
  </si>
  <si>
    <t>Maryann</t>
  </si>
  <si>
    <t>maryann.vance@sbcglobal.net</t>
  </si>
  <si>
    <t>Humberto Vance</t>
  </si>
  <si>
    <t>Lucy Vance</t>
  </si>
  <si>
    <t>765-27-6732</t>
  </si>
  <si>
    <t>228-827-0595</t>
  </si>
  <si>
    <t>Chunky</t>
  </si>
  <si>
    <t>mvvance</t>
  </si>
  <si>
    <t>R%&lt;3dFu@Wml1&gt;LD</t>
  </si>
  <si>
    <t>Roxie</t>
  </si>
  <si>
    <t>Mckay</t>
  </si>
  <si>
    <t>roxie.mckay@gmail.com</t>
  </si>
  <si>
    <t>Yong Mckay</t>
  </si>
  <si>
    <t>Gail Mckay</t>
  </si>
  <si>
    <t>Hurley</t>
  </si>
  <si>
    <t>084-02-1453</t>
  </si>
  <si>
    <t>216-940-3945</t>
  </si>
  <si>
    <t>Piney Fork</t>
  </si>
  <si>
    <t>remckay</t>
  </si>
  <si>
    <t>a&amp;.!PhcY$</t>
  </si>
  <si>
    <t>Sonny</t>
  </si>
  <si>
    <t>sonny.morin@gmail.com</t>
  </si>
  <si>
    <t>Rich Morin</t>
  </si>
  <si>
    <t>Grace Morin</t>
  </si>
  <si>
    <t>591-99-8508</t>
  </si>
  <si>
    <t>216-364-8955</t>
  </si>
  <si>
    <t>sfmorin</t>
  </si>
  <si>
    <t>T+XkOfDSP]%hVP5</t>
  </si>
  <si>
    <t>Eduardo</t>
  </si>
  <si>
    <t>eduardo.burnett@gmail.com</t>
  </si>
  <si>
    <t>Rafael Burnett</t>
  </si>
  <si>
    <t>Mable Burnett</t>
  </si>
  <si>
    <t>072-02-8158</t>
  </si>
  <si>
    <t>262-498-0317</t>
  </si>
  <si>
    <t>Pelican Lake</t>
  </si>
  <si>
    <t>Oneida</t>
  </si>
  <si>
    <t>eqburnett</t>
  </si>
  <si>
    <t>fyw&amp;DhL@+X</t>
  </si>
  <si>
    <t>Marietta</t>
  </si>
  <si>
    <t>Watson</t>
  </si>
  <si>
    <t>marietta.watson@gmail.com</t>
  </si>
  <si>
    <t>Johnathon Watson</t>
  </si>
  <si>
    <t>Elisabeth Watson</t>
  </si>
  <si>
    <t>Harper</t>
  </si>
  <si>
    <t>233-57-5403</t>
  </si>
  <si>
    <t>480-621-8088</t>
  </si>
  <si>
    <t>Prescott</t>
  </si>
  <si>
    <t>Yavapai</t>
  </si>
  <si>
    <t>mxwatson</t>
  </si>
  <si>
    <t>U1c6yCyg]H~</t>
  </si>
  <si>
    <t>Nettie</t>
  </si>
  <si>
    <t>nettie.preston@gmail.com</t>
  </si>
  <si>
    <t>Raymundo Preston</t>
  </si>
  <si>
    <t>Staci Preston</t>
  </si>
  <si>
    <t>Blankenship</t>
  </si>
  <si>
    <t>029-92-9147</t>
  </si>
  <si>
    <t>216-500-1514</t>
  </si>
  <si>
    <t>napreston</t>
  </si>
  <si>
    <t>ReYu#AeF}:</t>
  </si>
  <si>
    <t>Sandy</t>
  </si>
  <si>
    <t>sandy.gillespie@yahoo.com</t>
  </si>
  <si>
    <t>Hank Gillespie</t>
  </si>
  <si>
    <t>Briana Gillespie</t>
  </si>
  <si>
    <t>558-99-4685</t>
  </si>
  <si>
    <t>231-470-6122</t>
  </si>
  <si>
    <t>spgillespie</t>
  </si>
  <si>
    <t>ArzGbY[~w+.YY.</t>
  </si>
  <si>
    <t>Christopher</t>
  </si>
  <si>
    <t>Peters</t>
  </si>
  <si>
    <t>christopher.peters@exxonmobil.com</t>
  </si>
  <si>
    <t>Fritz Peters</t>
  </si>
  <si>
    <t>Ava Peters</t>
  </si>
  <si>
    <t>182-86-6068</t>
  </si>
  <si>
    <t>316-381-2376</t>
  </si>
  <si>
    <t>Belvidere</t>
  </si>
  <si>
    <t>czpeters</t>
  </si>
  <si>
    <t>5/@b&amp;saY8</t>
  </si>
  <si>
    <t>Felicia</t>
  </si>
  <si>
    <t>Gilmore</t>
  </si>
  <si>
    <t>felicia.gilmore@gmail.com</t>
  </si>
  <si>
    <t>Basil Gilmore</t>
  </si>
  <si>
    <t>Kari Gilmore</t>
  </si>
  <si>
    <t>368-39-7418</t>
  </si>
  <si>
    <t>236-751-0200</t>
  </si>
  <si>
    <t>Lee Mont</t>
  </si>
  <si>
    <t>fsgilmore</t>
  </si>
  <si>
    <t>De_L?KfY-$MW&lt;$</t>
  </si>
  <si>
    <t>Tyler</t>
  </si>
  <si>
    <t>Mercado</t>
  </si>
  <si>
    <t>tyler.mercado@gmail.com</t>
  </si>
  <si>
    <t>Brendan Mercado</t>
  </si>
  <si>
    <t>Willa Mercado</t>
  </si>
  <si>
    <t>122-98-4753</t>
  </si>
  <si>
    <t>228-846-6014</t>
  </si>
  <si>
    <t>Hattiesburg</t>
  </si>
  <si>
    <t>temercado</t>
  </si>
  <si>
    <t>s&amp;R1vVR@Od_j</t>
  </si>
  <si>
    <t>Arline</t>
  </si>
  <si>
    <t>arline.campbell@gmail.com</t>
  </si>
  <si>
    <t>Mac Campbell</t>
  </si>
  <si>
    <t>Flora Campbell</t>
  </si>
  <si>
    <t>321-11-2373</t>
  </si>
  <si>
    <t>217-576-2262</t>
  </si>
  <si>
    <t>Iroquois</t>
  </si>
  <si>
    <t>ancampbell</t>
  </si>
  <si>
    <t>dik3NBQ4</t>
  </si>
  <si>
    <t>margo.daniels@gmail.com</t>
  </si>
  <si>
    <t>Gavin Daniels</t>
  </si>
  <si>
    <t>Glenda Daniels</t>
  </si>
  <si>
    <t>295-15-0387</t>
  </si>
  <si>
    <t>219-923-9444</t>
  </si>
  <si>
    <t>mndaniels</t>
  </si>
  <si>
    <t>1{b}t7&lt;j3M&gt;</t>
  </si>
  <si>
    <t>Kareem</t>
  </si>
  <si>
    <t>kareem.jimenez@gmail.com</t>
  </si>
  <si>
    <t>Courtney Jimenez</t>
  </si>
  <si>
    <t>Trudy Jimenez</t>
  </si>
  <si>
    <t>453-99-2431</t>
  </si>
  <si>
    <t>212-998-0652</t>
  </si>
  <si>
    <t>kojimenez</t>
  </si>
  <si>
    <t>0WO@m%^*0DK</t>
  </si>
  <si>
    <t>Nanette</t>
  </si>
  <si>
    <t>nanette.lee@aol.com</t>
  </si>
  <si>
    <t>Odell Lee</t>
  </si>
  <si>
    <t>Sue Lee</t>
  </si>
  <si>
    <t>085-02-5150</t>
  </si>
  <si>
    <t>209-309-8591</t>
  </si>
  <si>
    <t>Terra Bella</t>
  </si>
  <si>
    <t>Tulare</t>
  </si>
  <si>
    <t>nplee</t>
  </si>
  <si>
    <t>M%l:3n?MsOa5</t>
  </si>
  <si>
    <t>Myra</t>
  </si>
  <si>
    <t>Franco</t>
  </si>
  <si>
    <t>myra.franco@hotmail.com</t>
  </si>
  <si>
    <t>Leland Franco</t>
  </si>
  <si>
    <t>Mercedes Franco</t>
  </si>
  <si>
    <t>344-11-3491</t>
  </si>
  <si>
    <t>270-570-5121</t>
  </si>
  <si>
    <t>Shepherdsville</t>
  </si>
  <si>
    <t>Bullitt</t>
  </si>
  <si>
    <t>mlfranco</t>
  </si>
  <si>
    <t>FWnVTigS&lt;}</t>
  </si>
  <si>
    <t>Harrell</t>
  </si>
  <si>
    <t>luther.harrell@hotmail.com</t>
  </si>
  <si>
    <t>Eric Harrell</t>
  </si>
  <si>
    <t>Rosanne Harrell</t>
  </si>
  <si>
    <t>063-02-8385</t>
  </si>
  <si>
    <t>229-521-3282</t>
  </si>
  <si>
    <t>Cuthbert</t>
  </si>
  <si>
    <t>ldharrell</t>
  </si>
  <si>
    <t>m#Tn1[sgqR</t>
  </si>
  <si>
    <t>Ramon</t>
  </si>
  <si>
    <t>ramon.campbell@walmart.com</t>
  </si>
  <si>
    <t>Sydney Campbell</t>
  </si>
  <si>
    <t>Irma Campbell</t>
  </si>
  <si>
    <t>418-67-5876</t>
  </si>
  <si>
    <t>203-886-1827</t>
  </si>
  <si>
    <t>rscampbell</t>
  </si>
  <si>
    <t>WTD50QK[eGC0</t>
  </si>
  <si>
    <t>Sallie</t>
  </si>
  <si>
    <t>Huffman</t>
  </si>
  <si>
    <t>sallie.huffman@walmart.com</t>
  </si>
  <si>
    <t>Benny Huffman</t>
  </si>
  <si>
    <t>Willie Huffman</t>
  </si>
  <si>
    <t>079-02-9248</t>
  </si>
  <si>
    <t>229-946-2253</t>
  </si>
  <si>
    <t>Covington</t>
  </si>
  <si>
    <t>sjhuffman</t>
  </si>
  <si>
    <t>G6J;b*3*824D</t>
  </si>
  <si>
    <t>Shirley</t>
  </si>
  <si>
    <t>shirley.herrera@gmail.com</t>
  </si>
  <si>
    <t>Salvatore Herrera</t>
  </si>
  <si>
    <t>Angelina Herrera</t>
  </si>
  <si>
    <t>596-94-8238</t>
  </si>
  <si>
    <t>209-239-8332</t>
  </si>
  <si>
    <t>Garden Grove</t>
  </si>
  <si>
    <t>szherrera</t>
  </si>
  <si>
    <t>eqD:xgLUMbT</t>
  </si>
  <si>
    <t>Corey</t>
  </si>
  <si>
    <t>corey.harrell@yahoo.com</t>
  </si>
  <si>
    <t>Milo Harrell</t>
  </si>
  <si>
    <t>Kathy Harrell</t>
  </si>
  <si>
    <t>730-28-1866</t>
  </si>
  <si>
    <t>212-792-8145</t>
  </si>
  <si>
    <t>Syracuse</t>
  </si>
  <si>
    <t>cjharrell</t>
  </si>
  <si>
    <t>T&gt;AkU9iZ?e_^]</t>
  </si>
  <si>
    <t>Carrie</t>
  </si>
  <si>
    <t>carrie.keller@gmail.com</t>
  </si>
  <si>
    <t>Jimmie Keller</t>
  </si>
  <si>
    <t>Judy Keller</t>
  </si>
  <si>
    <t>Leon</t>
  </si>
  <si>
    <t>083-02-3969</t>
  </si>
  <si>
    <t>479-566-8608</t>
  </si>
  <si>
    <t>Doddridge</t>
  </si>
  <si>
    <t>Miller</t>
  </si>
  <si>
    <t>ctkeller</t>
  </si>
  <si>
    <t>Y6FTP#Gk{</t>
  </si>
  <si>
    <t>Ofelia</t>
  </si>
  <si>
    <t>ofelia.rivers@gmail.com</t>
  </si>
  <si>
    <t>Anderson Rivers</t>
  </si>
  <si>
    <t>Imelda Rivers</t>
  </si>
  <si>
    <t>714-18-2991</t>
  </si>
  <si>
    <t>203-437-2507</t>
  </si>
  <si>
    <t>Taftville</t>
  </si>
  <si>
    <t>New London</t>
  </si>
  <si>
    <t>ojrivers</t>
  </si>
  <si>
    <t>8i/p]5].Eq0a</t>
  </si>
  <si>
    <t>Shelton</t>
  </si>
  <si>
    <t>shelton.harrison@yahoo.com</t>
  </si>
  <si>
    <t>Jason Harrison</t>
  </si>
  <si>
    <t>Randi Harrison</t>
  </si>
  <si>
    <t>560-99-0098</t>
  </si>
  <si>
    <t>319-398-8029</t>
  </si>
  <si>
    <t>Klemme</t>
  </si>
  <si>
    <t>svharrison</t>
  </si>
  <si>
    <t>PA@&lt;yL7QFkm&gt;</t>
  </si>
  <si>
    <t>carlene.bernard@aol.com</t>
  </si>
  <si>
    <t>Cliff Bernard</t>
  </si>
  <si>
    <t>Liza Bernard</t>
  </si>
  <si>
    <t>576-99-2162</t>
  </si>
  <si>
    <t>339-681-0793</t>
  </si>
  <si>
    <t>Siasconset</t>
  </si>
  <si>
    <t>Nantucket</t>
  </si>
  <si>
    <t>cibernard</t>
  </si>
  <si>
    <t>S^q?5OT]R}c</t>
  </si>
  <si>
    <t>Earline</t>
  </si>
  <si>
    <t>earline.cherry@bp.com</t>
  </si>
  <si>
    <t>Jeffry Cherry</t>
  </si>
  <si>
    <t>Jewel Cherry</t>
  </si>
  <si>
    <t>659-24-8706</t>
  </si>
  <si>
    <t>215-613-8378</t>
  </si>
  <si>
    <t>Lykens</t>
  </si>
  <si>
    <t>Dauphin</t>
  </si>
  <si>
    <t>egcherry</t>
  </si>
  <si>
    <t>rpmvhX%v~l</t>
  </si>
  <si>
    <t>Kitty</t>
  </si>
  <si>
    <t>kitty.mathis@gmail.com</t>
  </si>
  <si>
    <t>Hung Mathis</t>
  </si>
  <si>
    <t>Mia Mathis</t>
  </si>
  <si>
    <t>033-92-4352</t>
  </si>
  <si>
    <t>503-291-7361</t>
  </si>
  <si>
    <t>kumathis</t>
  </si>
  <si>
    <t>yW_d}Bn+!uR_</t>
  </si>
  <si>
    <t>Lavonne</t>
  </si>
  <si>
    <t>lavonne.carney@bp.com</t>
  </si>
  <si>
    <t>Larry Carney</t>
  </si>
  <si>
    <t>Mari Carney</t>
  </si>
  <si>
    <t>Mitchell</t>
  </si>
  <si>
    <t>711-18-0831</t>
  </si>
  <si>
    <t>210-383-2844</t>
  </si>
  <si>
    <t>Westhoff</t>
  </si>
  <si>
    <t>DeWitt</t>
  </si>
  <si>
    <t>lbcarney</t>
  </si>
  <si>
    <t>cT?5uSB^LOdx+EY</t>
  </si>
  <si>
    <t>Reyna</t>
  </si>
  <si>
    <t>Marks</t>
  </si>
  <si>
    <t>reyna.marks@hotmail.com</t>
  </si>
  <si>
    <t>Francis Marks</t>
  </si>
  <si>
    <t>Kim Marks</t>
  </si>
  <si>
    <t>227-99-5136</t>
  </si>
  <si>
    <t>216-657-0482</t>
  </si>
  <si>
    <t>Alliance</t>
  </si>
  <si>
    <t>rjmarks</t>
  </si>
  <si>
    <t>C5i7Lj+]h</t>
  </si>
  <si>
    <t>preston.perez@yahoo.com</t>
  </si>
  <si>
    <t>Mark Perez</t>
  </si>
  <si>
    <t>Elva Perez</t>
  </si>
  <si>
    <t>215-91-2868</t>
  </si>
  <si>
    <t>231-627-1020</t>
  </si>
  <si>
    <t>Rudyard</t>
  </si>
  <si>
    <t>pmperez</t>
  </si>
  <si>
    <t>KYoh/O%@#%Axn</t>
  </si>
  <si>
    <t>Isaac</t>
  </si>
  <si>
    <t>isaac.cochran@charter.net</t>
  </si>
  <si>
    <t>Melvin Cochran</t>
  </si>
  <si>
    <t>Priscilla Cochran</t>
  </si>
  <si>
    <t>Warren</t>
  </si>
  <si>
    <t>302-15-8335</t>
  </si>
  <si>
    <t>212-938-7324</t>
  </si>
  <si>
    <t>Lynbrook</t>
  </si>
  <si>
    <t>Nassau</t>
  </si>
  <si>
    <t>ipcochran</t>
  </si>
  <si>
    <t>8;+Vw~LK</t>
  </si>
  <si>
    <t>Noe</t>
  </si>
  <si>
    <t>noe.clay@bellsouth.net</t>
  </si>
  <si>
    <t>Vince Clay</t>
  </si>
  <si>
    <t>Lilly Clay</t>
  </si>
  <si>
    <t>Levy</t>
  </si>
  <si>
    <t>297-15-5482</t>
  </si>
  <si>
    <t>217-458-3909</t>
  </si>
  <si>
    <t>Solon Mills</t>
  </si>
  <si>
    <t>McHenry</t>
  </si>
  <si>
    <t>nkclay</t>
  </si>
  <si>
    <t>zqJt&lt;W%f_7D7p</t>
  </si>
  <si>
    <t>Cohen</t>
  </si>
  <si>
    <t>callie.cohen@aol.com</t>
  </si>
  <si>
    <t>Pasquale Cohen</t>
  </si>
  <si>
    <t>Latisha Cohen</t>
  </si>
  <si>
    <t>389-33-6184</t>
  </si>
  <si>
    <t>212-913-8969</t>
  </si>
  <si>
    <t>cjcohen</t>
  </si>
  <si>
    <t>cQxsL]?/ZWC#E</t>
  </si>
  <si>
    <t>elliott.marks@aol.com</t>
  </si>
  <si>
    <t>Buford Marks</t>
  </si>
  <si>
    <t>Jasmine Marks</t>
  </si>
  <si>
    <t>470-57-5011</t>
  </si>
  <si>
    <t>229-435-8916</t>
  </si>
  <si>
    <t>epmarks</t>
  </si>
  <si>
    <t>Q9XDI?[iV</t>
  </si>
  <si>
    <t>Georgina</t>
  </si>
  <si>
    <t>Lamb</t>
  </si>
  <si>
    <t>georgina.lamb@gmail.com</t>
  </si>
  <si>
    <t>Myron Lamb</t>
  </si>
  <si>
    <t>Bettye Lamb</t>
  </si>
  <si>
    <t>459-99-1978</t>
  </si>
  <si>
    <t>316-334-5403</t>
  </si>
  <si>
    <t>Uniontown</t>
  </si>
  <si>
    <t>Bourbon</t>
  </si>
  <si>
    <t>gflamb</t>
  </si>
  <si>
    <t>A_!nw/B0P~</t>
  </si>
  <si>
    <t>frances.may@rediffmail.com</t>
  </si>
  <si>
    <t>Mauro May</t>
  </si>
  <si>
    <t>Cynthia May</t>
  </si>
  <si>
    <t>318-11-7376</t>
  </si>
  <si>
    <t>201-510-4857</t>
  </si>
  <si>
    <t>Little Ferry</t>
  </si>
  <si>
    <t>Bergen</t>
  </si>
  <si>
    <t>fdmay</t>
  </si>
  <si>
    <t>k|g2hD;|</t>
  </si>
  <si>
    <t>marc.hurley@gmail.com</t>
  </si>
  <si>
    <t>Leo Hurley</t>
  </si>
  <si>
    <t>Enid Hurley</t>
  </si>
  <si>
    <t>Griffith</t>
  </si>
  <si>
    <t>304-37-5234</t>
  </si>
  <si>
    <t>210-771-0515</t>
  </si>
  <si>
    <t>Robert Lee</t>
  </si>
  <si>
    <t>Coke</t>
  </si>
  <si>
    <t>myhurley</t>
  </si>
  <si>
    <t>8ey&lt;P.6&lt;Bq</t>
  </si>
  <si>
    <t>nathaniel.bates@exxonmobil.com</t>
  </si>
  <si>
    <t>Ward Bates</t>
  </si>
  <si>
    <t>Hilary Bates</t>
  </si>
  <si>
    <t>025-92-4479</t>
  </si>
  <si>
    <t>304-485-6950</t>
  </si>
  <si>
    <t>Covel</t>
  </si>
  <si>
    <t>Wyoming</t>
  </si>
  <si>
    <t>nvbates</t>
  </si>
  <si>
    <t>R6Aq~3hccVZgP5</t>
  </si>
  <si>
    <t>Colby</t>
  </si>
  <si>
    <t>Holder</t>
  </si>
  <si>
    <t>colby.holder@walmart.com</t>
  </si>
  <si>
    <t>Parker Holder</t>
  </si>
  <si>
    <t>Lois Holder</t>
  </si>
  <si>
    <t>640-29-9347</t>
  </si>
  <si>
    <t>229-363-7104</t>
  </si>
  <si>
    <t>Midland</t>
  </si>
  <si>
    <t>coholder</t>
  </si>
  <si>
    <t>q}dQ*57:</t>
  </si>
  <si>
    <t>Dee</t>
  </si>
  <si>
    <t>dee.love@ibm.com</t>
  </si>
  <si>
    <t>Daniel Love</t>
  </si>
  <si>
    <t>Sandra Love</t>
  </si>
  <si>
    <t>541-83-3120</t>
  </si>
  <si>
    <t>219-453-1822</t>
  </si>
  <si>
    <t>Denham</t>
  </si>
  <si>
    <t>dwlove</t>
  </si>
  <si>
    <t>k_pvnf6ua</t>
  </si>
  <si>
    <t>Willie</t>
  </si>
  <si>
    <t>willie.gibson@gmail.com</t>
  </si>
  <si>
    <t>Gordon Gibson</t>
  </si>
  <si>
    <t>Deirdre Gibson</t>
  </si>
  <si>
    <t>Whitehead</t>
  </si>
  <si>
    <t>065-02-1744</t>
  </si>
  <si>
    <t>210-672-1876</t>
  </si>
  <si>
    <t>Desoto</t>
  </si>
  <si>
    <t>wmgibson</t>
  </si>
  <si>
    <t>1F@%z:IeyM</t>
  </si>
  <si>
    <t>Alison</t>
  </si>
  <si>
    <t>Walsh</t>
  </si>
  <si>
    <t>alison.walsh@btinternet.com</t>
  </si>
  <si>
    <t>Charley Walsh</t>
  </si>
  <si>
    <t>Alba Walsh</t>
  </si>
  <si>
    <t>364-39-6393</t>
  </si>
  <si>
    <t>803-754-2504</t>
  </si>
  <si>
    <t>Monetta</t>
  </si>
  <si>
    <t>Saluda</t>
  </si>
  <si>
    <t>agwalsh</t>
  </si>
  <si>
    <t>WgyfQm?1</t>
  </si>
  <si>
    <t>Gena</t>
  </si>
  <si>
    <t>Holman</t>
  </si>
  <si>
    <t>gena.holman@ntlworld.com</t>
  </si>
  <si>
    <t>Reinaldo Holman</t>
  </si>
  <si>
    <t>Trina Holman</t>
  </si>
  <si>
    <t>Mclean</t>
  </si>
  <si>
    <t>684-24-6541</t>
  </si>
  <si>
    <t>479-730-0439</t>
  </si>
  <si>
    <t>Alix</t>
  </si>
  <si>
    <t>glholman</t>
  </si>
  <si>
    <t>Tdn6#o!G8v8byv</t>
  </si>
  <si>
    <t>tammy.casey@gmail.com</t>
  </si>
  <si>
    <t>Duncan Casey</t>
  </si>
  <si>
    <t>Ronda Casey</t>
  </si>
  <si>
    <t>221-13-7601</t>
  </si>
  <si>
    <t>216-524-3435</t>
  </si>
  <si>
    <t>Ottoville</t>
  </si>
  <si>
    <t>txcasey</t>
  </si>
  <si>
    <t>28yj%Zp:1pq9OP</t>
  </si>
  <si>
    <t>Waller</t>
  </si>
  <si>
    <t>shirley.waller@walmart.com</t>
  </si>
  <si>
    <t>Phil Waller</t>
  </si>
  <si>
    <t>Rosanne Waller</t>
  </si>
  <si>
    <t>571-99-9701</t>
  </si>
  <si>
    <t>270-487-2309</t>
  </si>
  <si>
    <t>Martha</t>
  </si>
  <si>
    <t>slwaller</t>
  </si>
  <si>
    <t>gR+vqTtO</t>
  </si>
  <si>
    <t>joanna.poole@bellsouth.net</t>
  </si>
  <si>
    <t>Hiram Poole</t>
  </si>
  <si>
    <t>Diann Poole</t>
  </si>
  <si>
    <t>Christensen</t>
  </si>
  <si>
    <t>596-94-6656</t>
  </si>
  <si>
    <t>314-243-5461</t>
  </si>
  <si>
    <t>jlpoole</t>
  </si>
  <si>
    <t>HKLn6q^$AN^</t>
  </si>
  <si>
    <t>amber.mendoza@gmail.com</t>
  </si>
  <si>
    <t>Philip Mendoza</t>
  </si>
  <si>
    <t>Saundra Mendoza</t>
  </si>
  <si>
    <t>119-98-6689</t>
  </si>
  <si>
    <t>603-466-5911</t>
  </si>
  <si>
    <t>Walpole</t>
  </si>
  <si>
    <t>Cheshire</t>
  </si>
  <si>
    <t>azmendoza</t>
  </si>
  <si>
    <t>Brz7LWTD$lZc</t>
  </si>
  <si>
    <t>Lourdes</t>
  </si>
  <si>
    <t>lourdes.hull@hotmail.com</t>
  </si>
  <si>
    <t>Jason Hull</t>
  </si>
  <si>
    <t>Tracy Hull</t>
  </si>
  <si>
    <t>392-33-8988</t>
  </si>
  <si>
    <t>480-286-0831</t>
  </si>
  <si>
    <t>Catalina</t>
  </si>
  <si>
    <t>Pima</t>
  </si>
  <si>
    <t>lohull</t>
  </si>
  <si>
    <t>II8wEon:}</t>
  </si>
  <si>
    <t>kim.england@gmail.com</t>
  </si>
  <si>
    <t>Raymundo England</t>
  </si>
  <si>
    <t>Danielle England</t>
  </si>
  <si>
    <t>540-83-2628</t>
  </si>
  <si>
    <t>423-810-3573</t>
  </si>
  <si>
    <t>kdengland</t>
  </si>
  <si>
    <t>XcvBZA#rs_</t>
  </si>
  <si>
    <t>haley.maddox@gmail.com</t>
  </si>
  <si>
    <t>Chester Maddox</t>
  </si>
  <si>
    <t>Virgie Maddox</t>
  </si>
  <si>
    <t>Mullins</t>
  </si>
  <si>
    <t>478-43-6952</t>
  </si>
  <si>
    <t>480-776-8203</t>
  </si>
  <si>
    <t>Eagar</t>
  </si>
  <si>
    <t>Apache</t>
  </si>
  <si>
    <t>homaddox</t>
  </si>
  <si>
    <t>ZUUG?Ek&amp;Lzg*}e</t>
  </si>
  <si>
    <t>rory.atkins@gmail.com</t>
  </si>
  <si>
    <t>Finanace</t>
  </si>
  <si>
    <t>Lamar Atkins</t>
  </si>
  <si>
    <t>Teresa Atkins</t>
  </si>
  <si>
    <t>422-67-4954</t>
  </si>
  <si>
    <t>270-530-6531</t>
  </si>
  <si>
    <t>Kona</t>
  </si>
  <si>
    <t>rfatkins</t>
  </si>
  <si>
    <t>Tz:VYGd[lWvn8</t>
  </si>
  <si>
    <t>Kathrine</t>
  </si>
  <si>
    <t>kathrine.whitaker@yahoo.com</t>
  </si>
  <si>
    <t>Andy Whitaker</t>
  </si>
  <si>
    <t>Dominique Whitaker</t>
  </si>
  <si>
    <t>083-02-3732</t>
  </si>
  <si>
    <t>210-927-7641</t>
  </si>
  <si>
    <t>Port Bolivar</t>
  </si>
  <si>
    <t>Galveston</t>
  </si>
  <si>
    <t>kzwhitaker</t>
  </si>
  <si>
    <t>z+-&lt;yp&amp;XnFdZ&lt;</t>
  </si>
  <si>
    <t>Lou</t>
  </si>
  <si>
    <t>lou.buckner@gmail.com</t>
  </si>
  <si>
    <t>Bob Buckner</t>
  </si>
  <si>
    <t>Jeannine Buckner</t>
  </si>
  <si>
    <t>263-99-8576</t>
  </si>
  <si>
    <t>701-559-9925</t>
  </si>
  <si>
    <t>Sheyenne</t>
  </si>
  <si>
    <t>Eddy</t>
  </si>
  <si>
    <t>lmbuckner</t>
  </si>
  <si>
    <t>UZ7Pf^F\Csx</t>
  </si>
  <si>
    <t>Karla</t>
  </si>
  <si>
    <t>Barrera</t>
  </si>
  <si>
    <t>karla.barrera@gmail.com</t>
  </si>
  <si>
    <t>Kent Barrera</t>
  </si>
  <si>
    <t>Callie Barrera</t>
  </si>
  <si>
    <t>Schwartz</t>
  </si>
  <si>
    <t>376-37-9748</t>
  </si>
  <si>
    <t>406-503-5614</t>
  </si>
  <si>
    <t>Bozeman</t>
  </si>
  <si>
    <t>Gallatin</t>
  </si>
  <si>
    <t>kwbarrera</t>
  </si>
  <si>
    <t>D50nPcYxAy:5_Eo</t>
  </si>
  <si>
    <t>ava.kane@aol.com</t>
  </si>
  <si>
    <t>Samuel Kane</t>
  </si>
  <si>
    <t>Jennifer Kane</t>
  </si>
  <si>
    <t>518-89-3528</t>
  </si>
  <si>
    <t>219-501-7805</t>
  </si>
  <si>
    <t>amkane</t>
  </si>
  <si>
    <t>MkQ33!}U\{</t>
  </si>
  <si>
    <t>Roseann</t>
  </si>
  <si>
    <t>roseann.riley@aol.com</t>
  </si>
  <si>
    <t>Logan Riley</t>
  </si>
  <si>
    <t>Janice Riley</t>
  </si>
  <si>
    <t>084-02-1565</t>
  </si>
  <si>
    <t>605-260-9998</t>
  </si>
  <si>
    <t>Rochford</t>
  </si>
  <si>
    <t>Pennington</t>
  </si>
  <si>
    <t>rariley</t>
  </si>
  <si>
    <t>vJC-i.2XYv0k#</t>
  </si>
  <si>
    <t>Elizabeth</t>
  </si>
  <si>
    <t>Fernandez</t>
  </si>
  <si>
    <t>elizabeth.fernandez@gmail.com</t>
  </si>
  <si>
    <t>Carlos Fernandez</t>
  </si>
  <si>
    <t>Delia Fernandez</t>
  </si>
  <si>
    <t>109-98-5127</t>
  </si>
  <si>
    <t>236-680-8124</t>
  </si>
  <si>
    <t>Dabneys</t>
  </si>
  <si>
    <t>ehfernandez</t>
  </si>
  <si>
    <t>qhx\7*Ylet~Y</t>
  </si>
  <si>
    <t>Flora</t>
  </si>
  <si>
    <t>Decker</t>
  </si>
  <si>
    <t>flora.decker@aol.com</t>
  </si>
  <si>
    <t>Scotty Decker</t>
  </si>
  <si>
    <t>Lolita Decker</t>
  </si>
  <si>
    <t>561-99-3291</t>
  </si>
  <si>
    <t>385-701-5077</t>
  </si>
  <si>
    <t>Aurora</t>
  </si>
  <si>
    <t>Sevier</t>
  </si>
  <si>
    <t>fbdecker</t>
  </si>
  <si>
    <t>xZj11{\wEepTe9o</t>
  </si>
  <si>
    <t>Parker</t>
  </si>
  <si>
    <t>shannon.parker@yahoo.com</t>
  </si>
  <si>
    <t>Rodolfo Parker</t>
  </si>
  <si>
    <t>Norma Parker</t>
  </si>
  <si>
    <t>Norman</t>
  </si>
  <si>
    <t>521-99-6632</t>
  </si>
  <si>
    <t>907-888-7743</t>
  </si>
  <si>
    <t>North Pole</t>
  </si>
  <si>
    <t>siparker</t>
  </si>
  <si>
    <t>ChR@|xei</t>
  </si>
  <si>
    <t>James</t>
  </si>
  <si>
    <t>james.cain@gmail.com</t>
  </si>
  <si>
    <t>Romeo Cain</t>
  </si>
  <si>
    <t>Debbie Cain</t>
  </si>
  <si>
    <t>Simpson</t>
  </si>
  <si>
    <t>697-16-0497</t>
  </si>
  <si>
    <t>208-623-6536</t>
  </si>
  <si>
    <t>Wilder</t>
  </si>
  <si>
    <t>Canyon</t>
  </si>
  <si>
    <t>jkcain</t>
  </si>
  <si>
    <t>hxJ+N%5xLm?</t>
  </si>
  <si>
    <t>craig.roberts@yahoo.co.uk</t>
  </si>
  <si>
    <t>Darren Roberts</t>
  </si>
  <si>
    <t>Mari Roberts</t>
  </si>
  <si>
    <t>510-33-4397</t>
  </si>
  <si>
    <t>217-340-7427</t>
  </si>
  <si>
    <t>cnroberts</t>
  </si>
  <si>
    <t>jmUa1[E\&lt;</t>
  </si>
  <si>
    <t>Celina</t>
  </si>
  <si>
    <t>celina.huffman@aol.com</t>
  </si>
  <si>
    <t>Archie Huffman</t>
  </si>
  <si>
    <t>Amy Huffman</t>
  </si>
  <si>
    <t>Foley</t>
  </si>
  <si>
    <t>433-99-6609</t>
  </si>
  <si>
    <t>303-570-6473</t>
  </si>
  <si>
    <t>Wetmore</t>
  </si>
  <si>
    <t>Custer</t>
  </si>
  <si>
    <t>chhuffman</t>
  </si>
  <si>
    <t>V{j1^G.GkN4</t>
  </si>
  <si>
    <t>Jimmie</t>
  </si>
  <si>
    <t>jimmie.burnett@microsoft.com</t>
  </si>
  <si>
    <t>Jamel Burnett</t>
  </si>
  <si>
    <t>Annie Burnett</t>
  </si>
  <si>
    <t>Everett</t>
  </si>
  <si>
    <t>238-99-5525</t>
  </si>
  <si>
    <t>206-621-6851</t>
  </si>
  <si>
    <t>Toppenish</t>
  </si>
  <si>
    <t>jfburnett</t>
  </si>
  <si>
    <t>nS5AVd:$Xmnk7</t>
  </si>
  <si>
    <t>Faye</t>
  </si>
  <si>
    <t>faye.barrett@sbcglobal.net</t>
  </si>
  <si>
    <t>Carmen Barrett</t>
  </si>
  <si>
    <t>Tamera Barrett</t>
  </si>
  <si>
    <t>218-89-1824</t>
  </si>
  <si>
    <t>270-979-8387</t>
  </si>
  <si>
    <t>Crittenden</t>
  </si>
  <si>
    <t>fjbarrett</t>
  </si>
  <si>
    <t>J2mqpeJjZ0</t>
  </si>
  <si>
    <t>gena.bradley@gmail.com</t>
  </si>
  <si>
    <t>Landon Bradley</t>
  </si>
  <si>
    <t>Joanna Bradley</t>
  </si>
  <si>
    <t>466-99-8029</t>
  </si>
  <si>
    <t>319-335-9592</t>
  </si>
  <si>
    <t>Garden City</t>
  </si>
  <si>
    <t>Hardin</t>
  </si>
  <si>
    <t>gabradley</t>
  </si>
  <si>
    <t>mYeyB||T~*Hg</t>
  </si>
  <si>
    <t>Deandre</t>
  </si>
  <si>
    <t>deandre.good@aol.com</t>
  </si>
  <si>
    <t>Elias Good</t>
  </si>
  <si>
    <t>Melba Good</t>
  </si>
  <si>
    <t>010-94-4511</t>
  </si>
  <si>
    <t>207-434-2187</t>
  </si>
  <si>
    <t>South Waterford</t>
  </si>
  <si>
    <t>dcgood</t>
  </si>
  <si>
    <t>KV|UvevZ</t>
  </si>
  <si>
    <t>Ayers</t>
  </si>
  <si>
    <t>garland.ayers@ibm.com</t>
  </si>
  <si>
    <t>Myron Ayers</t>
  </si>
  <si>
    <t>Alfreda Ayers</t>
  </si>
  <si>
    <t>683-24-3490</t>
  </si>
  <si>
    <t>479-957-8137</t>
  </si>
  <si>
    <t>ghayers</t>
  </si>
  <si>
    <t>j\5iCOuBl/GNw</t>
  </si>
  <si>
    <t>Jerrod</t>
  </si>
  <si>
    <t>Bell</t>
  </si>
  <si>
    <t>jerrod.bell@yahoo.com</t>
  </si>
  <si>
    <t>Spencer Bell</t>
  </si>
  <si>
    <t>Ada Bell</t>
  </si>
  <si>
    <t>Hall</t>
  </si>
  <si>
    <t>217-89-5121</t>
  </si>
  <si>
    <t>228-915-9184</t>
  </si>
  <si>
    <t>Lowndes</t>
  </si>
  <si>
    <t>jcbell</t>
  </si>
  <si>
    <t>z:]D+fn@</t>
  </si>
  <si>
    <t>Alexis</t>
  </si>
  <si>
    <t>Holland</t>
  </si>
  <si>
    <t>alexis.holland@aol.com</t>
  </si>
  <si>
    <t>Shirley Holland</t>
  </si>
  <si>
    <t>Tracey Holland</t>
  </si>
  <si>
    <t>556-99-2203</t>
  </si>
  <si>
    <t>210-983-8877</t>
  </si>
  <si>
    <t>aiholland</t>
  </si>
  <si>
    <t>Dsbs#g$D%g?x;GP</t>
  </si>
  <si>
    <t>Deidre</t>
  </si>
  <si>
    <t>deidre.barrett@yahoo.com</t>
  </si>
  <si>
    <t>Jeffry Barrett</t>
  </si>
  <si>
    <t>Cassandra Barrett</t>
  </si>
  <si>
    <t>717-18-2589</t>
  </si>
  <si>
    <t>215-445-7100</t>
  </si>
  <si>
    <t>Sykesville</t>
  </si>
  <si>
    <t>dvbarrett</t>
  </si>
  <si>
    <t>d[\@[none{!X:*</t>
  </si>
  <si>
    <t>fred.hoffman@microsoft.com</t>
  </si>
  <si>
    <t>Mary Hoffman</t>
  </si>
  <si>
    <t>Lesley Hoffman</t>
  </si>
  <si>
    <t>300-15-0846</t>
  </si>
  <si>
    <t>210-278-7110</t>
  </si>
  <si>
    <t>San Antonio</t>
  </si>
  <si>
    <t>Bexar</t>
  </si>
  <si>
    <t>fghoffman</t>
  </si>
  <si>
    <t>XxJ%h~G9_</t>
  </si>
  <si>
    <t>Effie</t>
  </si>
  <si>
    <t>effie.santana@yahoo.com</t>
  </si>
  <si>
    <t>Guillermo Santana</t>
  </si>
  <si>
    <t>Johnnie Santana</t>
  </si>
  <si>
    <t>270-17-3244</t>
  </si>
  <si>
    <t>215-545-5060</t>
  </si>
  <si>
    <t>Chicora</t>
  </si>
  <si>
    <t>exsantana</t>
  </si>
  <si>
    <t>d!+8E/lZL6Df</t>
  </si>
  <si>
    <t>Juliette</t>
  </si>
  <si>
    <t>juliette.mosley@hotmail.com</t>
  </si>
  <si>
    <t>Martin Mosley</t>
  </si>
  <si>
    <t>Rosie Mosley</t>
  </si>
  <si>
    <t>Roy</t>
  </si>
  <si>
    <t>664-22-2625</t>
  </si>
  <si>
    <t>605-828-2040</t>
  </si>
  <si>
    <t>Chancellor</t>
  </si>
  <si>
    <t>jymosley</t>
  </si>
  <si>
    <t>6+G}6!DH~s%*se\</t>
  </si>
  <si>
    <t>Susan</t>
  </si>
  <si>
    <t>susan.schwartz@gmail.com</t>
  </si>
  <si>
    <t>Louis Schwartz</t>
  </si>
  <si>
    <t>Rosanna Schwartz</t>
  </si>
  <si>
    <t>081-02-2214</t>
  </si>
  <si>
    <t>215-578-8596</t>
  </si>
  <si>
    <t>Boalsburg</t>
  </si>
  <si>
    <t>seschwartz</t>
  </si>
  <si>
    <t>Q$]&amp;#U.J</t>
  </si>
  <si>
    <t>Richie</t>
  </si>
  <si>
    <t>richie.downs@cox.net</t>
  </si>
  <si>
    <t>Karl Downs</t>
  </si>
  <si>
    <t>Ila Downs</t>
  </si>
  <si>
    <t>249-99-9939</t>
  </si>
  <si>
    <t>209-990-1777</t>
  </si>
  <si>
    <t>Floriston</t>
  </si>
  <si>
    <t>Nevada</t>
  </si>
  <si>
    <t>rvdowns</t>
  </si>
  <si>
    <t>R9Sk\F0{n0W</t>
  </si>
  <si>
    <t>winston.griffin@gmail.com</t>
  </si>
  <si>
    <t>Luke Griffin</t>
  </si>
  <si>
    <t>Lina Griffin</t>
  </si>
  <si>
    <t>Johns</t>
  </si>
  <si>
    <t>196-84-7330</t>
  </si>
  <si>
    <t>236-706-4648</t>
  </si>
  <si>
    <t>Rural Retreat</t>
  </si>
  <si>
    <t>wigriffin</t>
  </si>
  <si>
    <t>q^oCV9|Jd</t>
  </si>
  <si>
    <t>Sammy</t>
  </si>
  <si>
    <t>sammy.mills@yahoo.com</t>
  </si>
  <si>
    <t>Andy Mills</t>
  </si>
  <si>
    <t>Gabriela Mills</t>
  </si>
  <si>
    <t>012-94-9533</t>
  </si>
  <si>
    <t>239-740-8337</t>
  </si>
  <si>
    <t>snmills</t>
  </si>
  <si>
    <t>vptO:]a[8P</t>
  </si>
  <si>
    <t>Gracie</t>
  </si>
  <si>
    <t>gracie.mosley@yahoo.co.uk</t>
  </si>
  <si>
    <t>Alfredo Mosley</t>
  </si>
  <si>
    <t>Violet Mosley</t>
  </si>
  <si>
    <t>043-15-5539</t>
  </si>
  <si>
    <t>252-933-6558</t>
  </si>
  <si>
    <t>Millers Creek</t>
  </si>
  <si>
    <t>gcmosley</t>
  </si>
  <si>
    <t>m%CUbP:vTBOl$wg</t>
  </si>
  <si>
    <t>manuel.bentley@yahoo.com</t>
  </si>
  <si>
    <t>Wilford Bentley</t>
  </si>
  <si>
    <t>Noemi Bentley</t>
  </si>
  <si>
    <t>612-87-0154</t>
  </si>
  <si>
    <t>304-225-2645</t>
  </si>
  <si>
    <t>Cyclone</t>
  </si>
  <si>
    <t>mdbentley</t>
  </si>
  <si>
    <t>45H.iF%&amp;l</t>
  </si>
  <si>
    <t>Hogan</t>
  </si>
  <si>
    <t>roberto.hogan@aol.com</t>
  </si>
  <si>
    <t>William Hogan</t>
  </si>
  <si>
    <t>Diann Hogan</t>
  </si>
  <si>
    <t>095-02-1801</t>
  </si>
  <si>
    <t>319-361-9079</t>
  </si>
  <si>
    <t>Liscomb</t>
  </si>
  <si>
    <t>rohogan</t>
  </si>
  <si>
    <t>kv!GYn&gt;&lt;D{B5aZ-</t>
  </si>
  <si>
    <t>Wilma</t>
  </si>
  <si>
    <t>wilma.gray@gmail.com</t>
  </si>
  <si>
    <t>Eli Gray</t>
  </si>
  <si>
    <t>Keisha Gray</t>
  </si>
  <si>
    <t>Hawkins</t>
  </si>
  <si>
    <t>129-98-2701</t>
  </si>
  <si>
    <t>308-513-9527</t>
  </si>
  <si>
    <t>Elk Creek</t>
  </si>
  <si>
    <t>wugray</t>
  </si>
  <si>
    <t>wsq&gt;53nSp49w_&amp;5</t>
  </si>
  <si>
    <t>roderick.perry@gmail.com</t>
  </si>
  <si>
    <t>Sal Perry</t>
  </si>
  <si>
    <t>Claire Perry</t>
  </si>
  <si>
    <t>156-23-0500</t>
  </si>
  <si>
    <t>339-636-3368</t>
  </si>
  <si>
    <t>West Townsend</t>
  </si>
  <si>
    <t>rtperry</t>
  </si>
  <si>
    <t>Pn&gt;0y;GDoqWAc</t>
  </si>
  <si>
    <t>Mayra</t>
  </si>
  <si>
    <t>mayra.bowen@gmail.com</t>
  </si>
  <si>
    <t>Clyde Bowen</t>
  </si>
  <si>
    <t>Terri Bowen</t>
  </si>
  <si>
    <t>437-99-2897</t>
  </si>
  <si>
    <t>209-841-2723</t>
  </si>
  <si>
    <t>San Diego</t>
  </si>
  <si>
    <t>mlbowen</t>
  </si>
  <si>
    <t>Gf\KSa1qsm?i</t>
  </si>
  <si>
    <t>Andres</t>
  </si>
  <si>
    <t>Alexander</t>
  </si>
  <si>
    <t>andres.alexander@yahoo.com</t>
  </si>
  <si>
    <t>Micah Alexander</t>
  </si>
  <si>
    <t>Darlene Alexander</t>
  </si>
  <si>
    <t>303-37-9353</t>
  </si>
  <si>
    <t>212-699-1989</t>
  </si>
  <si>
    <t>St. Lawrence</t>
  </si>
  <si>
    <t>agalexander</t>
  </si>
  <si>
    <t>lq3:]H3LVkG</t>
  </si>
  <si>
    <t>quentin.carney@gmail.com</t>
  </si>
  <si>
    <t>Norman Carney</t>
  </si>
  <si>
    <t>Karyn Carney</t>
  </si>
  <si>
    <t>378-37-6428</t>
  </si>
  <si>
    <t>218-666-9869</t>
  </si>
  <si>
    <t>Kittson</t>
  </si>
  <si>
    <t>qbcarney</t>
  </si>
  <si>
    <t>a;i}WN8pFA5}{</t>
  </si>
  <si>
    <t>adrian.dunlap@hotmail.com</t>
  </si>
  <si>
    <t>Lamar Dunlap</t>
  </si>
  <si>
    <t>Charlotte Dunlap</t>
  </si>
  <si>
    <t>619-87-5812</t>
  </si>
  <si>
    <t>203-936-3909</t>
  </si>
  <si>
    <t>Hartford</t>
  </si>
  <si>
    <t>awdunlap</t>
  </si>
  <si>
    <t>s]vApKBm?Ja</t>
  </si>
  <si>
    <t>Lelia</t>
  </si>
  <si>
    <t>lelia.sawyer@gmail.com</t>
  </si>
  <si>
    <t>Rodolfo Sawyer</t>
  </si>
  <si>
    <t>Amber Sawyer</t>
  </si>
  <si>
    <t>695-16-6612</t>
  </si>
  <si>
    <t>319-717-7518</t>
  </si>
  <si>
    <t>Millersburg</t>
  </si>
  <si>
    <t>Iowa</t>
  </si>
  <si>
    <t>lhsawyer</t>
  </si>
  <si>
    <t>L;D2nGOKY.</t>
  </si>
  <si>
    <t>Tad</t>
  </si>
  <si>
    <t>Patrick</t>
  </si>
  <si>
    <t>tad.patrick@yahoo.co.in</t>
  </si>
  <si>
    <t>Shelby Patrick</t>
  </si>
  <si>
    <t>Odessa Patrick</t>
  </si>
  <si>
    <t>677-22-5970</t>
  </si>
  <si>
    <t>239-831-9507</t>
  </si>
  <si>
    <t>North Port</t>
  </si>
  <si>
    <t>tkpatrick</t>
  </si>
  <si>
    <t>Xw3QK:_-&amp;F^O</t>
  </si>
  <si>
    <t>Pansy</t>
  </si>
  <si>
    <t>pansy.macdonald@gmail.com</t>
  </si>
  <si>
    <t>Zachary Macdonald</t>
  </si>
  <si>
    <t>May Macdonald</t>
  </si>
  <si>
    <t>176-86-4548</t>
  </si>
  <si>
    <t>215-543-6120</t>
  </si>
  <si>
    <t>Hershey</t>
  </si>
  <si>
    <t>pvmacdonald</t>
  </si>
  <si>
    <t>Wg?x3q@1|DnC0</t>
  </si>
  <si>
    <t>Agustin</t>
  </si>
  <si>
    <t>agustin.gentry@aol.com</t>
  </si>
  <si>
    <t>Julian Gentry</t>
  </si>
  <si>
    <t>Lenora Gentry</t>
  </si>
  <si>
    <t>002-11-5972</t>
  </si>
  <si>
    <t>423-410-5564</t>
  </si>
  <si>
    <t>Chattanooga</t>
  </si>
  <si>
    <t>ajgentry</t>
  </si>
  <si>
    <t>w_V3X0!7iD[</t>
  </si>
  <si>
    <t>Conley</t>
  </si>
  <si>
    <t>riley.conley@gmail.com</t>
  </si>
  <si>
    <t>Erwin Conley</t>
  </si>
  <si>
    <t>Reyna Conley</t>
  </si>
  <si>
    <t>575-99-1775</t>
  </si>
  <si>
    <t>210-262-5038</t>
  </si>
  <si>
    <t>rrconley</t>
  </si>
  <si>
    <t>4a?hNe;5?kW/</t>
  </si>
  <si>
    <t>bernard.leach@sbcglobal.net</t>
  </si>
  <si>
    <t>Buddy Leach</t>
  </si>
  <si>
    <t>Katheryn Leach</t>
  </si>
  <si>
    <t>Stewart</t>
  </si>
  <si>
    <t>569-99-5915</t>
  </si>
  <si>
    <t>303-296-0269</t>
  </si>
  <si>
    <t>Kiowa</t>
  </si>
  <si>
    <t>Elbert</t>
  </si>
  <si>
    <t>bnleach</t>
  </si>
  <si>
    <t>m2pn%kNEF+J2IOi</t>
  </si>
  <si>
    <t>Lonnie</t>
  </si>
  <si>
    <t>lonnie.gonzales@aol.com</t>
  </si>
  <si>
    <t>Adolph Gonzales</t>
  </si>
  <si>
    <t>Elizabeth Gonzales</t>
  </si>
  <si>
    <t>525-99-5425</t>
  </si>
  <si>
    <t>210-813-7537</t>
  </si>
  <si>
    <t>Missouri City</t>
  </si>
  <si>
    <t>Fort Bend</t>
  </si>
  <si>
    <t>lsgonzales</t>
  </si>
  <si>
    <t>f2po%}t~EwKOu{</t>
  </si>
  <si>
    <t>Courtney</t>
  </si>
  <si>
    <t>courtney.barnes@ntlworld.com</t>
  </si>
  <si>
    <t>Augustine Barnes</t>
  </si>
  <si>
    <t>Lana Barnes</t>
  </si>
  <si>
    <t>516-49-6258</t>
  </si>
  <si>
    <t>236-958-8215</t>
  </si>
  <si>
    <t>Elliston</t>
  </si>
  <si>
    <t>Roanoke</t>
  </si>
  <si>
    <t>cgbarnes</t>
  </si>
  <si>
    <t>6kQ6PMiEj@0</t>
  </si>
  <si>
    <t>Eliza</t>
  </si>
  <si>
    <t>Odonnell</t>
  </si>
  <si>
    <t>eliza.odonnell@msn.com</t>
  </si>
  <si>
    <t>Alphonso Odonnell</t>
  </si>
  <si>
    <t>Milagros Odonnell</t>
  </si>
  <si>
    <t>Sharp</t>
  </si>
  <si>
    <t>445-27-5887</t>
  </si>
  <si>
    <t>339-906-5792</t>
  </si>
  <si>
    <t>erodonnell</t>
  </si>
  <si>
    <t>58_6I8fh:TGg</t>
  </si>
  <si>
    <t>Jody</t>
  </si>
  <si>
    <t>jody.mejia@verizon.net</t>
  </si>
  <si>
    <t>Bennett Mejia</t>
  </si>
  <si>
    <t>Twila Mejia</t>
  </si>
  <si>
    <t>Dillon</t>
  </si>
  <si>
    <t>355-08-6730</t>
  </si>
  <si>
    <t>270-958-5406</t>
  </si>
  <si>
    <t>Rineyville</t>
  </si>
  <si>
    <t>jdmejia</t>
  </si>
  <si>
    <t>O.6/kAU3LNg</t>
  </si>
  <si>
    <t>Pam</t>
  </si>
  <si>
    <t>pam.stuart@gmail.com</t>
  </si>
  <si>
    <t>Guy Stuart</t>
  </si>
  <si>
    <t>Willa Stuart</t>
  </si>
  <si>
    <t>Mcmillan</t>
  </si>
  <si>
    <t>234-57-6955</t>
  </si>
  <si>
    <t>240-870-5879</t>
  </si>
  <si>
    <t>Stockton</t>
  </si>
  <si>
    <t>plstuart</t>
  </si>
  <si>
    <t>5|[xtQs3eO</t>
  </si>
  <si>
    <t>Trevor</t>
  </si>
  <si>
    <t>trevor.romero@gmail.com</t>
  </si>
  <si>
    <t>Frankie Romero</t>
  </si>
  <si>
    <t>Jannie Romero</t>
  </si>
  <si>
    <t>496-29-7731</t>
  </si>
  <si>
    <t>201-605-4247</t>
  </si>
  <si>
    <t>Clifton</t>
  </si>
  <si>
    <t>Passaic</t>
  </si>
  <si>
    <t>tmromero</t>
  </si>
  <si>
    <t>xreWg;CL1</t>
  </si>
  <si>
    <t>Tamara</t>
  </si>
  <si>
    <t>tamara.perez@aol.com</t>
  </si>
  <si>
    <t>Alexander Perez</t>
  </si>
  <si>
    <t>Crystal Perez</t>
  </si>
  <si>
    <t>383-37-8487</t>
  </si>
  <si>
    <t>215-606-2786</t>
  </si>
  <si>
    <t>Essington</t>
  </si>
  <si>
    <t>tzperez</t>
  </si>
  <si>
    <t>V6JB/+0mM8#!k&amp;R</t>
  </si>
  <si>
    <t>Bonita</t>
  </si>
  <si>
    <t>bonita.dixon@gmail.com</t>
  </si>
  <si>
    <t>Marc Dixon</t>
  </si>
  <si>
    <t>Callie Dixon</t>
  </si>
  <si>
    <t>661-22-4242</t>
  </si>
  <si>
    <t>215-203-8551</t>
  </si>
  <si>
    <t>Kennett Square</t>
  </si>
  <si>
    <t>bndixon</t>
  </si>
  <si>
    <t>F:-{UHQ3S~cvx</t>
  </si>
  <si>
    <t>Raphael</t>
  </si>
  <si>
    <t>raphael.durham@bp.com</t>
  </si>
  <si>
    <t>Jonah Durham</t>
  </si>
  <si>
    <t>Teresa Durham</t>
  </si>
  <si>
    <t>Fischer</t>
  </si>
  <si>
    <t>446-27-1565</t>
  </si>
  <si>
    <t>252-634-5403</t>
  </si>
  <si>
    <t>Elm City</t>
  </si>
  <si>
    <t>rodurham</t>
  </si>
  <si>
    <t>pH6!aFzK</t>
  </si>
  <si>
    <t>Rosanne</t>
  </si>
  <si>
    <t>rosanne.mendoza@shell.com</t>
  </si>
  <si>
    <t>Isiah Mendoza</t>
  </si>
  <si>
    <t>Charlotte Mendoza</t>
  </si>
  <si>
    <t>420-67-2231</t>
  </si>
  <si>
    <t>605-701-8540</t>
  </si>
  <si>
    <t>White Lake</t>
  </si>
  <si>
    <t>rmmendoza</t>
  </si>
  <si>
    <t>tE@{G\:OwU1]</t>
  </si>
  <si>
    <t>Hays</t>
  </si>
  <si>
    <t>ola.hays@exxonmobil.com</t>
  </si>
  <si>
    <t>Zachariah Hays</t>
  </si>
  <si>
    <t>Judy Hays</t>
  </si>
  <si>
    <t>143-23-6142</t>
  </si>
  <si>
    <t>209-344-1530</t>
  </si>
  <si>
    <t>Redlands</t>
  </si>
  <si>
    <t>oehays</t>
  </si>
  <si>
    <t>GiEcDB[y</t>
  </si>
  <si>
    <t>Genevieve</t>
  </si>
  <si>
    <t>genevieve.finley@charter.net</t>
  </si>
  <si>
    <t>Sebastian Finley</t>
  </si>
  <si>
    <t>Melinda Finley</t>
  </si>
  <si>
    <t>Keith</t>
  </si>
  <si>
    <t>118-98-7557</t>
  </si>
  <si>
    <t>219-544-5838</t>
  </si>
  <si>
    <t>Ora</t>
  </si>
  <si>
    <t>gpfinley</t>
  </si>
  <si>
    <t>W/]Wg^@&amp;@}/h</t>
  </si>
  <si>
    <t>lamont.albert@yahoo.com</t>
  </si>
  <si>
    <t>Ali Albert</t>
  </si>
  <si>
    <t>Bernice Albert</t>
  </si>
  <si>
    <t>105-02-1211</t>
  </si>
  <si>
    <t>215-848-2868</t>
  </si>
  <si>
    <t>Cassville</t>
  </si>
  <si>
    <t>lqalbert</t>
  </si>
  <si>
    <t>lJ-]?+R]!9:h3</t>
  </si>
  <si>
    <t>margie.vincent@ibm.com</t>
  </si>
  <si>
    <t>Russel Vincent</t>
  </si>
  <si>
    <t>Greta Vincent</t>
  </si>
  <si>
    <t>653-60-7379</t>
  </si>
  <si>
    <t>210-722-8478</t>
  </si>
  <si>
    <t>Corpus Christi</t>
  </si>
  <si>
    <t>mrvincent</t>
  </si>
  <si>
    <t>Co#N%DEOCdt</t>
  </si>
  <si>
    <t>Terrell</t>
  </si>
  <si>
    <t>Sears</t>
  </si>
  <si>
    <t>terrell.sears@yahoo.co.uk</t>
  </si>
  <si>
    <t>Josue Sears</t>
  </si>
  <si>
    <t>Imogene Sears</t>
  </si>
  <si>
    <t>704-18-7450</t>
  </si>
  <si>
    <t>207-627-0029</t>
  </si>
  <si>
    <t>tvsears</t>
  </si>
  <si>
    <t>V:$hXVRF</t>
  </si>
  <si>
    <t>edna.riddle@walmart.com</t>
  </si>
  <si>
    <t>Thurman Riddle</t>
  </si>
  <si>
    <t>Katherine Riddle</t>
  </si>
  <si>
    <t>625-85-4062</t>
  </si>
  <si>
    <t>209-221-5899</t>
  </si>
  <si>
    <t>Calimesa</t>
  </si>
  <si>
    <t>eeriddle</t>
  </si>
  <si>
    <t>Np#z[YX]la</t>
  </si>
  <si>
    <t>Lindsey</t>
  </si>
  <si>
    <t>lindsey.griffin@gmail.com</t>
  </si>
  <si>
    <t>Rusty Griffin</t>
  </si>
  <si>
    <t>Judy Griffin</t>
  </si>
  <si>
    <t>Morse</t>
  </si>
  <si>
    <t>507-57-2384</t>
  </si>
  <si>
    <t>252-283-7529</t>
  </si>
  <si>
    <t>logriffin</t>
  </si>
  <si>
    <t>V9*BiTjt~~o~8C</t>
  </si>
  <si>
    <t>lorrie.sears@gmail.com</t>
  </si>
  <si>
    <t>Alexis Sears</t>
  </si>
  <si>
    <t>Frankie Sears</t>
  </si>
  <si>
    <t>Crosby</t>
  </si>
  <si>
    <t>672-48-1581</t>
  </si>
  <si>
    <t>209-769-3945</t>
  </si>
  <si>
    <t>Montara</t>
  </si>
  <si>
    <t>lgsears</t>
  </si>
  <si>
    <t>V6@h%8.v9:~</t>
  </si>
  <si>
    <t>Denver</t>
  </si>
  <si>
    <t>denver.mays@charter.net</t>
  </si>
  <si>
    <t>Hugo Mays</t>
  </si>
  <si>
    <t>Lillian Mays</t>
  </si>
  <si>
    <t>445-27-8040</t>
  </si>
  <si>
    <t>262-586-8792</t>
  </si>
  <si>
    <t>Merrill</t>
  </si>
  <si>
    <t>Lincoln</t>
  </si>
  <si>
    <t>dcmays</t>
  </si>
  <si>
    <t>hdbiyorpHfj-o</t>
  </si>
  <si>
    <t>Daisy</t>
  </si>
  <si>
    <t>daisy.giles@yahoo.ca</t>
  </si>
  <si>
    <t>Lenard Giles</t>
  </si>
  <si>
    <t>Renee Giles</t>
  </si>
  <si>
    <t>575-99-4427</t>
  </si>
  <si>
    <t>239-794-9867</t>
  </si>
  <si>
    <t>Lutz</t>
  </si>
  <si>
    <t>digiles</t>
  </si>
  <si>
    <t>3]1|e0aD2</t>
  </si>
  <si>
    <t>Wade</t>
  </si>
  <si>
    <t>esperanza.wade@gmail.com</t>
  </si>
  <si>
    <t>Sidney Wade</t>
  </si>
  <si>
    <t>Jody Wade</t>
  </si>
  <si>
    <t>732-28-1105</t>
  </si>
  <si>
    <t>252-531-1147</t>
  </si>
  <si>
    <t>Ruffin</t>
  </si>
  <si>
    <t>eiwade</t>
  </si>
  <si>
    <t>iGT5~brb</t>
  </si>
  <si>
    <t>Janice</t>
  </si>
  <si>
    <t>janice.berg@gmail.com</t>
  </si>
  <si>
    <t>Deon Berg</t>
  </si>
  <si>
    <t>Lucia Berg</t>
  </si>
  <si>
    <t>598-92-9018</t>
  </si>
  <si>
    <t>216-667-7322</t>
  </si>
  <si>
    <t>Bladensburg</t>
  </si>
  <si>
    <t>jjberg</t>
  </si>
  <si>
    <t>VTZ&gt;W\hrd^FC{DQ</t>
  </si>
  <si>
    <t>Helene</t>
  </si>
  <si>
    <t>Gallegos</t>
  </si>
  <si>
    <t>helene.gallegos@gmail.com</t>
  </si>
  <si>
    <t>Theron Gallegos</t>
  </si>
  <si>
    <t>Donna Gallegos</t>
  </si>
  <si>
    <t>485-41-5575</t>
  </si>
  <si>
    <t>405-378-0829</t>
  </si>
  <si>
    <t>Hunter</t>
  </si>
  <si>
    <t>Garfield</t>
  </si>
  <si>
    <t>hmgallegos</t>
  </si>
  <si>
    <t>9@c;NF7b&amp;qhy&amp;i</t>
  </si>
  <si>
    <t>rosario.tyson@gmail.com</t>
  </si>
  <si>
    <t>Shane Tyson</t>
  </si>
  <si>
    <t>Nell Tyson</t>
  </si>
  <si>
    <t>125-98-7601</t>
  </si>
  <si>
    <t>303-853-1375</t>
  </si>
  <si>
    <t>Costilla</t>
  </si>
  <si>
    <t>rftyson</t>
  </si>
  <si>
    <t>ELLkP]u4yN4o#ES</t>
  </si>
  <si>
    <t>Teresa</t>
  </si>
  <si>
    <t>teresa.bowen@ibm.com</t>
  </si>
  <si>
    <t>Richie Bowen</t>
  </si>
  <si>
    <t>Sheri Bowen</t>
  </si>
  <si>
    <t>705-18-7923</t>
  </si>
  <si>
    <t>201-412-7978</t>
  </si>
  <si>
    <t>Allenhurst</t>
  </si>
  <si>
    <t>Monmouth</t>
  </si>
  <si>
    <t>txbowen</t>
  </si>
  <si>
    <t>inBCB+wa/</t>
  </si>
  <si>
    <t>janna.joseph@gmail.com</t>
  </si>
  <si>
    <t>Rodney Joseph</t>
  </si>
  <si>
    <t>Robyn Joseph</t>
  </si>
  <si>
    <t>448-27-4658</t>
  </si>
  <si>
    <t>207-865-3493</t>
  </si>
  <si>
    <t>Androscoggin</t>
  </si>
  <si>
    <t>jjjoseph</t>
  </si>
  <si>
    <t>Tp/|]MEOTE</t>
  </si>
  <si>
    <t>Erika</t>
  </si>
  <si>
    <t>Myers</t>
  </si>
  <si>
    <t>erika.myers@gmail.com</t>
  </si>
  <si>
    <t>Bret Myers</t>
  </si>
  <si>
    <t>Monica Myers</t>
  </si>
  <si>
    <t>110-98-4746</t>
  </si>
  <si>
    <t>240-285-1644</t>
  </si>
  <si>
    <t>Walkersville</t>
  </si>
  <si>
    <t>eumyers</t>
  </si>
  <si>
    <t>9Ccp8n\Kk8</t>
  </si>
  <si>
    <t>Mohamed</t>
  </si>
  <si>
    <t>Fitzgerald</t>
  </si>
  <si>
    <t>mohamed.fitzgerald@aol.com</t>
  </si>
  <si>
    <t>George Fitzgerald</t>
  </si>
  <si>
    <t>Virginia Fitzgerald</t>
  </si>
  <si>
    <t>444-27-5816</t>
  </si>
  <si>
    <t>210-510-6554</t>
  </si>
  <si>
    <t>mxfitzgerald</t>
  </si>
  <si>
    <t>7^JnN51t</t>
  </si>
  <si>
    <t>Mohammad</t>
  </si>
  <si>
    <t>mohammad.downs@gmail.com</t>
  </si>
  <si>
    <t>Burt Downs</t>
  </si>
  <si>
    <t>Juliet Downs</t>
  </si>
  <si>
    <t>407-73-2925</t>
  </si>
  <si>
    <t>210-270-4781</t>
  </si>
  <si>
    <t>Spur</t>
  </si>
  <si>
    <t>Dickens</t>
  </si>
  <si>
    <t>mfdowns</t>
  </si>
  <si>
    <t>v-Y-V@*dvY.</t>
  </si>
  <si>
    <t>Felipe</t>
  </si>
  <si>
    <t>felipe.vance@gmail.com</t>
  </si>
  <si>
    <t>Stephan Vance</t>
  </si>
  <si>
    <t>Gale Vance</t>
  </si>
  <si>
    <t>098-02-9248</t>
  </si>
  <si>
    <t>316-740-9840</t>
  </si>
  <si>
    <t>Chetopa</t>
  </si>
  <si>
    <t>Labette</t>
  </si>
  <si>
    <t>fivance</t>
  </si>
  <si>
    <t>YTGJorIJs</t>
  </si>
  <si>
    <t>Rusty</t>
  </si>
  <si>
    <t>rusty.moran@aol.com</t>
  </si>
  <si>
    <t>Garland Moran</t>
  </si>
  <si>
    <t>Rhoda Moran</t>
  </si>
  <si>
    <t>574-61-2278</t>
  </si>
  <si>
    <t>217-712-9247</t>
  </si>
  <si>
    <t>Ferris</t>
  </si>
  <si>
    <t>rkmoran</t>
  </si>
  <si>
    <t>y^Y]oyX9Q</t>
  </si>
  <si>
    <t>Wolf</t>
  </si>
  <si>
    <t>kirsten.wolf@aol.com</t>
  </si>
  <si>
    <t>Mitchel Wolf</t>
  </si>
  <si>
    <t>Nancy Wolf</t>
  </si>
  <si>
    <t>703-18-9584</t>
  </si>
  <si>
    <t>225-903-4040</t>
  </si>
  <si>
    <t>ktwolf</t>
  </si>
  <si>
    <t>vS|qHlhi</t>
  </si>
  <si>
    <t>Mercedes</t>
  </si>
  <si>
    <t>mercedes.glass@ntlworld.com</t>
  </si>
  <si>
    <t>Giovanni Glass</t>
  </si>
  <si>
    <t>April Glass</t>
  </si>
  <si>
    <t>657-36-0722</t>
  </si>
  <si>
    <t>209-575-0812</t>
  </si>
  <si>
    <t>Fall River Mills</t>
  </si>
  <si>
    <t>mtglass</t>
  </si>
  <si>
    <t>xVLyg;SzW</t>
  </si>
  <si>
    <t>Kenya</t>
  </si>
  <si>
    <t>kenya.merrill@apple.com</t>
  </si>
  <si>
    <t>Dante Merrill</t>
  </si>
  <si>
    <t>Corine Merrill</t>
  </si>
  <si>
    <t>082-02-4317</t>
  </si>
  <si>
    <t>314-592-6247</t>
  </si>
  <si>
    <t>House Springs</t>
  </si>
  <si>
    <t>kamerrill</t>
  </si>
  <si>
    <t>UUsuN4Nb:</t>
  </si>
  <si>
    <t>Laurence</t>
  </si>
  <si>
    <t>laurence.camacho@gmail.com</t>
  </si>
  <si>
    <t>Pablo Camacho</t>
  </si>
  <si>
    <t>April Camacho</t>
  </si>
  <si>
    <t>Cooper</t>
  </si>
  <si>
    <t>559-99-1925</t>
  </si>
  <si>
    <t>215-993-4147</t>
  </si>
  <si>
    <t>lycamacho</t>
  </si>
  <si>
    <t>Y\x8B{:JqRd#</t>
  </si>
  <si>
    <t>shirley.potter@yahoo.ca</t>
  </si>
  <si>
    <t>Nickolas Potter</t>
  </si>
  <si>
    <t>Alba Potter</t>
  </si>
  <si>
    <t>332-11-2702</t>
  </si>
  <si>
    <t>218-695-4963</t>
  </si>
  <si>
    <t>Scandia</t>
  </si>
  <si>
    <t>sqpotter</t>
  </si>
  <si>
    <t>Y[yz0bOa:N}j*</t>
  </si>
  <si>
    <t>ricky.snider@gmail.com</t>
  </si>
  <si>
    <t>Mitchell Snider</t>
  </si>
  <si>
    <t>Liliana Snider</t>
  </si>
  <si>
    <t>066-02-5461</t>
  </si>
  <si>
    <t>212-720-7830</t>
  </si>
  <si>
    <t>rzsnider</t>
  </si>
  <si>
    <t>E\GmUr?6?</t>
  </si>
  <si>
    <t>Jerry</t>
  </si>
  <si>
    <t>jerry.jacobs@gmail.com</t>
  </si>
  <si>
    <t>Vance Jacobs</t>
  </si>
  <si>
    <t>Arlene Jacobs</t>
  </si>
  <si>
    <t>042-15-7172</t>
  </si>
  <si>
    <t>423-846-5095</t>
  </si>
  <si>
    <t>jxjacobs</t>
  </si>
  <si>
    <t>r]TvrJvD</t>
  </si>
  <si>
    <t>Melva</t>
  </si>
  <si>
    <t>Payne</t>
  </si>
  <si>
    <t>melva.payne@bellsouth.net</t>
  </si>
  <si>
    <t>Gail Payne</t>
  </si>
  <si>
    <t>Petra Payne</t>
  </si>
  <si>
    <t>691-18-9471</t>
  </si>
  <si>
    <t>209-282-9349</t>
  </si>
  <si>
    <t>Represa</t>
  </si>
  <si>
    <t>mupayne</t>
  </si>
  <si>
    <t>I9N&lt;MiDnXQl</t>
  </si>
  <si>
    <t>josef.lamb@gmail.com</t>
  </si>
  <si>
    <t>Jerald Lamb</t>
  </si>
  <si>
    <t>Melva Lamb</t>
  </si>
  <si>
    <t>Serrano</t>
  </si>
  <si>
    <t>519-87-7241</t>
  </si>
  <si>
    <t>205-274-2958</t>
  </si>
  <si>
    <t>Creola</t>
  </si>
  <si>
    <t>Mobile</t>
  </si>
  <si>
    <t>jvlamb</t>
  </si>
  <si>
    <t>JTo~uJqm&amp;</t>
  </si>
  <si>
    <t>Ellen</t>
  </si>
  <si>
    <t>ellen.bird@sbcglobal.net</t>
  </si>
  <si>
    <t>Dominique Bird</t>
  </si>
  <si>
    <t>Aline Bird</t>
  </si>
  <si>
    <t>353-08-5818</t>
  </si>
  <si>
    <t>236-825-0094</t>
  </si>
  <si>
    <t>Hurt</t>
  </si>
  <si>
    <t>Pittsylvania</t>
  </si>
  <si>
    <t>elbird</t>
  </si>
  <si>
    <t>QTB2XD#m</t>
  </si>
  <si>
    <t>Lydia</t>
  </si>
  <si>
    <t>lydia.lindsey@comcast.net</t>
  </si>
  <si>
    <t>Clair Lindsey</t>
  </si>
  <si>
    <t>Velma Lindsey</t>
  </si>
  <si>
    <t>271-17-5906</t>
  </si>
  <si>
    <t>701-553-1269</t>
  </si>
  <si>
    <t>Crystal</t>
  </si>
  <si>
    <t>Pembina</t>
  </si>
  <si>
    <t>lmlindsey</t>
  </si>
  <si>
    <t>9WQ&gt;0DZD</t>
  </si>
  <si>
    <t>Becky</t>
  </si>
  <si>
    <t>becky.bolton@gmail.com</t>
  </si>
  <si>
    <t>Gerardo Bolton</t>
  </si>
  <si>
    <t>Sheryl Bolton</t>
  </si>
  <si>
    <t>548-99-7738</t>
  </si>
  <si>
    <t>217-563-0363</t>
  </si>
  <si>
    <t>Bloomington</t>
  </si>
  <si>
    <t>bhbolton</t>
  </si>
  <si>
    <t>h+XYqm[rmfbph</t>
  </si>
  <si>
    <t>Petersen</t>
  </si>
  <si>
    <t>edna.petersen@gmail.com</t>
  </si>
  <si>
    <t>Jerald Petersen</t>
  </si>
  <si>
    <t>Nelda Petersen</t>
  </si>
  <si>
    <t>470-57-8559</t>
  </si>
  <si>
    <t>231-452-4156</t>
  </si>
  <si>
    <t>Allen Park</t>
  </si>
  <si>
    <t>expetersen</t>
  </si>
  <si>
    <t>XGs2MeU:4s~S8mt</t>
  </si>
  <si>
    <t>Yong</t>
  </si>
  <si>
    <t>yong.poole@sbcglobal.net</t>
  </si>
  <si>
    <t>Charley Poole</t>
  </si>
  <si>
    <t>Cheri Poole</t>
  </si>
  <si>
    <t>Daugherty</t>
  </si>
  <si>
    <t>271-17-0003</t>
  </si>
  <si>
    <t>216-633-4360</t>
  </si>
  <si>
    <t>yvpoole</t>
  </si>
  <si>
    <t>Vvlt9nX%?}</t>
  </si>
  <si>
    <t>shannon.singleton@yahoo.co.in</t>
  </si>
  <si>
    <t>Joseph Singleton</t>
  </si>
  <si>
    <t>Yesenia Singleton</t>
  </si>
  <si>
    <t>188-86-4391</t>
  </si>
  <si>
    <t>252-688-2150</t>
  </si>
  <si>
    <t>Glenville</t>
  </si>
  <si>
    <t>svsingleton</t>
  </si>
  <si>
    <t>A}cp8uO0MnSF!-#</t>
  </si>
  <si>
    <t>Benny</t>
  </si>
  <si>
    <t>Smith</t>
  </si>
  <si>
    <t>benny.smith@gmail.com</t>
  </si>
  <si>
    <t>Art Smith</t>
  </si>
  <si>
    <t>Caitlin Smith</t>
  </si>
  <si>
    <t>153-23-1572</t>
  </si>
  <si>
    <t>503-642-5195</t>
  </si>
  <si>
    <t>Gold Hill</t>
  </si>
  <si>
    <t>bysmith</t>
  </si>
  <si>
    <t>QD03?KE3x&lt;dt</t>
  </si>
  <si>
    <t>Rhea</t>
  </si>
  <si>
    <t>rhea.faulkner@charter.net</t>
  </si>
  <si>
    <t>Young Faulkner</t>
  </si>
  <si>
    <t>Arline Faulkner</t>
  </si>
  <si>
    <t>Santiago</t>
  </si>
  <si>
    <t>377-37-0296</t>
  </si>
  <si>
    <t>319-869-7190</t>
  </si>
  <si>
    <t>Rock Rapids</t>
  </si>
  <si>
    <t>Lyon</t>
  </si>
  <si>
    <t>rxfaulkner</t>
  </si>
  <si>
    <t>X-VJI]V]?PR\{~</t>
  </si>
  <si>
    <t>Tracy</t>
  </si>
  <si>
    <t>tracy.sparks@hotmail.co.uk</t>
  </si>
  <si>
    <t>Orval Sparks</t>
  </si>
  <si>
    <t>Lorrie Sparks</t>
  </si>
  <si>
    <t>170-86-0752</t>
  </si>
  <si>
    <t>215-515-9885</t>
  </si>
  <si>
    <t>Numidia</t>
  </si>
  <si>
    <t>tgsparks</t>
  </si>
  <si>
    <t>nYr6.ekiCh86{</t>
  </si>
  <si>
    <t>Wilburn</t>
  </si>
  <si>
    <t>wilburn.atkins@btinternet.com</t>
  </si>
  <si>
    <t>Alfred Atkins</t>
  </si>
  <si>
    <t>Allie Atkins</t>
  </si>
  <si>
    <t>Mccarthy</t>
  </si>
  <si>
    <t>594-99-7280</t>
  </si>
  <si>
    <t>217-551-7621</t>
  </si>
  <si>
    <t>Brussels</t>
  </si>
  <si>
    <t>woatkins</t>
  </si>
  <si>
    <t>z800Zh-Q[</t>
  </si>
  <si>
    <t>frank.larson@charter.net</t>
  </si>
  <si>
    <t>Forest Larson</t>
  </si>
  <si>
    <t>Tammie Larson</t>
  </si>
  <si>
    <t>757-12-2852</t>
  </si>
  <si>
    <t>206-649-4354</t>
  </si>
  <si>
    <t>Burbank</t>
  </si>
  <si>
    <t>Walla Walla</t>
  </si>
  <si>
    <t>fylarson</t>
  </si>
  <si>
    <t>0vf.irAp#Oyqn</t>
  </si>
  <si>
    <t>Mullen</t>
  </si>
  <si>
    <t>barton.mullen@apple.com</t>
  </si>
  <si>
    <t>Gilberto Mullen</t>
  </si>
  <si>
    <t>Carol Mullen</t>
  </si>
  <si>
    <t>Padilla</t>
  </si>
  <si>
    <t>708-18-9367</t>
  </si>
  <si>
    <t>239-785-3194</t>
  </si>
  <si>
    <t>Miami</t>
  </si>
  <si>
    <t>Miami-Dade</t>
  </si>
  <si>
    <t>bumullen</t>
  </si>
  <si>
    <t>1nDT+xxh</t>
  </si>
  <si>
    <t>max.barrera@shell.com</t>
  </si>
  <si>
    <t>Newton Barrera</t>
  </si>
  <si>
    <t>Latonya Barrera</t>
  </si>
  <si>
    <t>Nichols</t>
  </si>
  <si>
    <t>454-99-0338</t>
  </si>
  <si>
    <t>203-763-8430</t>
  </si>
  <si>
    <t>mdbarrera</t>
  </si>
  <si>
    <t>F3b!Y&lt;Xmy}H</t>
  </si>
  <si>
    <t>Eliseo</t>
  </si>
  <si>
    <t>Wilkerson</t>
  </si>
  <si>
    <t>eliseo.wilkerson@hotmail.com</t>
  </si>
  <si>
    <t>Gino Wilkerson</t>
  </si>
  <si>
    <t>Ruthie Wilkerson</t>
  </si>
  <si>
    <t>668-48-5007</t>
  </si>
  <si>
    <t>215-668-0066</t>
  </si>
  <si>
    <t>Wind Gap</t>
  </si>
  <si>
    <t>eqwilkerson</t>
  </si>
  <si>
    <t>6%j.u4F1ou@{Cv</t>
  </si>
  <si>
    <t>Lynne</t>
  </si>
  <si>
    <t>lynne.vinson@hotmail.com</t>
  </si>
  <si>
    <t>Doyle Vinson</t>
  </si>
  <si>
    <t>Ilene Vinson</t>
  </si>
  <si>
    <t>Castillo</t>
  </si>
  <si>
    <t>196-84-5490</t>
  </si>
  <si>
    <t>206-543-0849</t>
  </si>
  <si>
    <t>South Colby</t>
  </si>
  <si>
    <t>Kitsap</t>
  </si>
  <si>
    <t>lyvinson</t>
  </si>
  <si>
    <t>SOc&lt;trA&gt;.ee+</t>
  </si>
  <si>
    <t>Maude</t>
  </si>
  <si>
    <t>maude.jackson@sbcglobal.net</t>
  </si>
  <si>
    <t>Cedric Jackson</t>
  </si>
  <si>
    <t>Jeannine Jackson</t>
  </si>
  <si>
    <t>684-24-0976</t>
  </si>
  <si>
    <t>339-890-5800</t>
  </si>
  <si>
    <t>Westfield</t>
  </si>
  <si>
    <t>Hampden</t>
  </si>
  <si>
    <t>mfjackson</t>
  </si>
  <si>
    <t>S%\WX;|.MJb~2jG</t>
  </si>
  <si>
    <t>Kathryn</t>
  </si>
  <si>
    <t>kathryn.sargent@aol.com</t>
  </si>
  <si>
    <t>Jackie Sargent</t>
  </si>
  <si>
    <t>Frieda Sargent</t>
  </si>
  <si>
    <t>098-02-5561</t>
  </si>
  <si>
    <t>603-698-4251</t>
  </si>
  <si>
    <t>West Chesterfield</t>
  </si>
  <si>
    <t>kusargent</t>
  </si>
  <si>
    <t>jN^!yp3|z}?-T</t>
  </si>
  <si>
    <t>Dan</t>
  </si>
  <si>
    <t>dan.william@gmail.com</t>
  </si>
  <si>
    <t>Darwin William</t>
  </si>
  <si>
    <t>Meredith William</t>
  </si>
  <si>
    <t>Roberson</t>
  </si>
  <si>
    <t>230-99-8788</t>
  </si>
  <si>
    <t>262-989-4367</t>
  </si>
  <si>
    <t>Benoit</t>
  </si>
  <si>
    <t>Bayfield</t>
  </si>
  <si>
    <t>dawilliam</t>
  </si>
  <si>
    <t>YuWS@*:xgOBH</t>
  </si>
  <si>
    <t>Tanisha</t>
  </si>
  <si>
    <t>tanisha.lester@ibm.com</t>
  </si>
  <si>
    <t>Leroy Lester</t>
  </si>
  <si>
    <t>Roxie Lester</t>
  </si>
  <si>
    <t>Hurst</t>
  </si>
  <si>
    <t>649-56-0430</t>
  </si>
  <si>
    <t>219-605-0185</t>
  </si>
  <si>
    <t>Osgood</t>
  </si>
  <si>
    <t>talester</t>
  </si>
  <si>
    <t>S16n|nFGY</t>
  </si>
  <si>
    <t>kitty.clay@yahoo.ca</t>
  </si>
  <si>
    <t>Gilbert Clay</t>
  </si>
  <si>
    <t>Wanda Clay</t>
  </si>
  <si>
    <t>522-99-3601</t>
  </si>
  <si>
    <t>480-397-1142</t>
  </si>
  <si>
    <t>Flagstaff</t>
  </si>
  <si>
    <t>Coconino</t>
  </si>
  <si>
    <t>klclay</t>
  </si>
  <si>
    <t>M;&gt;Dk!xcmUEE7</t>
  </si>
  <si>
    <t>kent.jackson@exxonmobil.com</t>
  </si>
  <si>
    <t>Clifford Jackson</t>
  </si>
  <si>
    <t>Hester Jackson</t>
  </si>
  <si>
    <t>414-99-2756</t>
  </si>
  <si>
    <t>304-562-4105</t>
  </si>
  <si>
    <t>Nitro</t>
  </si>
  <si>
    <t>Kanawha</t>
  </si>
  <si>
    <t>kujackson</t>
  </si>
  <si>
    <t>m&amp;.96Ja?*n&gt;Hn</t>
  </si>
  <si>
    <t>Ashlee</t>
  </si>
  <si>
    <t>ashlee.gardner@gmail.com</t>
  </si>
  <si>
    <t>Theodore Gardner</t>
  </si>
  <si>
    <t>Liliana Gardner</t>
  </si>
  <si>
    <t>Mercer</t>
  </si>
  <si>
    <t>491-29-5620</t>
  </si>
  <si>
    <t>210-690-7906</t>
  </si>
  <si>
    <t>aagardner</t>
  </si>
  <si>
    <t>y&amp;\^v9+;hF80&lt;F</t>
  </si>
  <si>
    <t>Felecia</t>
  </si>
  <si>
    <t>felecia.sparks@gmail.com</t>
  </si>
  <si>
    <t>Santos Sparks</t>
  </si>
  <si>
    <t>Jeannine Sparks</t>
  </si>
  <si>
    <t>Luna</t>
  </si>
  <si>
    <t>148-23-0643</t>
  </si>
  <si>
    <t>252-740-0372</t>
  </si>
  <si>
    <t>Woodland</t>
  </si>
  <si>
    <t>fbsparks</t>
  </si>
  <si>
    <t>M6xOH%m#t5Q</t>
  </si>
  <si>
    <t>Horace</t>
  </si>
  <si>
    <t>horace.rasmussen@gmail.com</t>
  </si>
  <si>
    <t>Randal Rasmussen</t>
  </si>
  <si>
    <t>Stephanie Rasmussen</t>
  </si>
  <si>
    <t>726-18-4007</t>
  </si>
  <si>
    <t>262-943-7850</t>
  </si>
  <si>
    <t>Jim Falls</t>
  </si>
  <si>
    <t>hnrasmussen</t>
  </si>
  <si>
    <t>rPHE&gt;/;T%|TNE</t>
  </si>
  <si>
    <t>Rickie</t>
  </si>
  <si>
    <t>rickie.gilmore@gmail.com</t>
  </si>
  <si>
    <t>Jerome Gilmore</t>
  </si>
  <si>
    <t>Alissa Gilmore</t>
  </si>
  <si>
    <t>512-33-2786</t>
  </si>
  <si>
    <t>212-327-7250</t>
  </si>
  <si>
    <t>Mc Lean</t>
  </si>
  <si>
    <t>Tompkins</t>
  </si>
  <si>
    <t>rjgilmore</t>
  </si>
  <si>
    <t>G;yLZT-~Qu</t>
  </si>
  <si>
    <t>Maria</t>
  </si>
  <si>
    <t>maria.chavez@gmail.com</t>
  </si>
  <si>
    <t>Alton Chavez</t>
  </si>
  <si>
    <t>Emily Chavez</t>
  </si>
  <si>
    <t>265-99-3283</t>
  </si>
  <si>
    <t>215-871-0568</t>
  </si>
  <si>
    <t>Karns City</t>
  </si>
  <si>
    <t>mfchavez</t>
  </si>
  <si>
    <t>N5&amp;A*fuaUI8WKJ</t>
  </si>
  <si>
    <t>Michael</t>
  </si>
  <si>
    <t>michael.west@aol.com</t>
  </si>
  <si>
    <t>Solomon West</t>
  </si>
  <si>
    <t>Diane West</t>
  </si>
  <si>
    <t>Clements</t>
  </si>
  <si>
    <t>186-86-6135</t>
  </si>
  <si>
    <t>423-682-1916</t>
  </si>
  <si>
    <t>mcwest</t>
  </si>
  <si>
    <t>x!XWIn|Gh-P~#!g</t>
  </si>
  <si>
    <t>Paula</t>
  </si>
  <si>
    <t>Pacheco</t>
  </si>
  <si>
    <t>paula.pacheco@rediffmail.com</t>
  </si>
  <si>
    <t>Trey Pacheco</t>
  </si>
  <si>
    <t>Jeanne Pacheco</t>
  </si>
  <si>
    <t>522-99-2237</t>
  </si>
  <si>
    <t>209-690-7059</t>
  </si>
  <si>
    <t>ptpacheco</t>
  </si>
  <si>
    <t>2OU\q$D/I</t>
  </si>
  <si>
    <t>Rick</t>
  </si>
  <si>
    <t>rick.sawyer@earthlink.net</t>
  </si>
  <si>
    <t>Monty Sawyer</t>
  </si>
  <si>
    <t>Evelyn Sawyer</t>
  </si>
  <si>
    <t>Cooley</t>
  </si>
  <si>
    <t>335-11-6046</t>
  </si>
  <si>
    <t>803-885-5446</t>
  </si>
  <si>
    <t>Spartanburg</t>
  </si>
  <si>
    <t>rvsawyer</t>
  </si>
  <si>
    <t>TEZts&lt;&amp;GjHRgR+e</t>
  </si>
  <si>
    <t>Ramiro</t>
  </si>
  <si>
    <t>ramiro.rojas@ntlworld.com</t>
  </si>
  <si>
    <t>Business Support</t>
  </si>
  <si>
    <t>Clement Rojas</t>
  </si>
  <si>
    <t>Taylor Rojas</t>
  </si>
  <si>
    <t>537-71-5334</t>
  </si>
  <si>
    <t>339-358-4733</t>
  </si>
  <si>
    <t>Newton Center</t>
  </si>
  <si>
    <t>rnrojas</t>
  </si>
  <si>
    <t>t310?+@og</t>
  </si>
  <si>
    <t>benny.stephenson@apple.com</t>
  </si>
  <si>
    <t>Octavio Stephenson</t>
  </si>
  <si>
    <t>Tanisha Stephenson</t>
  </si>
  <si>
    <t>Hendrix</t>
  </si>
  <si>
    <t>466-99-8942</t>
  </si>
  <si>
    <t>212-686-7826</t>
  </si>
  <si>
    <t>bgstephenson</t>
  </si>
  <si>
    <t>y|fRNR5QP*f</t>
  </si>
  <si>
    <t>Beryl</t>
  </si>
  <si>
    <t>beryl.nelson@gmail.com</t>
  </si>
  <si>
    <t>Ed Nelson</t>
  </si>
  <si>
    <t>Janelle Nelson</t>
  </si>
  <si>
    <t>176-86-6616</t>
  </si>
  <si>
    <t>206-728-2403</t>
  </si>
  <si>
    <t>Spokane</t>
  </si>
  <si>
    <t>bknelson</t>
  </si>
  <si>
    <t>7;NirO~nsfI.j_</t>
  </si>
  <si>
    <t>Bernice</t>
  </si>
  <si>
    <t>bernice.conrad@aol.com</t>
  </si>
  <si>
    <t>Edwardo Conrad</t>
  </si>
  <si>
    <t>Marian Conrad</t>
  </si>
  <si>
    <t>650-62-7464</t>
  </si>
  <si>
    <t>316-655-2948</t>
  </si>
  <si>
    <t>btconrad</t>
  </si>
  <si>
    <t>jU3ULO]dYts</t>
  </si>
  <si>
    <t>Bud</t>
  </si>
  <si>
    <t>bud.knowles@hotmail.com</t>
  </si>
  <si>
    <t>Adolph Knowles</t>
  </si>
  <si>
    <t>Audra Knowles</t>
  </si>
  <si>
    <t>Key</t>
  </si>
  <si>
    <t>648-58-6115</t>
  </si>
  <si>
    <t>215-600-5286</t>
  </si>
  <si>
    <t>Trevorton</t>
  </si>
  <si>
    <t>Northumberland</t>
  </si>
  <si>
    <t>bmknowles</t>
  </si>
  <si>
    <t>p!O!7ad[;b#</t>
  </si>
  <si>
    <t>Anita</t>
  </si>
  <si>
    <t>anita.pratt@gmail.com</t>
  </si>
  <si>
    <t>Jefferson Pratt</t>
  </si>
  <si>
    <t>Regina Pratt</t>
  </si>
  <si>
    <t>378-37-8132</t>
  </si>
  <si>
    <t>503-834-3610</t>
  </si>
  <si>
    <t>Sutherlin</t>
  </si>
  <si>
    <t>aqpratt</t>
  </si>
  <si>
    <t>TZW}/$g&lt;Sl?ra+:</t>
  </si>
  <si>
    <t>Fuentes</t>
  </si>
  <si>
    <t>kareem.fuentes@hotmail.com</t>
  </si>
  <si>
    <t>Caleb Fuentes</t>
  </si>
  <si>
    <t>Pauline Fuentes</t>
  </si>
  <si>
    <t>183-86-8752</t>
  </si>
  <si>
    <t>202-469-0012</t>
  </si>
  <si>
    <t>krfuentes</t>
  </si>
  <si>
    <t>Z#\J@]9|</t>
  </si>
  <si>
    <t>Curtis</t>
  </si>
  <si>
    <t>curtis.hoover@gmail.com</t>
  </si>
  <si>
    <t>Sherman Hoover</t>
  </si>
  <si>
    <t>Laverne Hoover</t>
  </si>
  <si>
    <t>031-92-1499</t>
  </si>
  <si>
    <t>219-283-6516</t>
  </si>
  <si>
    <t>Kingsford Heights</t>
  </si>
  <si>
    <t>cvhoover</t>
  </si>
  <si>
    <t>5~1?RwCBuUG&lt;cR5</t>
  </si>
  <si>
    <t>Tamika</t>
  </si>
  <si>
    <t>tamika.rosa@walmart.com</t>
  </si>
  <si>
    <t>Andy Rosa</t>
  </si>
  <si>
    <t>Nannie Rosa</t>
  </si>
  <si>
    <t>581-99-5749</t>
  </si>
  <si>
    <t>262-973-9609</t>
  </si>
  <si>
    <t>twrosa</t>
  </si>
  <si>
    <t>MUFGBz[-a3?xM</t>
  </si>
  <si>
    <t>Carmelo</t>
  </si>
  <si>
    <t>carmelo.scott@yahoo.co.uk</t>
  </si>
  <si>
    <t>Johnnie Scott</t>
  </si>
  <si>
    <t>Rosanne Scott</t>
  </si>
  <si>
    <t>500-29-4804</t>
  </si>
  <si>
    <t>210-233-7275</t>
  </si>
  <si>
    <t>csscott</t>
  </si>
  <si>
    <t>LI$vajpP\Vn-;8T</t>
  </si>
  <si>
    <t>Rebecca</t>
  </si>
  <si>
    <t>rebecca.moon@rediffmail.com</t>
  </si>
  <si>
    <t>Dillon Moon</t>
  </si>
  <si>
    <t>Diane Moon</t>
  </si>
  <si>
    <t>574-61-8531</t>
  </si>
  <si>
    <t>201-750-8519</t>
  </si>
  <si>
    <t>Asbury</t>
  </si>
  <si>
    <t>rwmoon</t>
  </si>
  <si>
    <t>Wwc&amp;A5n2vNho</t>
  </si>
  <si>
    <t>Pearlie</t>
  </si>
  <si>
    <t>pearlie.bryant@gmail.com</t>
  </si>
  <si>
    <t>Vito Bryant</t>
  </si>
  <si>
    <t>Kari Bryant</t>
  </si>
  <si>
    <t>Tillman</t>
  </si>
  <si>
    <t>129-98-7137</t>
  </si>
  <si>
    <t>203-936-5406</t>
  </si>
  <si>
    <t>Hampton</t>
  </si>
  <si>
    <t>pmbryant</t>
  </si>
  <si>
    <t>1|OIYRgA+X@XhIX</t>
  </si>
  <si>
    <t>donovan.russo@hotmail.com</t>
  </si>
  <si>
    <t>Benjamin Russo</t>
  </si>
  <si>
    <t>Merle Russo</t>
  </si>
  <si>
    <t>191-86-5137</t>
  </si>
  <si>
    <t>228-878-7586</t>
  </si>
  <si>
    <t>dprusso</t>
  </si>
  <si>
    <t>V$#//HIzd{wbm</t>
  </si>
  <si>
    <t>Robt</t>
  </si>
  <si>
    <t>robt.ramsey@comcast.net</t>
  </si>
  <si>
    <t>Rusty Ramsey</t>
  </si>
  <si>
    <t>James Ramsey</t>
  </si>
  <si>
    <t>Rowe</t>
  </si>
  <si>
    <t>366-39-7086</t>
  </si>
  <si>
    <t>319-414-9330</t>
  </si>
  <si>
    <t>Moscow</t>
  </si>
  <si>
    <t>Muscatine</t>
  </si>
  <si>
    <t>rrramsey</t>
  </si>
  <si>
    <t>Cb7a@lqsv?JsZ/Z</t>
  </si>
  <si>
    <t>Lacy</t>
  </si>
  <si>
    <t>lacy.rowe@gmail.com</t>
  </si>
  <si>
    <t>Roger Rowe</t>
  </si>
  <si>
    <t>Callie Rowe</t>
  </si>
  <si>
    <t>115-98-9122</t>
  </si>
  <si>
    <t>231-335-9059</t>
  </si>
  <si>
    <t>lvrowe</t>
  </si>
  <si>
    <t>BlnsD.I#D15CZ.3</t>
  </si>
  <si>
    <t>Rosemary</t>
  </si>
  <si>
    <t>rosemary.vaughn@aol.com</t>
  </si>
  <si>
    <t>Damien Vaughn</t>
  </si>
  <si>
    <t>Marcia Vaughn</t>
  </si>
  <si>
    <t>426-99-2901</t>
  </si>
  <si>
    <t>212-410-1378</t>
  </si>
  <si>
    <t>Scarsdale</t>
  </si>
  <si>
    <t>Westchester</t>
  </si>
  <si>
    <t>rkvaughn</t>
  </si>
  <si>
    <t>yJ+fAZ^.6*93A[</t>
  </si>
  <si>
    <t>Lon</t>
  </si>
  <si>
    <t>lon.martin@hotmail.co.uk</t>
  </si>
  <si>
    <t>Royal Martin</t>
  </si>
  <si>
    <t>Bonita Martin</t>
  </si>
  <si>
    <t>Zamora</t>
  </si>
  <si>
    <t>759-12-0967</t>
  </si>
  <si>
    <t>240-740-1598</t>
  </si>
  <si>
    <t>Hyattsville</t>
  </si>
  <si>
    <t>Prince George's</t>
  </si>
  <si>
    <t>lrmartin</t>
  </si>
  <si>
    <t>7KTcQ;VwhQW7!</t>
  </si>
  <si>
    <t>Grace</t>
  </si>
  <si>
    <t>Dejesus</t>
  </si>
  <si>
    <t>grace.dejesus@yahoo.co.uk</t>
  </si>
  <si>
    <t>Marcos Dejesus</t>
  </si>
  <si>
    <t>Sharlene Dejesus</t>
  </si>
  <si>
    <t>705-18-5141</t>
  </si>
  <si>
    <t>262-635-2782</t>
  </si>
  <si>
    <t>Radisson</t>
  </si>
  <si>
    <t>ghdejesus</t>
  </si>
  <si>
    <t>XYM^F#6H</t>
  </si>
  <si>
    <t>Felix</t>
  </si>
  <si>
    <t>felix.haynes@aol.com</t>
  </si>
  <si>
    <t>Ben Haynes</t>
  </si>
  <si>
    <t>Geraldine Haynes</t>
  </si>
  <si>
    <t>085-02-1977</t>
  </si>
  <si>
    <t>218-652-4728</t>
  </si>
  <si>
    <t>Bejou</t>
  </si>
  <si>
    <t>Mahnomen</t>
  </si>
  <si>
    <t>fshaynes</t>
  </si>
  <si>
    <t>u6xR}GCimEJj</t>
  </si>
  <si>
    <t>beatriz.pugh@aol.com</t>
  </si>
  <si>
    <t>Roscoe Pugh</t>
  </si>
  <si>
    <t>Madeline Pugh</t>
  </si>
  <si>
    <t>455-99-1842</t>
  </si>
  <si>
    <t>229-386-6446</t>
  </si>
  <si>
    <t>Tiger</t>
  </si>
  <si>
    <t>Rabun</t>
  </si>
  <si>
    <t>blpugh</t>
  </si>
  <si>
    <t>e2WpP%Ix7{F2</t>
  </si>
  <si>
    <t>Wallace</t>
  </si>
  <si>
    <t>louisa.wallace@shaw.ca</t>
  </si>
  <si>
    <t>Roland Wallace</t>
  </si>
  <si>
    <t>Pearl Wallace</t>
  </si>
  <si>
    <t>350-08-0701</t>
  </si>
  <si>
    <t>216-265-3694</t>
  </si>
  <si>
    <t>Short Creek</t>
  </si>
  <si>
    <t>lnwallace</t>
  </si>
  <si>
    <t>0nwGO@nQ</t>
  </si>
  <si>
    <t>aubrey.myers@hotmail.com</t>
  </si>
  <si>
    <t>Kenneth Myers</t>
  </si>
  <si>
    <t>Janice Myers</t>
  </si>
  <si>
    <t>431-99-6161</t>
  </si>
  <si>
    <t>803-831-6551</t>
  </si>
  <si>
    <t>Summerville</t>
  </si>
  <si>
    <t>Dorchester</t>
  </si>
  <si>
    <t>aamyers</t>
  </si>
  <si>
    <t>qJ\eMQoCp]Si#:/</t>
  </si>
  <si>
    <t>reyna.mccoy@hotmail.com</t>
  </si>
  <si>
    <t>Cyrus Mccoy</t>
  </si>
  <si>
    <t>Clara Mccoy</t>
  </si>
  <si>
    <t>540-83-1826</t>
  </si>
  <si>
    <t>480-932-3895</t>
  </si>
  <si>
    <t>Peridot</t>
  </si>
  <si>
    <t>Gila</t>
  </si>
  <si>
    <t>rymccoy</t>
  </si>
  <si>
    <t>zW&amp;;LM0r</t>
  </si>
  <si>
    <t>Fletcher</t>
  </si>
  <si>
    <t>rusty.fletcher@gmail.com</t>
  </si>
  <si>
    <t>Mauro Fletcher</t>
  </si>
  <si>
    <t>Cherie Fletcher</t>
  </si>
  <si>
    <t>Lyons</t>
  </si>
  <si>
    <t>582-99-6542</t>
  </si>
  <si>
    <t>701-340-7308</t>
  </si>
  <si>
    <t>Churchs Ferry</t>
  </si>
  <si>
    <t>rufletcher</t>
  </si>
  <si>
    <t>O7.idHXE</t>
  </si>
  <si>
    <t>houston.morris@verizon.net</t>
  </si>
  <si>
    <t>Jason Morris</t>
  </si>
  <si>
    <t>Gracie Morris</t>
  </si>
  <si>
    <t>032-92-7588</t>
  </si>
  <si>
    <t>201-697-7484</t>
  </si>
  <si>
    <t>Teterboro</t>
  </si>
  <si>
    <t>hrmorris</t>
  </si>
  <si>
    <t>5_6LOgbm</t>
  </si>
  <si>
    <t>Edwardo</t>
  </si>
  <si>
    <t>edwardo.stone@gmail.com</t>
  </si>
  <si>
    <t>Dudley Stone</t>
  </si>
  <si>
    <t>Rosemary Stone</t>
  </si>
  <si>
    <t>Graves</t>
  </si>
  <si>
    <t>413-99-9368</t>
  </si>
  <si>
    <t>212-584-3136</t>
  </si>
  <si>
    <t>East Homer</t>
  </si>
  <si>
    <t>Cortland</t>
  </si>
  <si>
    <t>ecstone</t>
  </si>
  <si>
    <t>P]]Tw^!Qd&amp;</t>
  </si>
  <si>
    <t>clifton.langley@verizon.net</t>
  </si>
  <si>
    <t>Shelby Langley</t>
  </si>
  <si>
    <t>Marylou Langley</t>
  </si>
  <si>
    <t>256-99-1681</t>
  </si>
  <si>
    <t>202-316-2397</t>
  </si>
  <si>
    <t>chlangley</t>
  </si>
  <si>
    <t>j&gt;Iinsw3Iidx@</t>
  </si>
  <si>
    <t>Amparo</t>
  </si>
  <si>
    <t>amparo.campos@gmail.com</t>
  </si>
  <si>
    <t>Karl Campos</t>
  </si>
  <si>
    <t>Milagros Campos</t>
  </si>
  <si>
    <t>481-41-4117</t>
  </si>
  <si>
    <t>209-768-6733</t>
  </si>
  <si>
    <t>Oceanside</t>
  </si>
  <si>
    <t>aicampos</t>
  </si>
  <si>
    <t>J1xW^Ug%$.</t>
  </si>
  <si>
    <t>Schmidt</t>
  </si>
  <si>
    <t>martha.schmidt@aol.com</t>
  </si>
  <si>
    <t>Ronnie Schmidt</t>
  </si>
  <si>
    <t>Allison Schmidt</t>
  </si>
  <si>
    <t>696-16-5657</t>
  </si>
  <si>
    <t>209-973-9124</t>
  </si>
  <si>
    <t>San Juan Capistrano</t>
  </si>
  <si>
    <t>moschmidt</t>
  </si>
  <si>
    <t>tj_H\o{!3</t>
  </si>
  <si>
    <t>Charmaine</t>
  </si>
  <si>
    <t>charmaine.hawkins@yahoo.com</t>
  </si>
  <si>
    <t>Don Hawkins</t>
  </si>
  <si>
    <t>Jan Hawkins</t>
  </si>
  <si>
    <t>Madden</t>
  </si>
  <si>
    <t>472-57-1020</t>
  </si>
  <si>
    <t>225-940-9915</t>
  </si>
  <si>
    <t>Choudrant</t>
  </si>
  <si>
    <t>cdhawkins</t>
  </si>
  <si>
    <t>SA8d0XJ1ci0</t>
  </si>
  <si>
    <t>jayne.thomas@hotmail.com</t>
  </si>
  <si>
    <t>Harry Thomas</t>
  </si>
  <si>
    <t>Madge Thomas</t>
  </si>
  <si>
    <t>Boyer</t>
  </si>
  <si>
    <t>555-99-7837</t>
  </si>
  <si>
    <t>216-368-2545</t>
  </si>
  <si>
    <t>Salineville</t>
  </si>
  <si>
    <t>Columbiana</t>
  </si>
  <si>
    <t>jlthomas</t>
  </si>
  <si>
    <t>R16jqx$l9ljEy}b</t>
  </si>
  <si>
    <t>Bryce</t>
  </si>
  <si>
    <t>bryce.cox@gmail.com</t>
  </si>
  <si>
    <t>Hugo Cox</t>
  </si>
  <si>
    <t>Dora Cox</t>
  </si>
  <si>
    <t>672-48-1213</t>
  </si>
  <si>
    <t>217-894-6093</t>
  </si>
  <si>
    <t>Cerro Gordo</t>
  </si>
  <si>
    <t>Piatt</t>
  </si>
  <si>
    <t>bicox</t>
  </si>
  <si>
    <t>bDUH85@uY+K</t>
  </si>
  <si>
    <t>Beatrice</t>
  </si>
  <si>
    <t>beatrice.lawson@hotmail.com</t>
  </si>
  <si>
    <t>Vaughn Lawson</t>
  </si>
  <si>
    <t>Alicia Lawson</t>
  </si>
  <si>
    <t>095-02-4716</t>
  </si>
  <si>
    <t>270-461-8555</t>
  </si>
  <si>
    <t>bmlawson</t>
  </si>
  <si>
    <t>IGwQFTD+xL</t>
  </si>
  <si>
    <t>Alphonse</t>
  </si>
  <si>
    <t>Torres</t>
  </si>
  <si>
    <t>alphonse.torres@btinternet.com</t>
  </si>
  <si>
    <t>Vincent Torres</t>
  </si>
  <si>
    <t>Melissa Torres</t>
  </si>
  <si>
    <t>096-02-9399</t>
  </si>
  <si>
    <t>215-803-0126</t>
  </si>
  <si>
    <t>axtorres</t>
  </si>
  <si>
    <t>Z&gt;sW^}&gt;2</t>
  </si>
  <si>
    <t>Rae</t>
  </si>
  <si>
    <t>rae.peck@gmail.com</t>
  </si>
  <si>
    <t>Rico Peck</t>
  </si>
  <si>
    <t>Shari Peck</t>
  </si>
  <si>
    <t>765-27-4869</t>
  </si>
  <si>
    <t>314-763-8976</t>
  </si>
  <si>
    <t>rrpeck</t>
  </si>
  <si>
    <t>BdM1o&amp;-1vR</t>
  </si>
  <si>
    <t>Dona</t>
  </si>
  <si>
    <t>Maxwell</t>
  </si>
  <si>
    <t>dona.maxwell@gmail.com</t>
  </si>
  <si>
    <t>Elias Maxwell</t>
  </si>
  <si>
    <t>Melva Maxwell</t>
  </si>
  <si>
    <t>212-91-9003</t>
  </si>
  <si>
    <t>304-526-9538</t>
  </si>
  <si>
    <t>Shanks</t>
  </si>
  <si>
    <t>dfmaxwell</t>
  </si>
  <si>
    <t>G}n5gucO</t>
  </si>
  <si>
    <t>david.meyer@shaw.ca</t>
  </si>
  <si>
    <t>Eloy Meyer</t>
  </si>
  <si>
    <t>Lola Meyer</t>
  </si>
  <si>
    <t>414-99-5357</t>
  </si>
  <si>
    <t>216-291-3285</t>
  </si>
  <si>
    <t>Pickerington</t>
  </si>
  <si>
    <t>ddmeyer</t>
  </si>
  <si>
    <t>5jfZ/UWcqLpT+</t>
  </si>
  <si>
    <t>Clara</t>
  </si>
  <si>
    <t>clara.harrington@gmail.com</t>
  </si>
  <si>
    <t>Chuck Harrington</t>
  </si>
  <si>
    <t>Jaime Harrington</t>
  </si>
  <si>
    <t>006-11-9826</t>
  </si>
  <si>
    <t>218-354-2011</t>
  </si>
  <si>
    <t>Minneapolis</t>
  </si>
  <si>
    <t>chharrington</t>
  </si>
  <si>
    <t>qGAmM|vBmLR\sM</t>
  </si>
  <si>
    <t>Harlan</t>
  </si>
  <si>
    <t>harlan.vaughan@bp.com</t>
  </si>
  <si>
    <t>Clarence Vaughan</t>
  </si>
  <si>
    <t>Sheena Vaughan</t>
  </si>
  <si>
    <t>403-73-0634</t>
  </si>
  <si>
    <t>209-424-3616</t>
  </si>
  <si>
    <t>Salinas</t>
  </si>
  <si>
    <t>hvvaughan</t>
  </si>
  <si>
    <t>k/SB&gt;tu#kbbeCh\</t>
  </si>
  <si>
    <t>Wanda</t>
  </si>
  <si>
    <t>wanda.lester@gmail.com</t>
  </si>
  <si>
    <t>Desmond Lester</t>
  </si>
  <si>
    <t>Jane Lester</t>
  </si>
  <si>
    <t>507-57-8199</t>
  </si>
  <si>
    <t>503-961-0382</t>
  </si>
  <si>
    <t>Linn</t>
  </si>
  <si>
    <t>wxlester</t>
  </si>
  <si>
    <t>Z~/vC&gt;ht</t>
  </si>
  <si>
    <t>keri.buchanan@hotmail.co.uk</t>
  </si>
  <si>
    <t>Roland Buchanan</t>
  </si>
  <si>
    <t>Angelita Buchanan</t>
  </si>
  <si>
    <t>Young</t>
  </si>
  <si>
    <t>690-22-3952</t>
  </si>
  <si>
    <t>210-243-9758</t>
  </si>
  <si>
    <t>Hamshire</t>
  </si>
  <si>
    <t>kybuchanan</t>
  </si>
  <si>
    <t>QDuDCIv|8;0</t>
  </si>
  <si>
    <t>Wilfred</t>
  </si>
  <si>
    <t>Charles</t>
  </si>
  <si>
    <t>wilfred.charles@btinternet.com</t>
  </si>
  <si>
    <t>Eddy Charles</t>
  </si>
  <si>
    <t>Mara Charles</t>
  </si>
  <si>
    <t>601-99-9648</t>
  </si>
  <si>
    <t>339-753-7642</t>
  </si>
  <si>
    <t>East Dennis</t>
  </si>
  <si>
    <t>Barnstable</t>
  </si>
  <si>
    <t>wrcharles</t>
  </si>
  <si>
    <t>4S:}[o9f</t>
  </si>
  <si>
    <t>lynn.howe@gmail.com</t>
  </si>
  <si>
    <t>Hector Howe</t>
  </si>
  <si>
    <t>Mabel Howe</t>
  </si>
  <si>
    <t>Greer</t>
  </si>
  <si>
    <t>097-02-1269</t>
  </si>
  <si>
    <t>217-992-4159</t>
  </si>
  <si>
    <t>Neoga</t>
  </si>
  <si>
    <t>lmhowe</t>
  </si>
  <si>
    <t>w3|t0o;L#[:UUF</t>
  </si>
  <si>
    <t>faye.mercer@yahoo.com</t>
  </si>
  <si>
    <t>Management</t>
  </si>
  <si>
    <t>Doyle Mercer</t>
  </si>
  <si>
    <t>Bonita Mercer</t>
  </si>
  <si>
    <t>014-94-4040</t>
  </si>
  <si>
    <t>219-520-1944</t>
  </si>
  <si>
    <t>Rome City</t>
  </si>
  <si>
    <t>fymercer</t>
  </si>
  <si>
    <t>z99N1-/QVs-q\$</t>
  </si>
  <si>
    <t>Bennie</t>
  </si>
  <si>
    <t>bennie.melendez@yahoo.com</t>
  </si>
  <si>
    <t>Augustine Melendez</t>
  </si>
  <si>
    <t>Avis Melendez</t>
  </si>
  <si>
    <t>596-94-7653</t>
  </si>
  <si>
    <t>319-520-6921</t>
  </si>
  <si>
    <t>bdmelendez</t>
  </si>
  <si>
    <t>jZSpBr4su7</t>
  </si>
  <si>
    <t>Scotty</t>
  </si>
  <si>
    <t>Ellis</t>
  </si>
  <si>
    <t>scotty.ellis@hotmail.com</t>
  </si>
  <si>
    <t>Darwin Ellis</t>
  </si>
  <si>
    <t>Ann Ellis</t>
  </si>
  <si>
    <t>457-99-3245</t>
  </si>
  <si>
    <t>210-485-1590</t>
  </si>
  <si>
    <t>shellis</t>
  </si>
  <si>
    <t>XY1Ac-[mb60{Q</t>
  </si>
  <si>
    <t>Grady</t>
  </si>
  <si>
    <t>grady.herman@yahoo.ca</t>
  </si>
  <si>
    <t>Rufus Herman</t>
  </si>
  <si>
    <t>Jacquelyn Herman</t>
  </si>
  <si>
    <t>683-24-6192</t>
  </si>
  <si>
    <t>270-734-0802</t>
  </si>
  <si>
    <t>South Carrollton</t>
  </si>
  <si>
    <t>Muhlenberg</t>
  </si>
  <si>
    <t>gjherman</t>
  </si>
  <si>
    <t>Gk1%ucglaqJ-</t>
  </si>
  <si>
    <t>eula.aguirre@exxonmobil.com</t>
  </si>
  <si>
    <t>Howard Aguirre</t>
  </si>
  <si>
    <t>Lucia Aguirre</t>
  </si>
  <si>
    <t>271-17-1294</t>
  </si>
  <si>
    <t>308-952-0044</t>
  </si>
  <si>
    <t>Holstein</t>
  </si>
  <si>
    <t>elaguirre</t>
  </si>
  <si>
    <t>vUc}$89&gt;+HnhS</t>
  </si>
  <si>
    <t>Nita</t>
  </si>
  <si>
    <t>nita.adams@hotmail.com</t>
  </si>
  <si>
    <t>Rodger Adams</t>
  </si>
  <si>
    <t>Misty Adams</t>
  </si>
  <si>
    <t>441-29-9396</t>
  </si>
  <si>
    <t>303-350-6217</t>
  </si>
  <si>
    <t>Laporte</t>
  </si>
  <si>
    <t>nqadams</t>
  </si>
  <si>
    <t>NZFI9wc181AiUI</t>
  </si>
  <si>
    <t>Zachery</t>
  </si>
  <si>
    <t>zachery.harvey@walmart.com</t>
  </si>
  <si>
    <t>Deon Harvey</t>
  </si>
  <si>
    <t>Aline Harvey</t>
  </si>
  <si>
    <t>117-98-7029</t>
  </si>
  <si>
    <t>319-759-0924</t>
  </si>
  <si>
    <t>Fort Madison</t>
  </si>
  <si>
    <t>zdharvey</t>
  </si>
  <si>
    <t>6&amp;3|A$&amp;7r</t>
  </si>
  <si>
    <t>scot.faulkner@bp.com</t>
  </si>
  <si>
    <t>Landon Faulkner</t>
  </si>
  <si>
    <t>Catalina Faulkner</t>
  </si>
  <si>
    <t>226-99-3106</t>
  </si>
  <si>
    <t>215-941-6239</t>
  </si>
  <si>
    <t>Watsontown</t>
  </si>
  <si>
    <t>scfaulkner</t>
  </si>
  <si>
    <t>e70iRX&amp;IO</t>
  </si>
  <si>
    <t>Mia</t>
  </si>
  <si>
    <t>mia.joseph@hotmail.co.uk</t>
  </si>
  <si>
    <t>Sergio Joseph</t>
  </si>
  <si>
    <t>Dorothy Joseph</t>
  </si>
  <si>
    <t>638-29-9264</t>
  </si>
  <si>
    <t>480-327-3003</t>
  </si>
  <si>
    <t>Show Low</t>
  </si>
  <si>
    <t>Navajo</t>
  </si>
  <si>
    <t>msjoseph</t>
  </si>
  <si>
    <t>YZn8Ve|;V-</t>
  </si>
  <si>
    <t>Hung</t>
  </si>
  <si>
    <t>hung.herman@gmail.com</t>
  </si>
  <si>
    <t>Dominic Herman</t>
  </si>
  <si>
    <t>Minerva Herman</t>
  </si>
  <si>
    <t>426-99-2897</t>
  </si>
  <si>
    <t>252-987-1594</t>
  </si>
  <si>
    <t>hmherman</t>
  </si>
  <si>
    <t>pP++&gt;6+Hx</t>
  </si>
  <si>
    <t>genevieve.bradshaw@gmail.com</t>
  </si>
  <si>
    <t>Chance Bradshaw</t>
  </si>
  <si>
    <t>Dale Bradshaw</t>
  </si>
  <si>
    <t>578-53-4441</t>
  </si>
  <si>
    <t>339-210-5214</t>
  </si>
  <si>
    <t>Greenfield</t>
  </si>
  <si>
    <t>gvbradshaw</t>
  </si>
  <si>
    <t>ly;&gt;wRiU|ll_82-</t>
  </si>
  <si>
    <t>Alec</t>
  </si>
  <si>
    <t>alec.brown@cox.net</t>
  </si>
  <si>
    <t>Leland Brown</t>
  </si>
  <si>
    <t>Angel Brown</t>
  </si>
  <si>
    <t>Baldwin</t>
  </si>
  <si>
    <t>110-98-2990</t>
  </si>
  <si>
    <t>209-427-5666</t>
  </si>
  <si>
    <t>Kings Beach</t>
  </si>
  <si>
    <t>Placer</t>
  </si>
  <si>
    <t>agbrown</t>
  </si>
  <si>
    <t>2u/Y$%r3</t>
  </si>
  <si>
    <t>Pasquale</t>
  </si>
  <si>
    <t>pasquale.knight@yahoo.co.uk</t>
  </si>
  <si>
    <t>Jaime Knight</t>
  </si>
  <si>
    <t>Lauri Knight</t>
  </si>
  <si>
    <t>523-99-6783</t>
  </si>
  <si>
    <t>228-544-1642</t>
  </si>
  <si>
    <t>Reform</t>
  </si>
  <si>
    <t>pnknight</t>
  </si>
  <si>
    <t>Co@iyA81C9t</t>
  </si>
  <si>
    <t>Sheri</t>
  </si>
  <si>
    <t>sheri.whitley@bp.com</t>
  </si>
  <si>
    <t>Rupert Whitley</t>
  </si>
  <si>
    <t>Bridget Whitley</t>
  </si>
  <si>
    <t>616-87-7652</t>
  </si>
  <si>
    <t>319-609-9495</t>
  </si>
  <si>
    <t>Cedar Rapids</t>
  </si>
  <si>
    <t>slwhitley</t>
  </si>
  <si>
    <t>E-&amp;ISh:Xe</t>
  </si>
  <si>
    <t>Mauro</t>
  </si>
  <si>
    <t>mauro.marshall@gmail.com</t>
  </si>
  <si>
    <t>Malcolm Marshall</t>
  </si>
  <si>
    <t>Lacey Marshall</t>
  </si>
  <si>
    <t>250-99-0956</t>
  </si>
  <si>
    <t>252-499-6531</t>
  </si>
  <si>
    <t>Charlotte</t>
  </si>
  <si>
    <t>mdmarshall</t>
  </si>
  <si>
    <t>2oz^G0T?iym</t>
  </si>
  <si>
    <t>Cristina</t>
  </si>
  <si>
    <t>Grimes</t>
  </si>
  <si>
    <t>cristina.grimes@yahoo.com</t>
  </si>
  <si>
    <t>Santiago Grimes</t>
  </si>
  <si>
    <t>Rosanne Grimes</t>
  </si>
  <si>
    <t>429-99-5107</t>
  </si>
  <si>
    <t>236-636-6778</t>
  </si>
  <si>
    <t>Virginia Beach</t>
  </si>
  <si>
    <t>Virginia Beach (city)</t>
  </si>
  <si>
    <t>ckgrimes</t>
  </si>
  <si>
    <t>Y?[X{UlU.G</t>
  </si>
  <si>
    <t>Raul</t>
  </si>
  <si>
    <t>raul.frost@hotmail.com</t>
  </si>
  <si>
    <t>Terence Frost</t>
  </si>
  <si>
    <t>Gwen Frost</t>
  </si>
  <si>
    <t>188-86-7216</t>
  </si>
  <si>
    <t>206-925-9280</t>
  </si>
  <si>
    <t>Veradale</t>
  </si>
  <si>
    <t>rmfrost</t>
  </si>
  <si>
    <t>Tk8QN%#]kZ{g.eb</t>
  </si>
  <si>
    <t>amparo.dixon@charter.net</t>
  </si>
  <si>
    <t>Laurence Dixon</t>
  </si>
  <si>
    <t>Jeanette Dixon</t>
  </si>
  <si>
    <t>Stout</t>
  </si>
  <si>
    <t>229-99-3940</t>
  </si>
  <si>
    <t>314-820-8867</t>
  </si>
  <si>
    <t>Pierce City</t>
  </si>
  <si>
    <t>ardixon</t>
  </si>
  <si>
    <t>ZSU-P-WS&gt;T}02kG</t>
  </si>
  <si>
    <t>Efrain</t>
  </si>
  <si>
    <t>efrain.carney@yahoo.com</t>
  </si>
  <si>
    <t>Analytics</t>
  </si>
  <si>
    <t>Emery Carney</t>
  </si>
  <si>
    <t>Madge Carney</t>
  </si>
  <si>
    <t>274-17-9077</t>
  </si>
  <si>
    <t>314-609-9445</t>
  </si>
  <si>
    <t>edcarney</t>
  </si>
  <si>
    <t>zw_{U?!O</t>
  </si>
  <si>
    <t>Stacey</t>
  </si>
  <si>
    <t>Workman</t>
  </si>
  <si>
    <t>stacey.workman@gmail.com</t>
  </si>
  <si>
    <t>Sonny Workman</t>
  </si>
  <si>
    <t>Lauren Workman</t>
  </si>
  <si>
    <t>Wise</t>
  </si>
  <si>
    <t>055-02-2002</t>
  </si>
  <si>
    <t>262-932-9771</t>
  </si>
  <si>
    <t>Thorp</t>
  </si>
  <si>
    <t>soworkman</t>
  </si>
  <si>
    <t>1COI?SzgUs1bs</t>
  </si>
  <si>
    <t>leon.mcgowan@hotmail.com</t>
  </si>
  <si>
    <t>Joesph Mcgowan</t>
  </si>
  <si>
    <t>Dena Mcgowan</t>
  </si>
  <si>
    <t>693-16-3458</t>
  </si>
  <si>
    <t>218-817-1739</t>
  </si>
  <si>
    <t>Meadowlands</t>
  </si>
  <si>
    <t>ltmcgowan</t>
  </si>
  <si>
    <t>O]/a4w/#U6&gt;g_Zn</t>
  </si>
  <si>
    <t>Vonda</t>
  </si>
  <si>
    <t>vonda.johns@aol.com</t>
  </si>
  <si>
    <t>Allan Johns</t>
  </si>
  <si>
    <t>Valarie Johns</t>
  </si>
  <si>
    <t>Short</t>
  </si>
  <si>
    <t>599-92-7819</t>
  </si>
  <si>
    <t>209-248-1156</t>
  </si>
  <si>
    <t>Alameda</t>
  </si>
  <si>
    <t>vzjohns</t>
  </si>
  <si>
    <t>q-FwHT%1</t>
  </si>
  <si>
    <t>Jorge</t>
  </si>
  <si>
    <t>jorge.wright@cox.net</t>
  </si>
  <si>
    <t>Steve Wright</t>
  </si>
  <si>
    <t>Susanne Wright</t>
  </si>
  <si>
    <t>715-18-3343</t>
  </si>
  <si>
    <t>479-250-1028</t>
  </si>
  <si>
    <t>Wilmar</t>
  </si>
  <si>
    <t>Drew</t>
  </si>
  <si>
    <t>jhwright</t>
  </si>
  <si>
    <t>t&gt;Fso-F8</t>
  </si>
  <si>
    <t>brandy.bean@ntlworld.com</t>
  </si>
  <si>
    <t>Mitchell Bean</t>
  </si>
  <si>
    <t>Krista Bean</t>
  </si>
  <si>
    <t>Yang</t>
  </si>
  <si>
    <t>361-08-4499</t>
  </si>
  <si>
    <t>385-706-7340</t>
  </si>
  <si>
    <t>Sunnyside</t>
  </si>
  <si>
    <t>bbbean</t>
  </si>
  <si>
    <t>60o!X\YCQrn</t>
  </si>
  <si>
    <t>Lakeisha</t>
  </si>
  <si>
    <t>lakeisha.bowman@hotmail.com</t>
  </si>
  <si>
    <t>Marshall Bowman</t>
  </si>
  <si>
    <t>Irma Bowman</t>
  </si>
  <si>
    <t>167-86-2936</t>
  </si>
  <si>
    <t>239-492-7337</t>
  </si>
  <si>
    <t>Vanderbilt Beach</t>
  </si>
  <si>
    <t>Collier</t>
  </si>
  <si>
    <t>lsbowman</t>
  </si>
  <si>
    <t>8x4Z%?#1g[$Cc{Z</t>
  </si>
  <si>
    <t>Ernestine</t>
  </si>
  <si>
    <t>Lambert</t>
  </si>
  <si>
    <t>ernestine.lambert@msn.com</t>
  </si>
  <si>
    <t>Houston Lambert</t>
  </si>
  <si>
    <t>Wilma Lambert</t>
  </si>
  <si>
    <t>704-18-6132</t>
  </si>
  <si>
    <t>210-747-0304</t>
  </si>
  <si>
    <t>Wayside</t>
  </si>
  <si>
    <t>eclambert</t>
  </si>
  <si>
    <t>hPdMl:gxm</t>
  </si>
  <si>
    <t>Julius</t>
  </si>
  <si>
    <t>julius.gardner@btinternet.com</t>
  </si>
  <si>
    <t>Emory Gardner</t>
  </si>
  <si>
    <t>Eva Gardner</t>
  </si>
  <si>
    <t>578-53-5318</t>
  </si>
  <si>
    <t>229-458-0848</t>
  </si>
  <si>
    <t>Meigs</t>
  </si>
  <si>
    <t>jhgardner</t>
  </si>
  <si>
    <t>Om-D3@I-dS6|</t>
  </si>
  <si>
    <t>Naomi</t>
  </si>
  <si>
    <t>naomi.jacobs@hotmail.com</t>
  </si>
  <si>
    <t>Joe Jacobs</t>
  </si>
  <si>
    <t>Ollie Jacobs</t>
  </si>
  <si>
    <t>759-12-6705</t>
  </si>
  <si>
    <t>252-575-4680</t>
  </si>
  <si>
    <t>Greensboro</t>
  </si>
  <si>
    <t>Guilford</t>
  </si>
  <si>
    <t>nijacobs</t>
  </si>
  <si>
    <t>6+&amp;0-&lt;m5Pd&amp;</t>
  </si>
  <si>
    <t>Sydney</t>
  </si>
  <si>
    <t>sydney.frederick@bellsouth.net</t>
  </si>
  <si>
    <t>Jimmie Frederick</t>
  </si>
  <si>
    <t>Josefina Frederick</t>
  </si>
  <si>
    <t>580-41-2607</t>
  </si>
  <si>
    <t>405-448-6896</t>
  </si>
  <si>
    <t>Stephens</t>
  </si>
  <si>
    <t>sifrederick</t>
  </si>
  <si>
    <t>Gq9xr&lt;pn</t>
  </si>
  <si>
    <t>clifton.tyson@gmail.com</t>
  </si>
  <si>
    <t>Basil Tyson</t>
  </si>
  <si>
    <t>Maryanne Tyson</t>
  </si>
  <si>
    <t>Terry</t>
  </si>
  <si>
    <t>148-23-1501</t>
  </si>
  <si>
    <t>212-696-2759</t>
  </si>
  <si>
    <t>cetyson</t>
  </si>
  <si>
    <t>SSxQYQ;N*&lt;E?N^j</t>
  </si>
  <si>
    <t>Consuelo</t>
  </si>
  <si>
    <t>consuelo.hamilton@gmail.com</t>
  </si>
  <si>
    <t>Randall Hamilton</t>
  </si>
  <si>
    <t>Ashley Hamilton</t>
  </si>
  <si>
    <t>Valenzuela</t>
  </si>
  <si>
    <t>080-02-8603</t>
  </si>
  <si>
    <t>219-392-0976</t>
  </si>
  <si>
    <t>Fortville</t>
  </si>
  <si>
    <t>cjhamilton</t>
  </si>
  <si>
    <t>Y;Br?&amp;vT*y4?$t</t>
  </si>
  <si>
    <t>aldo.jarvis@aol.com</t>
  </si>
  <si>
    <t>Vance Jarvis</t>
  </si>
  <si>
    <t>Allison Jarvis</t>
  </si>
  <si>
    <t>074-02-1008</t>
  </si>
  <si>
    <t>212-379-9486</t>
  </si>
  <si>
    <t>Chemung</t>
  </si>
  <si>
    <t>aejarvis</t>
  </si>
  <si>
    <t>AZ%.z8VOq$EK</t>
  </si>
  <si>
    <t>Anthony</t>
  </si>
  <si>
    <t>deidre.anthony@yahoo.co.uk</t>
  </si>
  <si>
    <t>Chuck Anthony</t>
  </si>
  <si>
    <t>Socorro Anthony</t>
  </si>
  <si>
    <t>198-84-3960</t>
  </si>
  <si>
    <t>219-606-3736</t>
  </si>
  <si>
    <t>dmanthony</t>
  </si>
  <si>
    <t>Y$4;!kP5Wb.</t>
  </si>
  <si>
    <t>maura.delaney@yahoo.com</t>
  </si>
  <si>
    <t>Dante Delaney</t>
  </si>
  <si>
    <t>Marla Delaney</t>
  </si>
  <si>
    <t>673-48-7327</t>
  </si>
  <si>
    <t>308-798-7465</t>
  </si>
  <si>
    <t>Platte</t>
  </si>
  <si>
    <t>mtdelaney</t>
  </si>
  <si>
    <t>GWmDhxiLp</t>
  </si>
  <si>
    <t>Landry</t>
  </si>
  <si>
    <t>claudine.landry@cox.net</t>
  </si>
  <si>
    <t>Carroll Landry</t>
  </si>
  <si>
    <t>Lakeisha Landry</t>
  </si>
  <si>
    <t>631-31-3828</t>
  </si>
  <si>
    <t>231-837-5983</t>
  </si>
  <si>
    <t>Nottawa</t>
  </si>
  <si>
    <t>St. Joseph</t>
  </si>
  <si>
    <t>cxlandry</t>
  </si>
  <si>
    <t>IQ^1BTs2</t>
  </si>
  <si>
    <t>silvia.ortega@hotmail.com</t>
  </si>
  <si>
    <t>Bryan Ortega</t>
  </si>
  <si>
    <t>Yvette Ortega</t>
  </si>
  <si>
    <t>516-49-3077</t>
  </si>
  <si>
    <t>212-885-1954</t>
  </si>
  <si>
    <t>Islip Terrace</t>
  </si>
  <si>
    <t>shortega</t>
  </si>
  <si>
    <t>mq]3*oceoOdU</t>
  </si>
  <si>
    <t>Gilda</t>
  </si>
  <si>
    <t>gilda.dillon@msn.com</t>
  </si>
  <si>
    <t>Hugo Dillon</t>
  </si>
  <si>
    <t>Jasmine Dillon</t>
  </si>
  <si>
    <t>Fox</t>
  </si>
  <si>
    <t>374-37-8017</t>
  </si>
  <si>
    <t>219-515-3678</t>
  </si>
  <si>
    <t>gndillon</t>
  </si>
  <si>
    <t>hY3ia[D#mW</t>
  </si>
  <si>
    <t>Mai</t>
  </si>
  <si>
    <t>mai.jennings@gmail.com</t>
  </si>
  <si>
    <t>Antony Jennings</t>
  </si>
  <si>
    <t>Marissa Jennings</t>
  </si>
  <si>
    <t>Buckley</t>
  </si>
  <si>
    <t>149-23-2798</t>
  </si>
  <si>
    <t>503-281-5868</t>
  </si>
  <si>
    <t>Beatty</t>
  </si>
  <si>
    <t>Klamath</t>
  </si>
  <si>
    <t>mrjennings</t>
  </si>
  <si>
    <t>vBt@r;63</t>
  </si>
  <si>
    <t>Cecilia</t>
  </si>
  <si>
    <t>cecilia.dawson@yahoo.com</t>
  </si>
  <si>
    <t>Randall Dawson</t>
  </si>
  <si>
    <t>Minerva Dawson</t>
  </si>
  <si>
    <t>324-11-3653</t>
  </si>
  <si>
    <t>907-303-2939</t>
  </si>
  <si>
    <t>Fort Wainwright</t>
  </si>
  <si>
    <t>cydawson</t>
  </si>
  <si>
    <t>R@QI&gt;X+|9F</t>
  </si>
  <si>
    <t>wilburn.rowe@yahoo.com</t>
  </si>
  <si>
    <t>Johnny Rowe</t>
  </si>
  <si>
    <t>April Rowe</t>
  </si>
  <si>
    <t>731-28-6861</t>
  </si>
  <si>
    <t>207-983-4779</t>
  </si>
  <si>
    <t>North Turner</t>
  </si>
  <si>
    <t>wurowe</t>
  </si>
  <si>
    <t>VsHeG4R4jmq</t>
  </si>
  <si>
    <t>Delbert</t>
  </si>
  <si>
    <t>delbert.cooley@shell.com</t>
  </si>
  <si>
    <t>Jerrod Cooley</t>
  </si>
  <si>
    <t>Miriam Cooley</t>
  </si>
  <si>
    <t>271-17-0330</t>
  </si>
  <si>
    <t>209-346-5040</t>
  </si>
  <si>
    <t>Palm Desert</t>
  </si>
  <si>
    <t>dicooley</t>
  </si>
  <si>
    <t>km-zczR0gT</t>
  </si>
  <si>
    <t>Case</t>
  </si>
  <si>
    <t>vincent.case@yahoo.com</t>
  </si>
  <si>
    <t>Guillermo Case</t>
  </si>
  <si>
    <t>Maura Case</t>
  </si>
  <si>
    <t>082-02-7876</t>
  </si>
  <si>
    <t>423-599-1914</t>
  </si>
  <si>
    <t>Dickson</t>
  </si>
  <si>
    <t>vpcase</t>
  </si>
  <si>
    <t>LPC?cGJU</t>
  </si>
  <si>
    <t>orlando.wilkerson@hotmail.com</t>
  </si>
  <si>
    <t>Omar Wilkerson</t>
  </si>
  <si>
    <t>Caitlin Wilkerson</t>
  </si>
  <si>
    <t>715-18-7770</t>
  </si>
  <si>
    <t>405-323-1414</t>
  </si>
  <si>
    <t>Burlington</t>
  </si>
  <si>
    <t>Alfalfa</t>
  </si>
  <si>
    <t>omwilkerson</t>
  </si>
  <si>
    <t>nMayMq#KD</t>
  </si>
  <si>
    <t>Hubbard</t>
  </si>
  <si>
    <t>isiah.hubbard@hotmail.com</t>
  </si>
  <si>
    <t>Cliff Hubbard</t>
  </si>
  <si>
    <t>Jamie Hubbard</t>
  </si>
  <si>
    <t>366-39-9593</t>
  </si>
  <si>
    <t>212-290-3156</t>
  </si>
  <si>
    <t>Crompond</t>
  </si>
  <si>
    <t>iihubbard</t>
  </si>
  <si>
    <t>attSqv@tnD&amp;?mH</t>
  </si>
  <si>
    <t>Jeanine</t>
  </si>
  <si>
    <t>Ratliff</t>
  </si>
  <si>
    <t>jeanine.ratliff@gmail.com</t>
  </si>
  <si>
    <t>Albert Ratliff</t>
  </si>
  <si>
    <t>Bertha Ratliff</t>
  </si>
  <si>
    <t>Mathews</t>
  </si>
  <si>
    <t>628-31-5980</t>
  </si>
  <si>
    <t>252-696-8644</t>
  </si>
  <si>
    <t>jgratliff</t>
  </si>
  <si>
    <t>v#v4$f{POOvX&amp;i</t>
  </si>
  <si>
    <t>damien.middleton@bp.com</t>
  </si>
  <si>
    <t>Hershel Middleton</t>
  </si>
  <si>
    <t>Eugenia Middleton</t>
  </si>
  <si>
    <t>357-08-8311</t>
  </si>
  <si>
    <t>314-530-2047</t>
  </si>
  <si>
    <t>dlmiddleton</t>
  </si>
  <si>
    <t>n[f!?Z0d</t>
  </si>
  <si>
    <t>Fern</t>
  </si>
  <si>
    <t>fern.burris@aol.com</t>
  </si>
  <si>
    <t>Ulysses Burris</t>
  </si>
  <si>
    <t>Mae Burris</t>
  </si>
  <si>
    <t>032-92-7904</t>
  </si>
  <si>
    <t>208-659-3478</t>
  </si>
  <si>
    <t>New Meadows</t>
  </si>
  <si>
    <t>fqburris</t>
  </si>
  <si>
    <t>r6$594unV</t>
  </si>
  <si>
    <t>Katy</t>
  </si>
  <si>
    <t>katy.glass@charter.net</t>
  </si>
  <si>
    <t>Sal Glass</t>
  </si>
  <si>
    <t>Esther Glass</t>
  </si>
  <si>
    <t>113-98-6785</t>
  </si>
  <si>
    <t>406-947-4781</t>
  </si>
  <si>
    <t>Westby</t>
  </si>
  <si>
    <t>kgglass</t>
  </si>
  <si>
    <t>Fg;REC\@:eU</t>
  </si>
  <si>
    <t>Nikki</t>
  </si>
  <si>
    <t>nikki.bean@gmail.com</t>
  </si>
  <si>
    <t>Terrence Bean</t>
  </si>
  <si>
    <t>Winifred Bean</t>
  </si>
  <si>
    <t>772-02-4583</t>
  </si>
  <si>
    <t>240-689-7811</t>
  </si>
  <si>
    <t>Suitland</t>
  </si>
  <si>
    <t>npbean</t>
  </si>
  <si>
    <t>8R~F9nU7</t>
  </si>
  <si>
    <t>Alvarez</t>
  </si>
  <si>
    <t>norris.alvarez@charter.net</t>
  </si>
  <si>
    <t>Stephan Alvarez</t>
  </si>
  <si>
    <t>Lauri Alvarez</t>
  </si>
  <si>
    <t>001-11-0631</t>
  </si>
  <si>
    <t>307-378-5213</t>
  </si>
  <si>
    <t>Natrona</t>
  </si>
  <si>
    <t>nfalvarez</t>
  </si>
  <si>
    <t>mkg$eHgX</t>
  </si>
  <si>
    <t>Reinaldo</t>
  </si>
  <si>
    <t>reinaldo.eaton@gmail.com</t>
  </si>
  <si>
    <t>Dillon Eaton</t>
  </si>
  <si>
    <t>Sophia Eaton</t>
  </si>
  <si>
    <t>733-26-2810</t>
  </si>
  <si>
    <t>701-395-3702</t>
  </si>
  <si>
    <t>Regent</t>
  </si>
  <si>
    <t>Hettinger</t>
  </si>
  <si>
    <t>rceaton</t>
  </si>
  <si>
    <t>I:8/-F7XXc</t>
  </si>
  <si>
    <t>Eddie</t>
  </si>
  <si>
    <t>eddie.irwin@hotmail.com</t>
  </si>
  <si>
    <t>Quinton Irwin</t>
  </si>
  <si>
    <t>Lee Irwin</t>
  </si>
  <si>
    <t>Valentine</t>
  </si>
  <si>
    <t>144-23-7230</t>
  </si>
  <si>
    <t>252-819-9849</t>
  </si>
  <si>
    <t>Four Oaks</t>
  </si>
  <si>
    <t>eairwin</t>
  </si>
  <si>
    <t>k5CY{V/h0Q|?KJI</t>
  </si>
  <si>
    <t>Denise</t>
  </si>
  <si>
    <t>denise.swanson@aol.com</t>
  </si>
  <si>
    <t>Micheal Swanson</t>
  </si>
  <si>
    <t>Edith Swanson</t>
  </si>
  <si>
    <t>022-92-5284</t>
  </si>
  <si>
    <t>217-370-8360</t>
  </si>
  <si>
    <t>djswanson</t>
  </si>
  <si>
    <t>m}\?gfh$U</t>
  </si>
  <si>
    <t>Sasha</t>
  </si>
  <si>
    <t>Beard</t>
  </si>
  <si>
    <t>sasha.beard@gmail.com</t>
  </si>
  <si>
    <t>Guillermo Beard</t>
  </si>
  <si>
    <t>Jessica Beard</t>
  </si>
  <si>
    <t>169-86-7143</t>
  </si>
  <si>
    <t>236-772-2857</t>
  </si>
  <si>
    <t>Manassas</t>
  </si>
  <si>
    <t>Manassas Park (city)</t>
  </si>
  <si>
    <t>sdbeard</t>
  </si>
  <si>
    <t>lG\/qVrz</t>
  </si>
  <si>
    <t>Josh</t>
  </si>
  <si>
    <t>josh.tucker@hotmail.com</t>
  </si>
  <si>
    <t>Lavern Tucker</t>
  </si>
  <si>
    <t>Imelda Tucker</t>
  </si>
  <si>
    <t>422-67-3272</t>
  </si>
  <si>
    <t>218-540-9156</t>
  </si>
  <si>
    <t>Whalan</t>
  </si>
  <si>
    <t>jxtucker</t>
  </si>
  <si>
    <t>qMU[&amp;J1|Y7</t>
  </si>
  <si>
    <t>rodger.roach@apple.com</t>
  </si>
  <si>
    <t>Rodolfo Roach</t>
  </si>
  <si>
    <t>Kaitlin Roach</t>
  </si>
  <si>
    <t>149-23-8005</t>
  </si>
  <si>
    <t>209-298-1056</t>
  </si>
  <si>
    <t>Pico Rivera</t>
  </si>
  <si>
    <t>rxroach</t>
  </si>
  <si>
    <t>PlK8&gt;Aq8nTkNS;</t>
  </si>
  <si>
    <t>Mcdaniel</t>
  </si>
  <si>
    <t>miles.mcdaniel@gmail.com</t>
  </si>
  <si>
    <t>Vito Mcdaniel</t>
  </si>
  <si>
    <t>Alice Mcdaniel</t>
  </si>
  <si>
    <t>139-23-1760</t>
  </si>
  <si>
    <t>303-213-8612</t>
  </si>
  <si>
    <t>mymcdaniel</t>
  </si>
  <si>
    <t>VCPKZMO5Qj</t>
  </si>
  <si>
    <t>French</t>
  </si>
  <si>
    <t>erin.french@hotmail.com</t>
  </si>
  <si>
    <t>Truman French</t>
  </si>
  <si>
    <t>Marcia French</t>
  </si>
  <si>
    <t>384-37-0941</t>
  </si>
  <si>
    <t>215-665-8924</t>
  </si>
  <si>
    <t>Dushore</t>
  </si>
  <si>
    <t>eafrench</t>
  </si>
  <si>
    <t>0hu:@.+B|3rTO</t>
  </si>
  <si>
    <t>Rosalind</t>
  </si>
  <si>
    <t>Booth</t>
  </si>
  <si>
    <t>rosalind.booth@shaw.ca</t>
  </si>
  <si>
    <t>Horacio Booth</t>
  </si>
  <si>
    <t>Mara Booth</t>
  </si>
  <si>
    <t>196-84-7109</t>
  </si>
  <si>
    <t>218-930-9410</t>
  </si>
  <si>
    <t>Stevens</t>
  </si>
  <si>
    <t>rpbooth</t>
  </si>
  <si>
    <t>g|{x[PF4N</t>
  </si>
  <si>
    <t>Lenard</t>
  </si>
  <si>
    <t>lenard.conner@gmail.com</t>
  </si>
  <si>
    <t>Christoper Conner</t>
  </si>
  <si>
    <t>Deena Conner</t>
  </si>
  <si>
    <t>069-02-9465</t>
  </si>
  <si>
    <t>314-499-3596</t>
  </si>
  <si>
    <t>lzconner</t>
  </si>
  <si>
    <t>h!JVLg%2rcz\Q</t>
  </si>
  <si>
    <t>wilson.mcmillan@msn.com</t>
  </si>
  <si>
    <t>Kim Mcmillan</t>
  </si>
  <si>
    <t>Rae Mcmillan</t>
  </si>
  <si>
    <t>623-85-7218</t>
  </si>
  <si>
    <t>302-715-9387</t>
  </si>
  <si>
    <t>wkmcmillan</t>
  </si>
  <si>
    <t>l#m{3;6b.|J</t>
  </si>
  <si>
    <t>Harley</t>
  </si>
  <si>
    <t>harley.murphy@yahoo.com</t>
  </si>
  <si>
    <t>Clay Murphy</t>
  </si>
  <si>
    <t>Phoebe Murphy</t>
  </si>
  <si>
    <t>080-02-0896</t>
  </si>
  <si>
    <t>262-535-9860</t>
  </si>
  <si>
    <t>Antigo</t>
  </si>
  <si>
    <t>Langlade</t>
  </si>
  <si>
    <t>htmurphy</t>
  </si>
  <si>
    <t>U9_y1aY&gt;8/T+?</t>
  </si>
  <si>
    <t>carrie.ramsey@gmail.com</t>
  </si>
  <si>
    <t>Lemuel Ramsey</t>
  </si>
  <si>
    <t>Bette Ramsey</t>
  </si>
  <si>
    <t>071-02-4170</t>
  </si>
  <si>
    <t>316-624-6536</t>
  </si>
  <si>
    <t>Oketo</t>
  </si>
  <si>
    <t>ciramsey</t>
  </si>
  <si>
    <t>V16H0jRvs~46Z</t>
  </si>
  <si>
    <t>Esteban</t>
  </si>
  <si>
    <t>esteban.finch@walmart.com</t>
  </si>
  <si>
    <t>Andre Finch</t>
  </si>
  <si>
    <t>Deana Finch</t>
  </si>
  <si>
    <t>123-98-0250</t>
  </si>
  <si>
    <t>209-464-5164</t>
  </si>
  <si>
    <t>eifinch</t>
  </si>
  <si>
    <t>RN7$$_&amp;B</t>
  </si>
  <si>
    <t>merle.martin@gmail.com</t>
  </si>
  <si>
    <t>Jess Martin</t>
  </si>
  <si>
    <t>Aimee Martin</t>
  </si>
  <si>
    <t>305-37-9398</t>
  </si>
  <si>
    <t>423-297-4006</t>
  </si>
  <si>
    <t>White House</t>
  </si>
  <si>
    <t>mvmartin</t>
  </si>
  <si>
    <t>Agf&lt;f!!yW&gt;a-Q~</t>
  </si>
  <si>
    <t>joanna.rodriquez@gmail.com</t>
  </si>
  <si>
    <t>Lawrence Rodriquez</t>
  </si>
  <si>
    <t>Pamela Rodriquez</t>
  </si>
  <si>
    <t>049-15-6660</t>
  </si>
  <si>
    <t>205-687-4611</t>
  </si>
  <si>
    <t>Cullman</t>
  </si>
  <si>
    <t>jcrodriquez</t>
  </si>
  <si>
    <t>2?NR&amp;La&amp;KAg</t>
  </si>
  <si>
    <t>Cyrus</t>
  </si>
  <si>
    <t>cyrus.gardner@gmail.com</t>
  </si>
  <si>
    <t>Mervin Gardner</t>
  </si>
  <si>
    <t>Stacy Gardner</t>
  </si>
  <si>
    <t>518-89-1335</t>
  </si>
  <si>
    <t>236-207-5102</t>
  </si>
  <si>
    <t>Charles City</t>
  </si>
  <si>
    <t>cmgardner</t>
  </si>
  <si>
    <t>vT6Im:~ZBA?jv</t>
  </si>
  <si>
    <t>Mariana</t>
  </si>
  <si>
    <t>mariana.mcneil@aol.com</t>
  </si>
  <si>
    <t>Isidro Mcneil</t>
  </si>
  <si>
    <t>Alana Mcneil</t>
  </si>
  <si>
    <t>008-94-2276</t>
  </si>
  <si>
    <t>239-359-5958</t>
  </si>
  <si>
    <t>Paisley</t>
  </si>
  <si>
    <t>mnmcneil</t>
  </si>
  <si>
    <t>NET8kqGxn{</t>
  </si>
  <si>
    <t>fletcher.hardin@btinternet.com</t>
  </si>
  <si>
    <t>Thurman Hardin</t>
  </si>
  <si>
    <t>Annie Hardin</t>
  </si>
  <si>
    <t>347-08-5571</t>
  </si>
  <si>
    <t>205-508-8287</t>
  </si>
  <si>
    <t>Wilmer</t>
  </si>
  <si>
    <t>fzhardin</t>
  </si>
  <si>
    <t>F8/lL~!j+LqY</t>
  </si>
  <si>
    <t>edwin.brock@gmail.com</t>
  </si>
  <si>
    <t>Aubrey Brock</t>
  </si>
  <si>
    <t>Brianna Brock</t>
  </si>
  <si>
    <t>233-57-3669</t>
  </si>
  <si>
    <t>210-948-4620</t>
  </si>
  <si>
    <t>ezbrock</t>
  </si>
  <si>
    <t>sX!fV$!?</t>
  </si>
  <si>
    <t>noreen.bray@gmail.com</t>
  </si>
  <si>
    <t>Angelo Bray</t>
  </si>
  <si>
    <t>Beverley Bray</t>
  </si>
  <si>
    <t>200-84-7513</t>
  </si>
  <si>
    <t>225-289-2180</t>
  </si>
  <si>
    <t>Iota</t>
  </si>
  <si>
    <t>Acadia</t>
  </si>
  <si>
    <t>ngbray</t>
  </si>
  <si>
    <t>YeJh\aZ0QOA</t>
  </si>
  <si>
    <t>ollie.woods@aol.com</t>
  </si>
  <si>
    <t>Willis Woods</t>
  </si>
  <si>
    <t>Andrea Woods</t>
  </si>
  <si>
    <t>454-99-5744</t>
  </si>
  <si>
    <t>225-575-8670</t>
  </si>
  <si>
    <t>Melrose</t>
  </si>
  <si>
    <t>Natchitoches</t>
  </si>
  <si>
    <t>oewoods</t>
  </si>
  <si>
    <t>m]%F_VV&gt;Doq</t>
  </si>
  <si>
    <t>cleveland.kirkland@gmail.com</t>
  </si>
  <si>
    <t>Reid Kirkland</t>
  </si>
  <si>
    <t>Sharron Kirkland</t>
  </si>
  <si>
    <t>482-41-7537</t>
  </si>
  <si>
    <t>239-219-0554</t>
  </si>
  <si>
    <t>Spring Hill</t>
  </si>
  <si>
    <t>Hernando</t>
  </si>
  <si>
    <t>cckirkland</t>
  </si>
  <si>
    <t>jX&amp;$y!+6UccY</t>
  </si>
  <si>
    <t>Arron</t>
  </si>
  <si>
    <t>arron.olsen@shaw.ca</t>
  </si>
  <si>
    <t>Darwin Olsen</t>
  </si>
  <si>
    <t>Penelope Olsen</t>
  </si>
  <si>
    <t>446-27-8138</t>
  </si>
  <si>
    <t>216-272-3835</t>
  </si>
  <si>
    <t>Cuyahoga</t>
  </si>
  <si>
    <t>anolsen</t>
  </si>
  <si>
    <t>Y3fpivcq4o&gt;</t>
  </si>
  <si>
    <t>Elijah</t>
  </si>
  <si>
    <t>Garrison</t>
  </si>
  <si>
    <t>elijah.garrison@gmail.com</t>
  </si>
  <si>
    <t>Cory Garrison</t>
  </si>
  <si>
    <t>Alisha Garrison</t>
  </si>
  <si>
    <t>Ballard</t>
  </si>
  <si>
    <t>475-55-8648</t>
  </si>
  <si>
    <t>207-804-7339</t>
  </si>
  <si>
    <t>Grand Lake Stream</t>
  </si>
  <si>
    <t>eagarrison</t>
  </si>
  <si>
    <t>l*1T./eQH&lt;o</t>
  </si>
  <si>
    <t>Allie</t>
  </si>
  <si>
    <t>allie.landry@ntlworld.com</t>
  </si>
  <si>
    <t>Steven Landry</t>
  </si>
  <si>
    <t>Chris Landry</t>
  </si>
  <si>
    <t>183-86-4136</t>
  </si>
  <si>
    <t>252-527-8497</t>
  </si>
  <si>
    <t>Claremont</t>
  </si>
  <si>
    <t>Catawba</t>
  </si>
  <si>
    <t>ablandry</t>
  </si>
  <si>
    <t>sZO7{\Gt&lt;E;</t>
  </si>
  <si>
    <t>janie.cooke@gmail.com</t>
  </si>
  <si>
    <t>Marshall Cooke</t>
  </si>
  <si>
    <t>Carole Cooke</t>
  </si>
  <si>
    <t>515-31-6632</t>
  </si>
  <si>
    <t>405-828-1625</t>
  </si>
  <si>
    <t>jfcooke</t>
  </si>
  <si>
    <t>8#vWTYTRY</t>
  </si>
  <si>
    <t>Shelia</t>
  </si>
  <si>
    <t>shelia.conrad@ibm.com</t>
  </si>
  <si>
    <t>Royce Conrad</t>
  </si>
  <si>
    <t>Gale Conrad</t>
  </si>
  <si>
    <t>389-33-2066</t>
  </si>
  <si>
    <t>907-837-8699</t>
  </si>
  <si>
    <t>Central</t>
  </si>
  <si>
    <t>Yukon-Koyukuk (CA)</t>
  </si>
  <si>
    <t>svconrad</t>
  </si>
  <si>
    <t>LG+B\$8Z</t>
  </si>
  <si>
    <t>Aida</t>
  </si>
  <si>
    <t>Banks</t>
  </si>
  <si>
    <t>aida.banks@yahoo.com</t>
  </si>
  <si>
    <t>Margarito Banks</t>
  </si>
  <si>
    <t>Lourdes Banks</t>
  </si>
  <si>
    <t>138-25-2714</t>
  </si>
  <si>
    <t>236-512-2651</t>
  </si>
  <si>
    <t>Lovingston</t>
  </si>
  <si>
    <t>aebanks</t>
  </si>
  <si>
    <t>RO#nKM1vdd0r</t>
  </si>
  <si>
    <t>Lora</t>
  </si>
  <si>
    <t>Wheeler</t>
  </si>
  <si>
    <t>lora.wheeler@gmail.com</t>
  </si>
  <si>
    <t>Dwight Wheeler</t>
  </si>
  <si>
    <t>Arlene Wheeler</t>
  </si>
  <si>
    <t>436-99-9214</t>
  </si>
  <si>
    <t>239-457-3136</t>
  </si>
  <si>
    <t>liwheeler</t>
  </si>
  <si>
    <t>Mo[{R-&amp;rv8WXn</t>
  </si>
  <si>
    <t>Fritz</t>
  </si>
  <si>
    <t>Gross</t>
  </si>
  <si>
    <t>fritz.gross@ibm.com</t>
  </si>
  <si>
    <t>Mathew Gross</t>
  </si>
  <si>
    <t>Patrice Gross</t>
  </si>
  <si>
    <t>302-15-8717</t>
  </si>
  <si>
    <t>803-557-4819</t>
  </si>
  <si>
    <t>fkgross</t>
  </si>
  <si>
    <t>KgeT:~xsa</t>
  </si>
  <si>
    <t>natalie.ellison@bp.com</t>
  </si>
  <si>
    <t>Wilmer Ellison</t>
  </si>
  <si>
    <t>Ora Ellison</t>
  </si>
  <si>
    <t>396-33-8229</t>
  </si>
  <si>
    <t>219-248-8159</t>
  </si>
  <si>
    <t>South Bend</t>
  </si>
  <si>
    <t>nvellison</t>
  </si>
  <si>
    <t>6J{TUCK_W\4j2c&lt;</t>
  </si>
  <si>
    <t>Berry</t>
  </si>
  <si>
    <t>eliseo.berry@apple.com</t>
  </si>
  <si>
    <t>Romeo Berry</t>
  </si>
  <si>
    <t>Lelia Berry</t>
  </si>
  <si>
    <t>710-18-4715</t>
  </si>
  <si>
    <t>218-799-2685</t>
  </si>
  <si>
    <t>Duluth</t>
  </si>
  <si>
    <t>eaberry</t>
  </si>
  <si>
    <t>Srx%6Qt3\c30#</t>
  </si>
  <si>
    <t>Philip</t>
  </si>
  <si>
    <t>philip.mcbride@outlook.com</t>
  </si>
  <si>
    <t>Theodore Mcbride</t>
  </si>
  <si>
    <t>Elise Mcbride</t>
  </si>
  <si>
    <t>Wyatt</t>
  </si>
  <si>
    <t>446-27-6024</t>
  </si>
  <si>
    <t>319-230-2779</t>
  </si>
  <si>
    <t>Pleasant Valley</t>
  </si>
  <si>
    <t>ptmcbride</t>
  </si>
  <si>
    <t>tub#GCCK?^CSJY.</t>
  </si>
  <si>
    <t>Kay</t>
  </si>
  <si>
    <t>kay.travis@yahoo.co.in</t>
  </si>
  <si>
    <t>Sung Travis</t>
  </si>
  <si>
    <t>Alyson Travis</t>
  </si>
  <si>
    <t>544-81-9190</t>
  </si>
  <si>
    <t>480-454-5959</t>
  </si>
  <si>
    <t>Sahuarita</t>
  </si>
  <si>
    <t>kltravis</t>
  </si>
  <si>
    <t>6sU.SYRinY|Q?S~</t>
  </si>
  <si>
    <t>Liliana</t>
  </si>
  <si>
    <t>liliana.donovan@hotmail.com</t>
  </si>
  <si>
    <t>Josef Donovan</t>
  </si>
  <si>
    <t>Shawna Donovan</t>
  </si>
  <si>
    <t>683-24-5188</t>
  </si>
  <si>
    <t>215-232-3660</t>
  </si>
  <si>
    <t>Pittsburgh</t>
  </si>
  <si>
    <t>lcdonovan</t>
  </si>
  <si>
    <t>w4r}piM*Z:Nu-gN</t>
  </si>
  <si>
    <t>Elise</t>
  </si>
  <si>
    <t>Kidd</t>
  </si>
  <si>
    <t>elise.kidd@hotmail.com</t>
  </si>
  <si>
    <t>Numbers Kidd</t>
  </si>
  <si>
    <t>Charlene Kidd</t>
  </si>
  <si>
    <t>Boyle</t>
  </si>
  <si>
    <t>360-08-1688</t>
  </si>
  <si>
    <t>316-273-4511</t>
  </si>
  <si>
    <t>Bern</t>
  </si>
  <si>
    <t>Nemaha</t>
  </si>
  <si>
    <t>eikidd</t>
  </si>
  <si>
    <t>C&gt;sCg95.4f</t>
  </si>
  <si>
    <t>Tabitha</t>
  </si>
  <si>
    <t>tabitha.baird@cox.net</t>
  </si>
  <si>
    <t>Emanuel Baird</t>
  </si>
  <si>
    <t>Katina Baird</t>
  </si>
  <si>
    <t>479-41-7888</t>
  </si>
  <si>
    <t>210-239-0123</t>
  </si>
  <si>
    <t>Kaufman</t>
  </si>
  <si>
    <t>tqbaird</t>
  </si>
  <si>
    <t>thw&amp;-Kwa1qR_</t>
  </si>
  <si>
    <t>Barney</t>
  </si>
  <si>
    <t>barney.guerrero@gmail.com</t>
  </si>
  <si>
    <t>Clifton Guerrero</t>
  </si>
  <si>
    <t>Ilene Guerrero</t>
  </si>
  <si>
    <t>501-37-7976</t>
  </si>
  <si>
    <t>308-689-3365</t>
  </si>
  <si>
    <t>Dalton</t>
  </si>
  <si>
    <t>bsguerrero</t>
  </si>
  <si>
    <t>g-PU.urG2!</t>
  </si>
  <si>
    <t>Myrtle</t>
  </si>
  <si>
    <t>Riggs</t>
  </si>
  <si>
    <t>myrtle.riggs@shaw.ca</t>
  </si>
  <si>
    <t>Kevin Riggs</t>
  </si>
  <si>
    <t>Sadie Riggs</t>
  </si>
  <si>
    <t>Dillard</t>
  </si>
  <si>
    <t>591-99-2283</t>
  </si>
  <si>
    <t>219-544-9146</t>
  </si>
  <si>
    <t>moriggs</t>
  </si>
  <si>
    <t>V#?q-}vI+z</t>
  </si>
  <si>
    <t>frederick.mckay@gmail.com</t>
  </si>
  <si>
    <t>Bud Mckay</t>
  </si>
  <si>
    <t>Letha Mckay</t>
  </si>
  <si>
    <t>766-04-7699</t>
  </si>
  <si>
    <t>205-269-7700</t>
  </si>
  <si>
    <t>Edwardsville</t>
  </si>
  <si>
    <t>Cleburne</t>
  </si>
  <si>
    <t>fimckay</t>
  </si>
  <si>
    <t>y^&amp;u{{qq&amp;/0</t>
  </si>
  <si>
    <t>Debora</t>
  </si>
  <si>
    <t>debora.hinton@hotmail.com</t>
  </si>
  <si>
    <t>Jordan Hinton</t>
  </si>
  <si>
    <t>Janice Hinton</t>
  </si>
  <si>
    <t>Fry</t>
  </si>
  <si>
    <t>279-15-1416</t>
  </si>
  <si>
    <t>215-998-0363</t>
  </si>
  <si>
    <t>Cross Fork</t>
  </si>
  <si>
    <t>dthinton</t>
  </si>
  <si>
    <t>5&lt;x#t&gt;$fz</t>
  </si>
  <si>
    <t>Meyers</t>
  </si>
  <si>
    <t>merlin.meyers@gmail.com</t>
  </si>
  <si>
    <t>Thanh Meyers</t>
  </si>
  <si>
    <t>Louella Meyers</t>
  </si>
  <si>
    <t>254-99-4534</t>
  </si>
  <si>
    <t>304-362-7855</t>
  </si>
  <si>
    <t>Hambleton</t>
  </si>
  <si>
    <t>mkmeyers</t>
  </si>
  <si>
    <t>qRl_Py~!s-&gt;*8</t>
  </si>
  <si>
    <t>Celia</t>
  </si>
  <si>
    <t>celia.huffman@rediffmail.com</t>
  </si>
  <si>
    <t>Ramiro Huffman</t>
  </si>
  <si>
    <t>Georgina Huffman</t>
  </si>
  <si>
    <t>Mcknight</t>
  </si>
  <si>
    <t>109-98-4636</t>
  </si>
  <si>
    <t>304-761-1064</t>
  </si>
  <si>
    <t>Apple Grove</t>
  </si>
  <si>
    <t>cuhuffman</t>
  </si>
  <si>
    <t>OS/&gt;eXHaCO8rV</t>
  </si>
  <si>
    <t>Tina</t>
  </si>
  <si>
    <t>tina.cabrera@gmail.com</t>
  </si>
  <si>
    <t>Marvin Cabrera</t>
  </si>
  <si>
    <t>Corina Cabrera</t>
  </si>
  <si>
    <t>192-86-8848</t>
  </si>
  <si>
    <t>314-548-4323</t>
  </si>
  <si>
    <t>Beulah</t>
  </si>
  <si>
    <t>tccabrera</t>
  </si>
  <si>
    <t>d}&amp;LOPS~FCYj</t>
  </si>
  <si>
    <t>Kelsey</t>
  </si>
  <si>
    <t>kelsey.brown@gmail.com</t>
  </si>
  <si>
    <t>Leslie Brown</t>
  </si>
  <si>
    <t>Fannie Brown</t>
  </si>
  <si>
    <t>Porter</t>
  </si>
  <si>
    <t>623-85-1493</t>
  </si>
  <si>
    <t>212-549-1195</t>
  </si>
  <si>
    <t>kjbrown</t>
  </si>
  <si>
    <t>geNQ^W0xe*h9</t>
  </si>
  <si>
    <t>danny.shaw@gmail.com</t>
  </si>
  <si>
    <t>Freeman Shaw</t>
  </si>
  <si>
    <t>Kimberley Shaw</t>
  </si>
  <si>
    <t>Shepard</t>
  </si>
  <si>
    <t>709-18-2854</t>
  </si>
  <si>
    <t>215-993-2752</t>
  </si>
  <si>
    <t>Warminster</t>
  </si>
  <si>
    <t>Bucks</t>
  </si>
  <si>
    <t>dushaw</t>
  </si>
  <si>
    <t>n+}Bs4^7uO</t>
  </si>
  <si>
    <t>dena.gomez@aol.com</t>
  </si>
  <si>
    <t>Bob Gomez</t>
  </si>
  <si>
    <t>Rosie Gomez</t>
  </si>
  <si>
    <t>610-87-8150</t>
  </si>
  <si>
    <t>216-287-8358</t>
  </si>
  <si>
    <t>dxgomez</t>
  </si>
  <si>
    <t>xE7/UcQv</t>
  </si>
  <si>
    <t>edmund.blankenship@yahoo.com</t>
  </si>
  <si>
    <t>Bryce Blankenship</t>
  </si>
  <si>
    <t>Roslyn Blankenship</t>
  </si>
  <si>
    <t>491-29-8264</t>
  </si>
  <si>
    <t>209-494-8948</t>
  </si>
  <si>
    <t>Pittsburg</t>
  </si>
  <si>
    <t>Contra Costa</t>
  </si>
  <si>
    <t>ebblankenship</t>
  </si>
  <si>
    <t>i:K^t6+V{J~PjY</t>
  </si>
  <si>
    <t>Hershel</t>
  </si>
  <si>
    <t>hershel.cain@walmart.com</t>
  </si>
  <si>
    <t>Thad Cain</t>
  </si>
  <si>
    <t>Lelia Cain</t>
  </si>
  <si>
    <t>280-15-6288</t>
  </si>
  <si>
    <t>215-857-2813</t>
  </si>
  <si>
    <t>Yeagertown</t>
  </si>
  <si>
    <t>hycain</t>
  </si>
  <si>
    <t>Su;Qyto\~7vSg&amp;x</t>
  </si>
  <si>
    <t>Lawanda</t>
  </si>
  <si>
    <t>lawanda.whitehead@earthlink.net</t>
  </si>
  <si>
    <t>Rob Whitehead</t>
  </si>
  <si>
    <t>Millie Whitehead</t>
  </si>
  <si>
    <t>Dickerson</t>
  </si>
  <si>
    <t>575-99-6454</t>
  </si>
  <si>
    <t>270-931-3875</t>
  </si>
  <si>
    <t>Garrard</t>
  </si>
  <si>
    <t>lawhitehead</t>
  </si>
  <si>
    <t>Kj&gt;&amp;]ok7/9MnPW;</t>
  </si>
  <si>
    <t>Sophia</t>
  </si>
  <si>
    <t>sophia.gregory@sbcglobal.net</t>
  </si>
  <si>
    <t>Tommie Gregory</t>
  </si>
  <si>
    <t>Jan Gregory</t>
  </si>
  <si>
    <t>Hester</t>
  </si>
  <si>
    <t>323-11-4511</t>
  </si>
  <si>
    <t>205-651-2474</t>
  </si>
  <si>
    <t>Midland City</t>
  </si>
  <si>
    <t>Dale</t>
  </si>
  <si>
    <t>srgregory</t>
  </si>
  <si>
    <t>f4jn.x\&gt;0W</t>
  </si>
  <si>
    <t>Lauren</t>
  </si>
  <si>
    <t>lauren.mcgee@gmail.com</t>
  </si>
  <si>
    <t>Jayson Mcgee</t>
  </si>
  <si>
    <t>Vonda Mcgee</t>
  </si>
  <si>
    <t>106-98-1110</t>
  </si>
  <si>
    <t>225-917-8648</t>
  </si>
  <si>
    <t>Reserve</t>
  </si>
  <si>
    <t>St. John the Baptist</t>
  </si>
  <si>
    <t>lqmcgee</t>
  </si>
  <si>
    <t>uhB[No}C&gt;}/</t>
  </si>
  <si>
    <t>Rutledge</t>
  </si>
  <si>
    <t>guy.rutledge@hotmail.com</t>
  </si>
  <si>
    <t>Nolan Rutledge</t>
  </si>
  <si>
    <t>Dianne Rutledge</t>
  </si>
  <si>
    <t>538-71-2253</t>
  </si>
  <si>
    <t>252-415-7913</t>
  </si>
  <si>
    <t>gqrutledge</t>
  </si>
  <si>
    <t>v+{i:Uhk+e</t>
  </si>
  <si>
    <t>Kurt</t>
  </si>
  <si>
    <t>kurt.oconnor@hotmail.co.uk</t>
  </si>
  <si>
    <t>Wilfredo Oconnor</t>
  </si>
  <si>
    <t>Robert Oconnor</t>
  </si>
  <si>
    <t>152-23-3388</t>
  </si>
  <si>
    <t>302-848-9544</t>
  </si>
  <si>
    <t>Ellendale</t>
  </si>
  <si>
    <t>kvoconnor</t>
  </si>
  <si>
    <t>vo&gt;-uOu{y8#</t>
  </si>
  <si>
    <t>Mallory</t>
  </si>
  <si>
    <t>mallory.pearson@aol.com</t>
  </si>
  <si>
    <t>Matt Pearson</t>
  </si>
  <si>
    <t>Glenda Pearson</t>
  </si>
  <si>
    <t>393-33-6184</t>
  </si>
  <si>
    <t>219-806-7357</t>
  </si>
  <si>
    <t>Fort Wayne</t>
  </si>
  <si>
    <t>mwpearson</t>
  </si>
  <si>
    <t>PXp&lt;w[Kf*</t>
  </si>
  <si>
    <t>louisa.nelson@aol.com</t>
  </si>
  <si>
    <t>Adrian Nelson</t>
  </si>
  <si>
    <t>Jeannette Nelson</t>
  </si>
  <si>
    <t>222-11-9575</t>
  </si>
  <si>
    <t>210-952-2993</t>
  </si>
  <si>
    <t>Big Bend National Park</t>
  </si>
  <si>
    <t>Brewster</t>
  </si>
  <si>
    <t>lknelson</t>
  </si>
  <si>
    <t>h&gt;xq&lt;u&lt;Sy?M?g</t>
  </si>
  <si>
    <t>Diego</t>
  </si>
  <si>
    <t>diego.huffman@hotmail.com</t>
  </si>
  <si>
    <t>Cecil Huffman</t>
  </si>
  <si>
    <t>Amie Huffman</t>
  </si>
  <si>
    <t>690-22-9118</t>
  </si>
  <si>
    <t>262-737-1691</t>
  </si>
  <si>
    <t>djhuffman</t>
  </si>
  <si>
    <t>z6J}W]o|igz0S</t>
  </si>
  <si>
    <t>louisa.ellison@yahoo.co.uk</t>
  </si>
  <si>
    <t>Gino Ellison</t>
  </si>
  <si>
    <t>Chelsea Ellison</t>
  </si>
  <si>
    <t>557-99-1239</t>
  </si>
  <si>
    <t>209-240-0581</t>
  </si>
  <si>
    <t>Whittier</t>
  </si>
  <si>
    <t>luellison</t>
  </si>
  <si>
    <t>sg?Nqx~SN</t>
  </si>
  <si>
    <t>Josue</t>
  </si>
  <si>
    <t>Cross</t>
  </si>
  <si>
    <t>josue.cross@shell.com</t>
  </si>
  <si>
    <t>Mitchel Cross</t>
  </si>
  <si>
    <t>Agnes Cross</t>
  </si>
  <si>
    <t>330-11-1417</t>
  </si>
  <si>
    <t>319-631-9453</t>
  </si>
  <si>
    <t>Coralville</t>
  </si>
  <si>
    <t>jvcross</t>
  </si>
  <si>
    <t>u~LZCD]e~u?3</t>
  </si>
  <si>
    <t>Ines</t>
  </si>
  <si>
    <t>Dominguez</t>
  </si>
  <si>
    <t>ines.dominguez@sbcglobal.net</t>
  </si>
  <si>
    <t>Nathaniel Dominguez</t>
  </si>
  <si>
    <t>Rosalyn Dominguez</t>
  </si>
  <si>
    <t>192-86-7885</t>
  </si>
  <si>
    <t>239-958-4051</t>
  </si>
  <si>
    <t>ihdominguez</t>
  </si>
  <si>
    <t>jWnV%mJaa</t>
  </si>
  <si>
    <t>Lance</t>
  </si>
  <si>
    <t>Garza</t>
  </si>
  <si>
    <t>lance.garza@verizon.net</t>
  </si>
  <si>
    <t>Pat Garza</t>
  </si>
  <si>
    <t>Araceli Garza</t>
  </si>
  <si>
    <t>267-99-4896</t>
  </si>
  <si>
    <t>228-765-1842</t>
  </si>
  <si>
    <t>Lamar</t>
  </si>
  <si>
    <t>lygarza</t>
  </si>
  <si>
    <t>F&gt;Q&lt;F&gt;f2Og?n_-</t>
  </si>
  <si>
    <t>belinda.pace@yahoo.com</t>
  </si>
  <si>
    <t>Landon Pace</t>
  </si>
  <si>
    <t>Irene Pace</t>
  </si>
  <si>
    <t>713-18-2119</t>
  </si>
  <si>
    <t>252-731-0304</t>
  </si>
  <si>
    <t>New Bern</t>
  </si>
  <si>
    <t>Craven</t>
  </si>
  <si>
    <t>bspace</t>
  </si>
  <si>
    <t>v2f+e.o&lt;</t>
  </si>
  <si>
    <t>gracie.herring@shaw.ca</t>
  </si>
  <si>
    <t>Reynaldo Herring</t>
  </si>
  <si>
    <t>Milagros Herring</t>
  </si>
  <si>
    <t>271-17-9236</t>
  </si>
  <si>
    <t>262-729-7707</t>
  </si>
  <si>
    <t>Green Bay</t>
  </si>
  <si>
    <t>geherring</t>
  </si>
  <si>
    <t>qMGJv37e</t>
  </si>
  <si>
    <t>Benito</t>
  </si>
  <si>
    <t>benito.knapp@aol.com</t>
  </si>
  <si>
    <t>Vance Knapp</t>
  </si>
  <si>
    <t>Alma Knapp</t>
  </si>
  <si>
    <t>584-99-7295</t>
  </si>
  <si>
    <t>262-320-6394</t>
  </si>
  <si>
    <t>Grand View</t>
  </si>
  <si>
    <t>baknapp</t>
  </si>
  <si>
    <t>qT1jamP2Nfj*gw</t>
  </si>
  <si>
    <t>Lucinda</t>
  </si>
  <si>
    <t>lucinda.mcgowan@gmail.com</t>
  </si>
  <si>
    <t>Joseph Mcgowan</t>
  </si>
  <si>
    <t>Brittany Mcgowan</t>
  </si>
  <si>
    <t>591-99-0882</t>
  </si>
  <si>
    <t>270-665-8559</t>
  </si>
  <si>
    <t>Bedford</t>
  </si>
  <si>
    <t>Trimble</t>
  </si>
  <si>
    <t>lqmcgowan</t>
  </si>
  <si>
    <t>5ET:_Bl?[o##m</t>
  </si>
  <si>
    <t>Golden</t>
  </si>
  <si>
    <t>jami.golden@gmail.com</t>
  </si>
  <si>
    <t>Antonio Golden</t>
  </si>
  <si>
    <t>Mabel Golden</t>
  </si>
  <si>
    <t>378-37-7676</t>
  </si>
  <si>
    <t>304-867-4534</t>
  </si>
  <si>
    <t>Glenhayes</t>
  </si>
  <si>
    <t>jggolden</t>
  </si>
  <si>
    <t>Cu!SGyXDco</t>
  </si>
  <si>
    <t>david.gutierrez@gmail.com</t>
  </si>
  <si>
    <t>Monte Gutierrez</t>
  </si>
  <si>
    <t>Stefanie Gutierrez</t>
  </si>
  <si>
    <t>252-99-4453</t>
  </si>
  <si>
    <t>210-529-3564</t>
  </si>
  <si>
    <t>dbgutierrez</t>
  </si>
  <si>
    <t>2N\t$raNo&lt;@0</t>
  </si>
  <si>
    <t>Clement</t>
  </si>
  <si>
    <t>clement.myers@earthlink.net</t>
  </si>
  <si>
    <t>Alfonzo Myers</t>
  </si>
  <si>
    <t>Katina Myers</t>
  </si>
  <si>
    <t>152-23-1091</t>
  </si>
  <si>
    <t>201-948-7092</t>
  </si>
  <si>
    <t>Marmora</t>
  </si>
  <si>
    <t>Cape May</t>
  </si>
  <si>
    <t>cbmyers</t>
  </si>
  <si>
    <t>y|MmZ&amp;n/3RY}</t>
  </si>
  <si>
    <t>Shane</t>
  </si>
  <si>
    <t>shane.porter@hotmail.co.uk</t>
  </si>
  <si>
    <t>Shelby Porter</t>
  </si>
  <si>
    <t>Christine Porter</t>
  </si>
  <si>
    <t>220-89-6649</t>
  </si>
  <si>
    <t>219-628-4542</t>
  </si>
  <si>
    <t>Leo</t>
  </si>
  <si>
    <t>ssporter</t>
  </si>
  <si>
    <t>B&amp;!a;7&amp;$Ez&lt;pR*</t>
  </si>
  <si>
    <t>clint.gross@microsoft.com</t>
  </si>
  <si>
    <t>Delbert Gross</t>
  </si>
  <si>
    <t>Laurie Gross</t>
  </si>
  <si>
    <t>128-98-4086</t>
  </si>
  <si>
    <t>206-920-1593</t>
  </si>
  <si>
    <t>Northport</t>
  </si>
  <si>
    <t>cugross</t>
  </si>
  <si>
    <t>IXe&lt;^9W*$pyMPa|</t>
  </si>
  <si>
    <t>ofelia.pickett@hotmail.com</t>
  </si>
  <si>
    <t>Harold Pickett</t>
  </si>
  <si>
    <t>Luella Pickett</t>
  </si>
  <si>
    <t>187-86-2657</t>
  </si>
  <si>
    <t>225-584-0970</t>
  </si>
  <si>
    <t>Sugartown</t>
  </si>
  <si>
    <t>okpickett</t>
  </si>
  <si>
    <t>K&amp;!gD73Q</t>
  </si>
  <si>
    <t>Green</t>
  </si>
  <si>
    <t>karina.green@yahoo.ca</t>
  </si>
  <si>
    <t>Roosevelt Green</t>
  </si>
  <si>
    <t>Patty Green</t>
  </si>
  <si>
    <t>351-08-9588</t>
  </si>
  <si>
    <t>314-676-5716</t>
  </si>
  <si>
    <t>Osborn</t>
  </si>
  <si>
    <t>klgreen</t>
  </si>
  <si>
    <t>6arNAH{Y[x{^p</t>
  </si>
  <si>
    <t>Sam</t>
  </si>
  <si>
    <t>sam.burris@cox.net</t>
  </si>
  <si>
    <t>Dudley Burris</t>
  </si>
  <si>
    <t>Pearl Burris</t>
  </si>
  <si>
    <t>Sellers</t>
  </si>
  <si>
    <t>229-99-5055</t>
  </si>
  <si>
    <t>225-370-4982</t>
  </si>
  <si>
    <t>Mira</t>
  </si>
  <si>
    <t>soburris</t>
  </si>
  <si>
    <t>C|2Y9x-MuS_Nz</t>
  </si>
  <si>
    <t>Lina</t>
  </si>
  <si>
    <t>lina.shannon@bp.com</t>
  </si>
  <si>
    <t>Claudio Shannon</t>
  </si>
  <si>
    <t>Violet Shannon</t>
  </si>
  <si>
    <t>613-87-7056</t>
  </si>
  <si>
    <t>503-789-2300</t>
  </si>
  <si>
    <t>lpshannon</t>
  </si>
  <si>
    <t>Z.QmIH&lt;DX;</t>
  </si>
  <si>
    <t>Myles</t>
  </si>
  <si>
    <t>myles.coleman@gmail.com</t>
  </si>
  <si>
    <t>Van Coleman</t>
  </si>
  <si>
    <t>Ester Coleman</t>
  </si>
  <si>
    <t>614-87-5221</t>
  </si>
  <si>
    <t>215-472-6369</t>
  </si>
  <si>
    <t>mmcoleman</t>
  </si>
  <si>
    <t>Myz|7UT1e%f3AD</t>
  </si>
  <si>
    <t>clay.freeman@gmail.com</t>
  </si>
  <si>
    <t>Benjamin Freeman</t>
  </si>
  <si>
    <t>Sandy Freeman</t>
  </si>
  <si>
    <t>079-02-5138</t>
  </si>
  <si>
    <t>216-365-4336</t>
  </si>
  <si>
    <t>Edgerton</t>
  </si>
  <si>
    <t>cefreeman</t>
  </si>
  <si>
    <t>YGUcyuLhm&gt;FQ</t>
  </si>
  <si>
    <t>catalina.guthrie@aol.com</t>
  </si>
  <si>
    <t>Alexis Guthrie</t>
  </si>
  <si>
    <t>Evangelina Guthrie</t>
  </si>
  <si>
    <t>449-99-7238</t>
  </si>
  <si>
    <t>262-632-7576</t>
  </si>
  <si>
    <t>Wales</t>
  </si>
  <si>
    <t>Waukesha</t>
  </si>
  <si>
    <t>csguthrie</t>
  </si>
  <si>
    <t>fP5$QSo8U+L3</t>
  </si>
  <si>
    <t>Nannie</t>
  </si>
  <si>
    <t>nannie.moon@gmail.com</t>
  </si>
  <si>
    <t>Dino Moon</t>
  </si>
  <si>
    <t>Aurora Moon</t>
  </si>
  <si>
    <t>276-17-6827</t>
  </si>
  <si>
    <t>208-295-9974</t>
  </si>
  <si>
    <t>Mountain Home</t>
  </si>
  <si>
    <t>nemoon</t>
  </si>
  <si>
    <t>n*m;Q!v.yN/F42</t>
  </si>
  <si>
    <t>donovan.serrano@btinternet.com</t>
  </si>
  <si>
    <t>Millard Serrano</t>
  </si>
  <si>
    <t>Jodi Serrano</t>
  </si>
  <si>
    <t>463-99-4299</t>
  </si>
  <si>
    <t>339-398-8707</t>
  </si>
  <si>
    <t>South Dartmouth</t>
  </si>
  <si>
    <t>dtserrano</t>
  </si>
  <si>
    <t>GRBA}nHv/q_d%S{</t>
  </si>
  <si>
    <t>Sondra</t>
  </si>
  <si>
    <t>sondra.reyes@yahoo.co.uk</t>
  </si>
  <si>
    <t>Byron Reyes</t>
  </si>
  <si>
    <t>Lily Reyes</t>
  </si>
  <si>
    <t>174-86-7119</t>
  </si>
  <si>
    <t>316-699-7521</t>
  </si>
  <si>
    <t>Harveyville</t>
  </si>
  <si>
    <t>Wabaunsee</t>
  </si>
  <si>
    <t>srreyes</t>
  </si>
  <si>
    <t>47$lqRZ.{&gt;*r{4h</t>
  </si>
  <si>
    <t>Terrance</t>
  </si>
  <si>
    <t>terrance.duke@microsoft.com</t>
  </si>
  <si>
    <t>Phillip Duke</t>
  </si>
  <si>
    <t>Barbara Duke</t>
  </si>
  <si>
    <t>207-84-7616</t>
  </si>
  <si>
    <t>262-780-2520</t>
  </si>
  <si>
    <t>Junction City</t>
  </si>
  <si>
    <t>Portage</t>
  </si>
  <si>
    <t>tnduke</t>
  </si>
  <si>
    <t>cO+aD@V!</t>
  </si>
  <si>
    <t>Rodriguez</t>
  </si>
  <si>
    <t>colleen.rodriguez@cox.net</t>
  </si>
  <si>
    <t>Abraham Rodriguez</t>
  </si>
  <si>
    <t>Dolores Rodriguez</t>
  </si>
  <si>
    <t>Pruitt</t>
  </si>
  <si>
    <t>677-22-3168</t>
  </si>
  <si>
    <t>701-285-0439</t>
  </si>
  <si>
    <t>Pingree</t>
  </si>
  <si>
    <t>Stutsman</t>
  </si>
  <si>
    <t>czrodriguez</t>
  </si>
  <si>
    <t>9W+ZO$+v&lt;}T1T5</t>
  </si>
  <si>
    <t>thad.luna@gmail.com</t>
  </si>
  <si>
    <t>Buddy Luna</t>
  </si>
  <si>
    <t>John Luna</t>
  </si>
  <si>
    <t>043-15-7824</t>
  </si>
  <si>
    <t>217-290-9429</t>
  </si>
  <si>
    <t>Tinley Park</t>
  </si>
  <si>
    <t>txluna</t>
  </si>
  <si>
    <t>s?a\FYasm_</t>
  </si>
  <si>
    <t>terence.clay@outlook.com</t>
  </si>
  <si>
    <t>Darrel Clay</t>
  </si>
  <si>
    <t>Rebecca Clay</t>
  </si>
  <si>
    <t>439-99-6942</t>
  </si>
  <si>
    <t>206-289-2344</t>
  </si>
  <si>
    <t>Pierce</t>
  </si>
  <si>
    <t>tpclay</t>
  </si>
  <si>
    <t>IJR5V*XmxE</t>
  </si>
  <si>
    <t>Bettie</t>
  </si>
  <si>
    <t>bettie.holman@hotmail.co.uk</t>
  </si>
  <si>
    <t>Shirley Holman</t>
  </si>
  <si>
    <t>Tricia Holman</t>
  </si>
  <si>
    <t>Nieves</t>
  </si>
  <si>
    <t>606-87-8889</t>
  </si>
  <si>
    <t>217-804-2508</t>
  </si>
  <si>
    <t>bqholman</t>
  </si>
  <si>
    <t>maWuXrH#N86^ri&lt;</t>
  </si>
  <si>
    <t>boyd.greer@yahoo.co.in</t>
  </si>
  <si>
    <t>Sammie Greer</t>
  </si>
  <si>
    <t>Alta Greer</t>
  </si>
  <si>
    <t>397-33-0382</t>
  </si>
  <si>
    <t>228-432-2011</t>
  </si>
  <si>
    <t>Neely</t>
  </si>
  <si>
    <t>bggreer</t>
  </si>
  <si>
    <t>401RX;OPxm!Y</t>
  </si>
  <si>
    <t>corey.edwards@gmail.com</t>
  </si>
  <si>
    <t>Jed Edwards</t>
  </si>
  <si>
    <t>Belinda Edwards</t>
  </si>
  <si>
    <t>Flynn</t>
  </si>
  <si>
    <t>296-15-4513</t>
  </si>
  <si>
    <t>216-702-2482</t>
  </si>
  <si>
    <t>Patriot</t>
  </si>
  <si>
    <t>Gallia</t>
  </si>
  <si>
    <t>cjedwards</t>
  </si>
  <si>
    <t>7zd+X33Qh?wSX</t>
  </si>
  <si>
    <t>Violet</t>
  </si>
  <si>
    <t>violet.lindsay@charter.net</t>
  </si>
  <si>
    <t>Albert Lindsay</t>
  </si>
  <si>
    <t>Felecia Lindsay</t>
  </si>
  <si>
    <t>340-11-3051</t>
  </si>
  <si>
    <t>215-568-8372</t>
  </si>
  <si>
    <t>Tionesta</t>
  </si>
  <si>
    <t>vtlindsay</t>
  </si>
  <si>
    <t>SFWZ]C9u~7?&lt;[-</t>
  </si>
  <si>
    <t>Camille</t>
  </si>
  <si>
    <t>camille.mullins@yahoo.com</t>
  </si>
  <si>
    <t>Giovanni Mullins</t>
  </si>
  <si>
    <t>Eleanor Mullins</t>
  </si>
  <si>
    <t>764-29-7040</t>
  </si>
  <si>
    <t>209-722-2736</t>
  </si>
  <si>
    <t>Sun City</t>
  </si>
  <si>
    <t>cdmullins</t>
  </si>
  <si>
    <t>x5u-!{Lew5@hmyF</t>
  </si>
  <si>
    <t>Nicole</t>
  </si>
  <si>
    <t>nicole.rodriquez@gmail.com</t>
  </si>
  <si>
    <t>Bud Rodriquez</t>
  </si>
  <si>
    <t>Marisol Rodriquez</t>
  </si>
  <si>
    <t>378-37-2300</t>
  </si>
  <si>
    <t>316-533-5513</t>
  </si>
  <si>
    <t>nfrodriquez</t>
  </si>
  <si>
    <t>Q|Vt{U?-?9</t>
  </si>
  <si>
    <t>Joan</t>
  </si>
  <si>
    <t>joan.bauer@yahoo.com</t>
  </si>
  <si>
    <t>Monte Bauer</t>
  </si>
  <si>
    <t>Jocelyn Bauer</t>
  </si>
  <si>
    <t>553-99-8862</t>
  </si>
  <si>
    <t>803-643-2327</t>
  </si>
  <si>
    <t>jnbauer</t>
  </si>
  <si>
    <t>t!?hxUQ&lt;a--v:</t>
  </si>
  <si>
    <t>Kennith</t>
  </si>
  <si>
    <t>kennith.marquez@aol.com</t>
  </si>
  <si>
    <t>Ezra Marquez</t>
  </si>
  <si>
    <t>Eileen Marquez</t>
  </si>
  <si>
    <t>561-99-5918</t>
  </si>
  <si>
    <t>236-976-7820</t>
  </si>
  <si>
    <t>Appomattox</t>
  </si>
  <si>
    <t>klmarquez</t>
  </si>
  <si>
    <t>7Ri7.TH^z</t>
  </si>
  <si>
    <t>Mae</t>
  </si>
  <si>
    <t>mae.hurst@gmail.com</t>
  </si>
  <si>
    <t>Gonzalo Hurst</t>
  </si>
  <si>
    <t>Julianne Hurst</t>
  </si>
  <si>
    <t>757-12-6330</t>
  </si>
  <si>
    <t>215-708-1606</t>
  </si>
  <si>
    <t>Scotland</t>
  </si>
  <si>
    <t>mphurst</t>
  </si>
  <si>
    <t>9x%;2f40zOOF1{</t>
  </si>
  <si>
    <t>denver.mann@exxonmobil.com</t>
  </si>
  <si>
    <t>Tracy Mann</t>
  </si>
  <si>
    <t>Jordan Mann</t>
  </si>
  <si>
    <t>105-02-7288</t>
  </si>
  <si>
    <t>236-242-0935</t>
  </si>
  <si>
    <t>Shortt Gap</t>
  </si>
  <si>
    <t>dimann</t>
  </si>
  <si>
    <t>Bqk|_Cvr4c9IV</t>
  </si>
  <si>
    <t>milford.dickerson@gmail.com</t>
  </si>
  <si>
    <t>Antonio Dickerson</t>
  </si>
  <si>
    <t>Marylou Dickerson</t>
  </si>
  <si>
    <t>Stevenson</t>
  </si>
  <si>
    <t>011-94-6151</t>
  </si>
  <si>
    <t>208-338-5685</t>
  </si>
  <si>
    <t>Garden Valley</t>
  </si>
  <si>
    <t>Boise</t>
  </si>
  <si>
    <t>mydickerson</t>
  </si>
  <si>
    <t>rDg?$7aw:</t>
  </si>
  <si>
    <t>Marva</t>
  </si>
  <si>
    <t>marva.phelps@hotmail.com</t>
  </si>
  <si>
    <t>Abraham Phelps</t>
  </si>
  <si>
    <t>Julie Phelps</t>
  </si>
  <si>
    <t>753-07-3049</t>
  </si>
  <si>
    <t>217-648-8520</t>
  </si>
  <si>
    <t>Hoffman Estates</t>
  </si>
  <si>
    <t>mbphelps</t>
  </si>
  <si>
    <t>E4CawER}oD</t>
  </si>
  <si>
    <t>Betsy</t>
  </si>
  <si>
    <t>betsy.dillon@msn.com</t>
  </si>
  <si>
    <t>Tristan Dillon</t>
  </si>
  <si>
    <t>Misty Dillon</t>
  </si>
  <si>
    <t>203-84-4304</t>
  </si>
  <si>
    <t>229-371-7539</t>
  </si>
  <si>
    <t>Roswell</t>
  </si>
  <si>
    <t>bpdillon</t>
  </si>
  <si>
    <t>t//pdx@R&gt;/\1&amp;</t>
  </si>
  <si>
    <t>Celeste</t>
  </si>
  <si>
    <t>Ramirez</t>
  </si>
  <si>
    <t>celeste.ramirez@aol.com</t>
  </si>
  <si>
    <t>Clay Ramirez</t>
  </si>
  <si>
    <t>Kathleen Ramirez</t>
  </si>
  <si>
    <t>652-62-3242</t>
  </si>
  <si>
    <t>339-240-1441</t>
  </si>
  <si>
    <t>Andover</t>
  </si>
  <si>
    <t>cdramirez</t>
  </si>
  <si>
    <t>H6Q&lt;s~PGz1Z</t>
  </si>
  <si>
    <t>Tonya</t>
  </si>
  <si>
    <t>tonya.burke@aol.com</t>
  </si>
  <si>
    <t>Customer Support</t>
  </si>
  <si>
    <t>Terrance Burke</t>
  </si>
  <si>
    <t>Selena Burke</t>
  </si>
  <si>
    <t>Clayton</t>
  </si>
  <si>
    <t>019-94-7438</t>
  </si>
  <si>
    <t>308-625-7172</t>
  </si>
  <si>
    <t>Ravenna</t>
  </si>
  <si>
    <t>Buffalo</t>
  </si>
  <si>
    <t>tdburke</t>
  </si>
  <si>
    <t>3[{aH&lt;j-i*</t>
  </si>
  <si>
    <t>Deana</t>
  </si>
  <si>
    <t>deana.spencer@hotmail.com</t>
  </si>
  <si>
    <t>Bart Spencer</t>
  </si>
  <si>
    <t>Marcella Spencer</t>
  </si>
  <si>
    <t>165-86-3979</t>
  </si>
  <si>
    <t>505-769-0092</t>
  </si>
  <si>
    <t>Carlsbad</t>
  </si>
  <si>
    <t>dpspencer</t>
  </si>
  <si>
    <t>zyCDxA7t</t>
  </si>
  <si>
    <t>Susanne</t>
  </si>
  <si>
    <t>susanne.joseph@gmail.com</t>
  </si>
  <si>
    <t>Bud Joseph</t>
  </si>
  <si>
    <t>Ines Joseph</t>
  </si>
  <si>
    <t>512-33-6786</t>
  </si>
  <si>
    <t>219-743-6620</t>
  </si>
  <si>
    <t>Ladoga</t>
  </si>
  <si>
    <t>smjoseph</t>
  </si>
  <si>
    <t>gDB@-|6x</t>
  </si>
  <si>
    <t>cole.spencer@yahoo.com</t>
  </si>
  <si>
    <t>Emil Spencer</t>
  </si>
  <si>
    <t>Flossie Spencer</t>
  </si>
  <si>
    <t>148-23-2588</t>
  </si>
  <si>
    <t>215-232-9400</t>
  </si>
  <si>
    <t>Harrisburg</t>
  </si>
  <si>
    <t>caspencer</t>
  </si>
  <si>
    <t>JEc3;Cas</t>
  </si>
  <si>
    <t>Marlon</t>
  </si>
  <si>
    <t>marlon.whitaker@aol.com</t>
  </si>
  <si>
    <t>Lee Whitaker</t>
  </si>
  <si>
    <t>Donna Whitaker</t>
  </si>
  <si>
    <t>Head</t>
  </si>
  <si>
    <t>306-37-4565</t>
  </si>
  <si>
    <t>217-843-4951</t>
  </si>
  <si>
    <t>Dallas City</t>
  </si>
  <si>
    <t>mewhitaker</t>
  </si>
  <si>
    <t>Fyp&gt;igKRmcWyH#</t>
  </si>
  <si>
    <t>Trudy</t>
  </si>
  <si>
    <t>trudy.frazier@rediffmail.com</t>
  </si>
  <si>
    <t>Stephen Frazier</t>
  </si>
  <si>
    <t>Winnie Frazier</t>
  </si>
  <si>
    <t>Sutton</t>
  </si>
  <si>
    <t>136-25-5276</t>
  </si>
  <si>
    <t>218-634-3825</t>
  </si>
  <si>
    <t>Currie</t>
  </si>
  <si>
    <t>tzfrazier</t>
  </si>
  <si>
    <t>cCO#_0sdRO|</t>
  </si>
  <si>
    <t>Tania</t>
  </si>
  <si>
    <t>tania.may@hotmail.com</t>
  </si>
  <si>
    <t>Zane May</t>
  </si>
  <si>
    <t>Trudy May</t>
  </si>
  <si>
    <t>304-37-2885</t>
  </si>
  <si>
    <t>239-374-3264</t>
  </si>
  <si>
    <t>Lehigh Acres</t>
  </si>
  <si>
    <t>tgmay</t>
  </si>
  <si>
    <t>o9r#b630i3BixF*</t>
  </si>
  <si>
    <t>leonel.guerrero@exxonmobil.com</t>
  </si>
  <si>
    <t>Clayton Guerrero</t>
  </si>
  <si>
    <t>Catalina Guerrero</t>
  </si>
  <si>
    <t>557-99-7283</t>
  </si>
  <si>
    <t>239-927-2354</t>
  </si>
  <si>
    <t>lgguerrero</t>
  </si>
  <si>
    <t>l^4Hd7GiP</t>
  </si>
  <si>
    <t>Nadia</t>
  </si>
  <si>
    <t>Stokes</t>
  </si>
  <si>
    <t>nadia.stokes@gmail.com</t>
  </si>
  <si>
    <t>Devin Stokes</t>
  </si>
  <si>
    <t>Elaine Stokes</t>
  </si>
  <si>
    <t>470-57-5153</t>
  </si>
  <si>
    <t>228-757-9686</t>
  </si>
  <si>
    <t>Tiplersville</t>
  </si>
  <si>
    <t>Tippah</t>
  </si>
  <si>
    <t>nzstokes</t>
  </si>
  <si>
    <t>p\7h4H&gt;%Z[4%R&amp;H</t>
  </si>
  <si>
    <t>Cody</t>
  </si>
  <si>
    <t>cody.dillard@gmail.com</t>
  </si>
  <si>
    <t>Bud Dillard</t>
  </si>
  <si>
    <t>Stacy Dillard</t>
  </si>
  <si>
    <t>093-02-5538</t>
  </si>
  <si>
    <t>231-865-3509</t>
  </si>
  <si>
    <t>Bloomfield Hills</t>
  </si>
  <si>
    <t>ccdillard</t>
  </si>
  <si>
    <t>ju+ncKnI?-2</t>
  </si>
  <si>
    <t>Megan</t>
  </si>
  <si>
    <t>megan.fry@gmail.com</t>
  </si>
  <si>
    <t>Fidel Fry</t>
  </si>
  <si>
    <t>Eleanor Fry</t>
  </si>
  <si>
    <t>724-28-9985</t>
  </si>
  <si>
    <t>225-343-4382</t>
  </si>
  <si>
    <t>Bunkie</t>
  </si>
  <si>
    <t>Avoyelles</t>
  </si>
  <si>
    <t>mtfry</t>
  </si>
  <si>
    <t>dJMzI@IE0qHm</t>
  </si>
  <si>
    <t>Darla</t>
  </si>
  <si>
    <t>darla.durham@microsoft.com</t>
  </si>
  <si>
    <t>Clayton Durham</t>
  </si>
  <si>
    <t>Cherry Durham</t>
  </si>
  <si>
    <t>149-23-3818</t>
  </si>
  <si>
    <t>231-256-0340</t>
  </si>
  <si>
    <t>Flushing</t>
  </si>
  <si>
    <t>Genesee</t>
  </si>
  <si>
    <t>dsdurham</t>
  </si>
  <si>
    <t>Ea-HhOd1$</t>
  </si>
  <si>
    <t>Cecile</t>
  </si>
  <si>
    <t>cecile.ross@bp.com</t>
  </si>
  <si>
    <t>Chase Ross</t>
  </si>
  <si>
    <t>Amanda Ross</t>
  </si>
  <si>
    <t>765-27-7606</t>
  </si>
  <si>
    <t>209-356-4542</t>
  </si>
  <si>
    <t>Freedom</t>
  </si>
  <si>
    <t>Santa Cruz</t>
  </si>
  <si>
    <t>ciross</t>
  </si>
  <si>
    <t>QB;}Xr~gbdhYF7</t>
  </si>
  <si>
    <t>helene.franco@shell.com</t>
  </si>
  <si>
    <t>Bernie Franco</t>
  </si>
  <si>
    <t>Marina Franco</t>
  </si>
  <si>
    <t>Hardy</t>
  </si>
  <si>
    <t>702-18-0397</t>
  </si>
  <si>
    <t>316-308-5431</t>
  </si>
  <si>
    <t>Manhattan</t>
  </si>
  <si>
    <t>hkfranco</t>
  </si>
  <si>
    <t>5MF&gt;8TpVFy:</t>
  </si>
  <si>
    <t>vernon.buchanan@gmail.com</t>
  </si>
  <si>
    <t>Scott Buchanan</t>
  </si>
  <si>
    <t>Eileen Buchanan</t>
  </si>
  <si>
    <t>156-23-8758</t>
  </si>
  <si>
    <t>405-450-9390</t>
  </si>
  <si>
    <t>Meers</t>
  </si>
  <si>
    <t>Comanche</t>
  </si>
  <si>
    <t>vcbuchanan</t>
  </si>
  <si>
    <t>hr$Rdkq?Pf-t6C;</t>
  </si>
  <si>
    <t>marva.santiago@gmail.com</t>
  </si>
  <si>
    <t>Lazaro Santiago</t>
  </si>
  <si>
    <t>Rosalyn Santiago</t>
  </si>
  <si>
    <t>274-17-8211</t>
  </si>
  <si>
    <t>210-779-5897</t>
  </si>
  <si>
    <t>Bellaire</t>
  </si>
  <si>
    <t>mcsantiago</t>
  </si>
  <si>
    <t>Q@n?URO9VVJ_</t>
  </si>
  <si>
    <t>yvette.bentley@hotmail.com</t>
  </si>
  <si>
    <t>Jefferson Bentley</t>
  </si>
  <si>
    <t>Charity Bentley</t>
  </si>
  <si>
    <t>521-99-6108</t>
  </si>
  <si>
    <t>319-754-5182</t>
  </si>
  <si>
    <t>Highlandville</t>
  </si>
  <si>
    <t>yxbentley</t>
  </si>
  <si>
    <t>cH&lt;lWWLf</t>
  </si>
  <si>
    <t>derick.daugherty@hotmail.com</t>
  </si>
  <si>
    <t>Mervin Daugherty</t>
  </si>
  <si>
    <t>Nettie Daugherty</t>
  </si>
  <si>
    <t>050-02-7511</t>
  </si>
  <si>
    <t>216-232-8382</t>
  </si>
  <si>
    <t>drdaugherty</t>
  </si>
  <si>
    <t>j8HU.;8ZbkVt</t>
  </si>
  <si>
    <t>Fay</t>
  </si>
  <si>
    <t>fay.villarreal@yahoo.com</t>
  </si>
  <si>
    <t>Cornelius Villarreal</t>
  </si>
  <si>
    <t>Joanna Villarreal</t>
  </si>
  <si>
    <t>276-17-8153</t>
  </si>
  <si>
    <t>210-524-0203</t>
  </si>
  <si>
    <t>Tioga</t>
  </si>
  <si>
    <t>Grayson</t>
  </si>
  <si>
    <t>fovillarreal</t>
  </si>
  <si>
    <t>WU7Lt9]{SuEWcy</t>
  </si>
  <si>
    <t>deanna.wilkins@ibm.com</t>
  </si>
  <si>
    <t>Josh Wilkins</t>
  </si>
  <si>
    <t>Wilma Wilkins</t>
  </si>
  <si>
    <t>092-02-1017</t>
  </si>
  <si>
    <t>314-779-4065</t>
  </si>
  <si>
    <t>Saginaw</t>
  </si>
  <si>
    <t>dewilkins</t>
  </si>
  <si>
    <t>gMiy%/R2B4L|g</t>
  </si>
  <si>
    <t>Augusta</t>
  </si>
  <si>
    <t>Andrews</t>
  </si>
  <si>
    <t>augusta.andrews@gmail.com</t>
  </si>
  <si>
    <t>Lazaro Andrews</t>
  </si>
  <si>
    <t>Hallie Andrews</t>
  </si>
  <si>
    <t>540-83-5625</t>
  </si>
  <si>
    <t>314-692-9769</t>
  </si>
  <si>
    <t>Maryland Heights</t>
  </si>
  <si>
    <t>apandrews</t>
  </si>
  <si>
    <t>5C%zpn??|n</t>
  </si>
  <si>
    <t>Erna</t>
  </si>
  <si>
    <t>erna.tran@gmail.com</t>
  </si>
  <si>
    <t>Laurence Tran</t>
  </si>
  <si>
    <t>Allison Tran</t>
  </si>
  <si>
    <t>447-27-1576</t>
  </si>
  <si>
    <t>205-634-3652</t>
  </si>
  <si>
    <t>Talladega</t>
  </si>
  <si>
    <t>eatran</t>
  </si>
  <si>
    <t>oBE^bDLIMLCT/Zb</t>
  </si>
  <si>
    <t>luther.short@gmail.com</t>
  </si>
  <si>
    <t>Andres Short</t>
  </si>
  <si>
    <t>Margery Short</t>
  </si>
  <si>
    <t>759-12-0402</t>
  </si>
  <si>
    <t>216-816-1233</t>
  </si>
  <si>
    <t>lhshort</t>
  </si>
  <si>
    <t>Go2WO1&amp;.</t>
  </si>
  <si>
    <t>Williamson</t>
  </si>
  <si>
    <t>curtis.williamson@hotmail.com</t>
  </si>
  <si>
    <t>Hubert Williamson</t>
  </si>
  <si>
    <t>Anne Williamson</t>
  </si>
  <si>
    <t>357-08-2317</t>
  </si>
  <si>
    <t>210-264-2382</t>
  </si>
  <si>
    <t>cswilliamson</t>
  </si>
  <si>
    <t>Vfi&gt;jezaTr</t>
  </si>
  <si>
    <t>yvette.rivers@ibm.com</t>
  </si>
  <si>
    <t>Hal Rivers</t>
  </si>
  <si>
    <t>Alison Rivers</t>
  </si>
  <si>
    <t>689-24-6905</t>
  </si>
  <si>
    <t>203-832-8970</t>
  </si>
  <si>
    <t>Canton Center</t>
  </si>
  <si>
    <t>ycrivers</t>
  </si>
  <si>
    <t>miyQCC^{jOEyJo!</t>
  </si>
  <si>
    <t>walter.velez@gmail.com</t>
  </si>
  <si>
    <t>Frank Velez</t>
  </si>
  <si>
    <t>Toni Velez</t>
  </si>
  <si>
    <t>126-98-9311</t>
  </si>
  <si>
    <t>236-435-5027</t>
  </si>
  <si>
    <t>Gainesville</t>
  </si>
  <si>
    <t>wgvelez</t>
  </si>
  <si>
    <t>aIpLVWX[!-th!lg</t>
  </si>
  <si>
    <t>Christa</t>
  </si>
  <si>
    <t>christa.wilkins@verizon.net</t>
  </si>
  <si>
    <t>Carol Wilkins</t>
  </si>
  <si>
    <t>Chandra Wilkins</t>
  </si>
  <si>
    <t>725-18-6016</t>
  </si>
  <si>
    <t>262-803-9394</t>
  </si>
  <si>
    <t>Rusk</t>
  </si>
  <si>
    <t>cpwilkins</t>
  </si>
  <si>
    <t>7D.Hbil6:</t>
  </si>
  <si>
    <t>Neal</t>
  </si>
  <si>
    <t>milton.neal@gmail.com</t>
  </si>
  <si>
    <t>Cameron Neal</t>
  </si>
  <si>
    <t>Vickie Neal</t>
  </si>
  <si>
    <t>358-08-6725</t>
  </si>
  <si>
    <t>212-967-0888</t>
  </si>
  <si>
    <t>Cropseyville</t>
  </si>
  <si>
    <t>mzneal</t>
  </si>
  <si>
    <t>r+q!I+Eduvi[:1~</t>
  </si>
  <si>
    <t>kimberly.harmon@gmail.com</t>
  </si>
  <si>
    <t>Nigel Harmon</t>
  </si>
  <si>
    <t>Angel Harmon</t>
  </si>
  <si>
    <t>761-12-1475</t>
  </si>
  <si>
    <t>316-466-5947</t>
  </si>
  <si>
    <t>Farlington</t>
  </si>
  <si>
    <t>ktharmon</t>
  </si>
  <si>
    <t>uDyNjm!;e</t>
  </si>
  <si>
    <t>lemuel.houston@charter.net</t>
  </si>
  <si>
    <t>Frederic Houston</t>
  </si>
  <si>
    <t>Shelley Houston</t>
  </si>
  <si>
    <t>Oliver</t>
  </si>
  <si>
    <t>028-92-4476</t>
  </si>
  <si>
    <t>206-379-8797</t>
  </si>
  <si>
    <t>Grandview</t>
  </si>
  <si>
    <t>lehouston</t>
  </si>
  <si>
    <t>zaqkU3Oe&amp;</t>
  </si>
  <si>
    <t>Marcie</t>
  </si>
  <si>
    <t>marcie.weiss@yahoo.com</t>
  </si>
  <si>
    <t>Arthur Weiss</t>
  </si>
  <si>
    <t>Clara Weiss</t>
  </si>
  <si>
    <t>404-73-8790</t>
  </si>
  <si>
    <t>803-286-4103</t>
  </si>
  <si>
    <t>mnweiss</t>
  </si>
  <si>
    <t>Z]^DZL&lt;.</t>
  </si>
  <si>
    <t>Bart</t>
  </si>
  <si>
    <t>bart.whitaker@hotmail.com</t>
  </si>
  <si>
    <t>Henry Whitaker</t>
  </si>
  <si>
    <t>Nadine Whitaker</t>
  </si>
  <si>
    <t>Byers</t>
  </si>
  <si>
    <t>235-57-8388</t>
  </si>
  <si>
    <t>225-846-2122</t>
  </si>
  <si>
    <t>Woodworth</t>
  </si>
  <si>
    <t>biwhitaker</t>
  </si>
  <si>
    <t>3!0bh1$NJ^HA&amp;JC</t>
  </si>
  <si>
    <t>Patrice</t>
  </si>
  <si>
    <t>patrice.koch@shaw.ca</t>
  </si>
  <si>
    <t>Yong Koch</t>
  </si>
  <si>
    <t>Jocelyn Koch</t>
  </si>
  <si>
    <t>362-39-6645</t>
  </si>
  <si>
    <t>210-406-6365</t>
  </si>
  <si>
    <t>Shafter</t>
  </si>
  <si>
    <t>Presidio</t>
  </si>
  <si>
    <t>11RW8f1nE</t>
  </si>
  <si>
    <t>Xavier</t>
  </si>
  <si>
    <t>xavier.mcintosh@gmail.com</t>
  </si>
  <si>
    <t>Anibal Mcintosh</t>
  </si>
  <si>
    <t>Lauri Mcintosh</t>
  </si>
  <si>
    <t>035-74-2854</t>
  </si>
  <si>
    <t>212-439-3754</t>
  </si>
  <si>
    <t>xomcintosh</t>
  </si>
  <si>
    <t>e^bXhtt4</t>
  </si>
  <si>
    <t>Lidia</t>
  </si>
  <si>
    <t>lidia.rojas@yahoo.com</t>
  </si>
  <si>
    <t>Tommie Rojas</t>
  </si>
  <si>
    <t>Sophie Rojas</t>
  </si>
  <si>
    <t>218-89-0801</t>
  </si>
  <si>
    <t>209-694-7271</t>
  </si>
  <si>
    <t>Litchfield</t>
  </si>
  <si>
    <t>Lassen</t>
  </si>
  <si>
    <t>lkrojas</t>
  </si>
  <si>
    <t>6G0yzR]%</t>
  </si>
  <si>
    <t>Essie</t>
  </si>
  <si>
    <t>essie.bridges@yahoo.co.uk</t>
  </si>
  <si>
    <t>Travis Bridges</t>
  </si>
  <si>
    <t>Jessica Bridges</t>
  </si>
  <si>
    <t>185-86-5982</t>
  </si>
  <si>
    <t>215-584-1122</t>
  </si>
  <si>
    <t>ecbridges</t>
  </si>
  <si>
    <t>t+FMKQwt]|</t>
  </si>
  <si>
    <t>sondra.stephens@msn.com</t>
  </si>
  <si>
    <t>Rob Stephens</t>
  </si>
  <si>
    <t>Ernestine Stephens</t>
  </si>
  <si>
    <t>572-99-0507</t>
  </si>
  <si>
    <t>209-594-8387</t>
  </si>
  <si>
    <t>Boonville</t>
  </si>
  <si>
    <t>Mendocino</t>
  </si>
  <si>
    <t>snstephens</t>
  </si>
  <si>
    <t>G+qb&lt;cAX6meB</t>
  </si>
  <si>
    <t>Monte</t>
  </si>
  <si>
    <t>Contreras</t>
  </si>
  <si>
    <t>monte.contreras@gmail.com</t>
  </si>
  <si>
    <t>Jarrod Contreras</t>
  </si>
  <si>
    <t>Ina Contreras</t>
  </si>
  <si>
    <t>477-55-7262</t>
  </si>
  <si>
    <t>206-909-1183</t>
  </si>
  <si>
    <t>Wallula</t>
  </si>
  <si>
    <t>macontreras</t>
  </si>
  <si>
    <t>mnG&amp;.e#@?[G.DU</t>
  </si>
  <si>
    <t>Ernesto</t>
  </si>
  <si>
    <t>ernesto.moreno@hotmail.com</t>
  </si>
  <si>
    <t>Duane Moreno</t>
  </si>
  <si>
    <t>Marianne Moreno</t>
  </si>
  <si>
    <t>Nunez</t>
  </si>
  <si>
    <t>122-98-7403</t>
  </si>
  <si>
    <t>236-477-3313</t>
  </si>
  <si>
    <t>Hume</t>
  </si>
  <si>
    <t>Fauquier</t>
  </si>
  <si>
    <t>eumoreno</t>
  </si>
  <si>
    <t>h2Ijli&amp;\{R+7R</t>
  </si>
  <si>
    <t>Ismael</t>
  </si>
  <si>
    <t>ismael.ellis@charter.net</t>
  </si>
  <si>
    <t>Brant Ellis</t>
  </si>
  <si>
    <t>Sophia Ellis</t>
  </si>
  <si>
    <t>477-55-7715</t>
  </si>
  <si>
    <t>603-891-5427</t>
  </si>
  <si>
    <t>Mont Vernon</t>
  </si>
  <si>
    <t>isellis</t>
  </si>
  <si>
    <t>wkl3qxbu]</t>
  </si>
  <si>
    <t>elijah.hopkins@aol.com</t>
  </si>
  <si>
    <t>Scott Hopkins</t>
  </si>
  <si>
    <t>Matilda Hopkins</t>
  </si>
  <si>
    <t>038-74-6930</t>
  </si>
  <si>
    <t>210-692-2678</t>
  </si>
  <si>
    <t>Waco</t>
  </si>
  <si>
    <t>McLennan</t>
  </si>
  <si>
    <t>ekhopkins</t>
  </si>
  <si>
    <t>vwk4^lqY</t>
  </si>
  <si>
    <t>Leigh</t>
  </si>
  <si>
    <t>leigh.mccall@gmail.com</t>
  </si>
  <si>
    <t>Chi Mccall</t>
  </si>
  <si>
    <t>Charmaine Mccall</t>
  </si>
  <si>
    <t>619-87-2551</t>
  </si>
  <si>
    <t>262-810-4875</t>
  </si>
  <si>
    <t>Cedarburg</t>
  </si>
  <si>
    <t>lkmccall</t>
  </si>
  <si>
    <t>9x4hKo7gNB8]]|y</t>
  </si>
  <si>
    <t>Genaro</t>
  </si>
  <si>
    <t>genaro.stafford@yahoo.com</t>
  </si>
  <si>
    <t>Edgar Stafford</t>
  </si>
  <si>
    <t>Minerva Stafford</t>
  </si>
  <si>
    <t>Petty</t>
  </si>
  <si>
    <t>320-11-2235</t>
  </si>
  <si>
    <t>702-913-9143</t>
  </si>
  <si>
    <t>gwstafford</t>
  </si>
  <si>
    <t>R1yt\904!2PNE</t>
  </si>
  <si>
    <t>Lucy</t>
  </si>
  <si>
    <t>lucy.hinton@yahoo.com</t>
  </si>
  <si>
    <t>Rickey Hinton</t>
  </si>
  <si>
    <t>Susie Hinton</t>
  </si>
  <si>
    <t>695-16-6326</t>
  </si>
  <si>
    <t>252-398-5078</t>
  </si>
  <si>
    <t>Gaston</t>
  </si>
  <si>
    <t>lfhinton</t>
  </si>
  <si>
    <t>Rr}OLYK@\%.I^_</t>
  </si>
  <si>
    <t>Bernadette</t>
  </si>
  <si>
    <t>bernadette.glass@hotmail.com</t>
  </si>
  <si>
    <t>Austin Glass</t>
  </si>
  <si>
    <t>Chelsea Glass</t>
  </si>
  <si>
    <t>334-11-0572</t>
  </si>
  <si>
    <t>239-692-2402</t>
  </si>
  <si>
    <t>Pinellas Park</t>
  </si>
  <si>
    <t>bhglass</t>
  </si>
  <si>
    <t>rXoJB5U1|hEtw</t>
  </si>
  <si>
    <t>lee.peck@gmail.com</t>
  </si>
  <si>
    <t>Dudley Peck</t>
  </si>
  <si>
    <t>Natalie Peck</t>
  </si>
  <si>
    <t>180-86-0599</t>
  </si>
  <si>
    <t>210-788-1120</t>
  </si>
  <si>
    <t>lfpeck</t>
  </si>
  <si>
    <t>WR+[96-$</t>
  </si>
  <si>
    <t>Damian</t>
  </si>
  <si>
    <t>damian.ellison@gmail.com</t>
  </si>
  <si>
    <t>Julian Ellison</t>
  </si>
  <si>
    <t>Tabatha Ellison</t>
  </si>
  <si>
    <t>512-33-2215</t>
  </si>
  <si>
    <t>212-904-4176</t>
  </si>
  <si>
    <t>dqellison</t>
  </si>
  <si>
    <t>MfY4\gX&gt;C9&amp;m?t</t>
  </si>
  <si>
    <t>Dusty</t>
  </si>
  <si>
    <t>dusty.hendricks@gmail.com</t>
  </si>
  <si>
    <t>John Hendricks</t>
  </si>
  <si>
    <t>Kerry Hendricks</t>
  </si>
  <si>
    <t>503-45-4085</t>
  </si>
  <si>
    <t>201-864-2613</t>
  </si>
  <si>
    <t>Paterson</t>
  </si>
  <si>
    <t>drhendricks</t>
  </si>
  <si>
    <t>g$hyk@/~dm&lt;?f</t>
  </si>
  <si>
    <t>Katina</t>
  </si>
  <si>
    <t>katina.wynn@gmail.com</t>
  </si>
  <si>
    <t>Stan Wynn</t>
  </si>
  <si>
    <t>Felicia Wynn</t>
  </si>
  <si>
    <t>626-85-1863</t>
  </si>
  <si>
    <t>303-806-3222</t>
  </si>
  <si>
    <t>kswynn</t>
  </si>
  <si>
    <t>E[&amp;VGBMY</t>
  </si>
  <si>
    <t>Clair</t>
  </si>
  <si>
    <t>clair.morris@gmail.com</t>
  </si>
  <si>
    <t>Kevin Morris</t>
  </si>
  <si>
    <t>Bianca Morris</t>
  </si>
  <si>
    <t>079-02-5317</t>
  </si>
  <si>
    <t>206-614-8704</t>
  </si>
  <si>
    <t>Loon Lake</t>
  </si>
  <si>
    <t>cjmorris</t>
  </si>
  <si>
    <t>9!n45z-t9i</t>
  </si>
  <si>
    <t>ernesto.short@hotmail.com</t>
  </si>
  <si>
    <t>Wallace Short</t>
  </si>
  <si>
    <t>Susana Short</t>
  </si>
  <si>
    <t>683-24-2543</t>
  </si>
  <si>
    <t>252-477-0326</t>
  </si>
  <si>
    <t>Wake</t>
  </si>
  <si>
    <t>eushort</t>
  </si>
  <si>
    <t>B}0NZcG@_C_mme</t>
  </si>
  <si>
    <t>Wiggins</t>
  </si>
  <si>
    <t>frankie.wiggins@gmail.com</t>
  </si>
  <si>
    <t>Tommie Wiggins</t>
  </si>
  <si>
    <t>Whitney Wiggins</t>
  </si>
  <si>
    <t>Welch</t>
  </si>
  <si>
    <t>377-37-7795</t>
  </si>
  <si>
    <t>303-773-3071</t>
  </si>
  <si>
    <t>fjwiggins</t>
  </si>
  <si>
    <t>Ul/@&lt;:L*%Tbx%u</t>
  </si>
  <si>
    <t>Angelique</t>
  </si>
  <si>
    <t>angelique.guy@hotmail.com</t>
  </si>
  <si>
    <t>Armando Guy</t>
  </si>
  <si>
    <t>Andrea Guy</t>
  </si>
  <si>
    <t>732-28-2021</t>
  </si>
  <si>
    <t>210-875-3303</t>
  </si>
  <si>
    <t>agguy</t>
  </si>
  <si>
    <t>OTNaNwh[/|5s.a%</t>
  </si>
  <si>
    <t>marcelino.tanner@gmail.com</t>
  </si>
  <si>
    <t>Bruce Tanner</t>
  </si>
  <si>
    <t>Amparo Tanner</t>
  </si>
  <si>
    <t>173-86-7648</t>
  </si>
  <si>
    <t>479-283-8919</t>
  </si>
  <si>
    <t>Saline</t>
  </si>
  <si>
    <t>mitanner</t>
  </si>
  <si>
    <t>5$$xC7#rm5#2</t>
  </si>
  <si>
    <t>Tony</t>
  </si>
  <si>
    <t>tony.weiss@aol.com</t>
  </si>
  <si>
    <t>Brendan Weiss</t>
  </si>
  <si>
    <t>Virginia Weiss</t>
  </si>
  <si>
    <t>292-15-1702</t>
  </si>
  <si>
    <t>209-283-2005</t>
  </si>
  <si>
    <t>tsweiss</t>
  </si>
  <si>
    <t>yo4/vUhEsF2-u</t>
  </si>
  <si>
    <t>Cardenas</t>
  </si>
  <si>
    <t>lenard.cardenas@yahoo.co.uk</t>
  </si>
  <si>
    <t>Kenneth Cardenas</t>
  </si>
  <si>
    <t>John Cardenas</t>
  </si>
  <si>
    <t>118-98-3789</t>
  </si>
  <si>
    <t>252-633-3990</t>
  </si>
  <si>
    <t>Bahama</t>
  </si>
  <si>
    <t>lrcardenas</t>
  </si>
  <si>
    <t>p*6t:Hg1e#u</t>
  </si>
  <si>
    <t>aurora.gray@gmail.com</t>
  </si>
  <si>
    <t>Alva Gray</t>
  </si>
  <si>
    <t>Marietta Gray</t>
  </si>
  <si>
    <t>359-08-8042</t>
  </si>
  <si>
    <t>505-463-3310</t>
  </si>
  <si>
    <t>Santa Fe</t>
  </si>
  <si>
    <t>asgray</t>
  </si>
  <si>
    <t>I}I6yG:_okWfb_</t>
  </si>
  <si>
    <t>Manuela</t>
  </si>
  <si>
    <t>manuela.koch@aol.com</t>
  </si>
  <si>
    <t>Reyes Koch</t>
  </si>
  <si>
    <t>Lee Koch</t>
  </si>
  <si>
    <t>015-94-0568</t>
  </si>
  <si>
    <t>210-616-5554</t>
  </si>
  <si>
    <t>Loraine</t>
  </si>
  <si>
    <t>mfkoch</t>
  </si>
  <si>
    <t>s3Ki4rinP|</t>
  </si>
  <si>
    <t>Jean</t>
  </si>
  <si>
    <t>jean.mclean@walmart.com</t>
  </si>
  <si>
    <t>Jonathon Mclean</t>
  </si>
  <si>
    <t>Krystal Mclean</t>
  </si>
  <si>
    <t>592-99-6453</t>
  </si>
  <si>
    <t>503-800-6129</t>
  </si>
  <si>
    <t>Chiloquin</t>
  </si>
  <si>
    <t>jkmclean</t>
  </si>
  <si>
    <t>qoh3Qh*OS&amp;</t>
  </si>
  <si>
    <t>Barbra</t>
  </si>
  <si>
    <t>barbra.sutton@ibm.com</t>
  </si>
  <si>
    <t>Ira Sutton</t>
  </si>
  <si>
    <t>Frances Sutton</t>
  </si>
  <si>
    <t>352-08-2930</t>
  </si>
  <si>
    <t>252-876-5411</t>
  </si>
  <si>
    <t>Harbinger</t>
  </si>
  <si>
    <t>Currituck</t>
  </si>
  <si>
    <t>bnsutton</t>
  </si>
  <si>
    <t>XkH%DaPZ:$&lt;n3</t>
  </si>
  <si>
    <t>Deann</t>
  </si>
  <si>
    <t>deann.mccormick@yahoo.co.uk</t>
  </si>
  <si>
    <t>Nathaniel Mccormick</t>
  </si>
  <si>
    <t>Estela Mccormick</t>
  </si>
  <si>
    <t>590-99-7706</t>
  </si>
  <si>
    <t>215-559-6405</t>
  </si>
  <si>
    <t>Craley</t>
  </si>
  <si>
    <t>dgmccormick</t>
  </si>
  <si>
    <t>R]VRIB[;</t>
  </si>
  <si>
    <t>Browning</t>
  </si>
  <si>
    <t>reba.browning@hotmail.com</t>
  </si>
  <si>
    <t>Sammy Browning</t>
  </si>
  <si>
    <t>Angelita Browning</t>
  </si>
  <si>
    <t>355-08-4077</t>
  </si>
  <si>
    <t>229-958-4896</t>
  </si>
  <si>
    <t>Bartow</t>
  </si>
  <si>
    <t>rlbrowning</t>
  </si>
  <si>
    <t>i!QEo!TJ?6yR8%</t>
  </si>
  <si>
    <t>rickie.alston@gmail.com</t>
  </si>
  <si>
    <t>Sammy Alston</t>
  </si>
  <si>
    <t>Rhea Alston</t>
  </si>
  <si>
    <t>063-02-6842</t>
  </si>
  <si>
    <t>319-330-2111</t>
  </si>
  <si>
    <t>Des Moines</t>
  </si>
  <si>
    <t>rjalston</t>
  </si>
  <si>
    <t>jY$G&lt;P!%</t>
  </si>
  <si>
    <t>Lyman</t>
  </si>
  <si>
    <t>lyman.reeves@yahoo.com</t>
  </si>
  <si>
    <t>Myles Reeves</t>
  </si>
  <si>
    <t>Shari Reeves</t>
  </si>
  <si>
    <t>261-99-5615</t>
  </si>
  <si>
    <t>207-961-9872</t>
  </si>
  <si>
    <t>Fryeburg</t>
  </si>
  <si>
    <t>ldreeves</t>
  </si>
  <si>
    <t>b*#_noE^</t>
  </si>
  <si>
    <t>Deon</t>
  </si>
  <si>
    <t>Quinn</t>
  </si>
  <si>
    <t>deon.quinn@gmail.com</t>
  </si>
  <si>
    <t>Daryl Quinn</t>
  </si>
  <si>
    <t>Casey Quinn</t>
  </si>
  <si>
    <t>138-25-4573</t>
  </si>
  <si>
    <t>210-478-8253</t>
  </si>
  <si>
    <t>Anton</t>
  </si>
  <si>
    <t>Hockley</t>
  </si>
  <si>
    <t>djquinn</t>
  </si>
  <si>
    <t>MwW{_|av</t>
  </si>
  <si>
    <t>Israel</t>
  </si>
  <si>
    <t>israel.mccarthy@outlook.com</t>
  </si>
  <si>
    <t>Salvador Mccarthy</t>
  </si>
  <si>
    <t>Evangelina Mccarthy</t>
  </si>
  <si>
    <t>135-25-0215</t>
  </si>
  <si>
    <t>216-481-5735</t>
  </si>
  <si>
    <t>Willard</t>
  </si>
  <si>
    <t>Huron</t>
  </si>
  <si>
    <t>ikmccarthy</t>
  </si>
  <si>
    <t>vmwSIT&amp;Bzr]&gt;0</t>
  </si>
  <si>
    <t>Moises</t>
  </si>
  <si>
    <t>moises.berger@shell.com</t>
  </si>
  <si>
    <t>Lynn Berger</t>
  </si>
  <si>
    <t>Pearl Berger</t>
  </si>
  <si>
    <t>472-57-1193</t>
  </si>
  <si>
    <t>209-999-1866</t>
  </si>
  <si>
    <t>San Francisco</t>
  </si>
  <si>
    <t>mvberger</t>
  </si>
  <si>
    <t>BN~+*KA]</t>
  </si>
  <si>
    <t>Jerri</t>
  </si>
  <si>
    <t>jerri.douglas@yahoo.com</t>
  </si>
  <si>
    <t>Dudley Douglas</t>
  </si>
  <si>
    <t>Ladonna Douglas</t>
  </si>
  <si>
    <t>Gates</t>
  </si>
  <si>
    <t>618-87-6769</t>
  </si>
  <si>
    <t>503-571-2413</t>
  </si>
  <si>
    <t>jwdouglas</t>
  </si>
  <si>
    <t>b:1TrG\;MDu</t>
  </si>
  <si>
    <t>bradley.nieves@gmail.com</t>
  </si>
  <si>
    <t>Brooks Nieves</t>
  </si>
  <si>
    <t>Tanisha Nieves</t>
  </si>
  <si>
    <t>Ward</t>
  </si>
  <si>
    <t>603-87-2981</t>
  </si>
  <si>
    <t>423-760-7018</t>
  </si>
  <si>
    <t>Oak Ridge</t>
  </si>
  <si>
    <t>bdnieves</t>
  </si>
  <si>
    <t>WI{.qT^2hqe_u</t>
  </si>
  <si>
    <t>Romeo</t>
  </si>
  <si>
    <t>romeo.foster@shell.com</t>
  </si>
  <si>
    <t>Emory Foster</t>
  </si>
  <si>
    <t>Saundra Foster</t>
  </si>
  <si>
    <t>249-99-8047</t>
  </si>
  <si>
    <t>307-281-9361</t>
  </si>
  <si>
    <t>Hiland</t>
  </si>
  <si>
    <t>rofoster</t>
  </si>
  <si>
    <t>uM&amp;vnyVuKf$x8G3</t>
  </si>
  <si>
    <t>Leopoldo</t>
  </si>
  <si>
    <t>leopoldo.mcgee@gmail.com</t>
  </si>
  <si>
    <t>Tommie Mcgee</t>
  </si>
  <si>
    <t>Selena Mcgee</t>
  </si>
  <si>
    <t>062-02-1111</t>
  </si>
  <si>
    <t>210-459-9807</t>
  </si>
  <si>
    <t>Old Glory</t>
  </si>
  <si>
    <t>Stonewall</t>
  </si>
  <si>
    <t>lbmcgee</t>
  </si>
  <si>
    <t>QK#5.[dj@b</t>
  </si>
  <si>
    <t>Andrea</t>
  </si>
  <si>
    <t>andrea.crawford@exxonmobil.com</t>
  </si>
  <si>
    <t>Lemuel Crawford</t>
  </si>
  <si>
    <t>Lucia Crawford</t>
  </si>
  <si>
    <t>757-12-0852</t>
  </si>
  <si>
    <t>405-614-0571</t>
  </si>
  <si>
    <t>Marland</t>
  </si>
  <si>
    <t>afcrawford</t>
  </si>
  <si>
    <t>cXs&amp;edME9lw]S</t>
  </si>
  <si>
    <t>Charley</t>
  </si>
  <si>
    <t>charley.daniel@yahoo.com</t>
  </si>
  <si>
    <t>Clinton Daniel</t>
  </si>
  <si>
    <t>Roslyn Daniel</t>
  </si>
  <si>
    <t>464-99-3054</t>
  </si>
  <si>
    <t>218-468-3365</t>
  </si>
  <si>
    <t>czdaniel</t>
  </si>
  <si>
    <t>28qZ3+wHXR9?CSf</t>
  </si>
  <si>
    <t>carolyn.butler@yahoo.com</t>
  </si>
  <si>
    <t>Roosevelt Butler</t>
  </si>
  <si>
    <t>Leola Butler</t>
  </si>
  <si>
    <t>526-99-8674</t>
  </si>
  <si>
    <t>803-777-9562</t>
  </si>
  <si>
    <t>Lugoff</t>
  </si>
  <si>
    <t>Kershaw</t>
  </si>
  <si>
    <t>cqbutler</t>
  </si>
  <si>
    <t>u*6\l9n\fCsto4</t>
  </si>
  <si>
    <t>gracie.stanley@gmail.com</t>
  </si>
  <si>
    <t>Freddy Stanley</t>
  </si>
  <si>
    <t>Johnnie Stanley</t>
  </si>
  <si>
    <t>368-39-6485</t>
  </si>
  <si>
    <t>201-788-2850</t>
  </si>
  <si>
    <t>gmstanley</t>
  </si>
  <si>
    <t>3xs6hJ/vvPuf\</t>
  </si>
  <si>
    <t>Jerrold</t>
  </si>
  <si>
    <t>jerrold.sweet@gmail.com</t>
  </si>
  <si>
    <t>Stacey Sweet</t>
  </si>
  <si>
    <t>Angelina Sweet</t>
  </si>
  <si>
    <t>031-92-6851</t>
  </si>
  <si>
    <t>239-425-4387</t>
  </si>
  <si>
    <t>Naples</t>
  </si>
  <si>
    <t>jlsweet</t>
  </si>
  <si>
    <t>pM&lt;;S23M</t>
  </si>
  <si>
    <t>Joshua</t>
  </si>
  <si>
    <t>joshua.small@gmail.com</t>
  </si>
  <si>
    <t>Jaime Small</t>
  </si>
  <si>
    <t>Rachael Small</t>
  </si>
  <si>
    <t>343-11-5694</t>
  </si>
  <si>
    <t>205-293-0457</t>
  </si>
  <si>
    <t>jgsmall</t>
  </si>
  <si>
    <t>r}Y]A&gt;@U&amp;HQMu</t>
  </si>
  <si>
    <t>Kristy</t>
  </si>
  <si>
    <t>kristy.jordan@hotmail.com</t>
  </si>
  <si>
    <t>Alphonse Jordan</t>
  </si>
  <si>
    <t>Marisa Jordan</t>
  </si>
  <si>
    <t>506-57-0225</t>
  </si>
  <si>
    <t>210-315-2628</t>
  </si>
  <si>
    <t>Nome</t>
  </si>
  <si>
    <t>kdjordan</t>
  </si>
  <si>
    <t>CGzqLkw;b.w%</t>
  </si>
  <si>
    <t>spencer.williams@hotmail.com</t>
  </si>
  <si>
    <t>Rufus Williams</t>
  </si>
  <si>
    <t>Sasha Williams</t>
  </si>
  <si>
    <t>144-23-0486</t>
  </si>
  <si>
    <t>479-987-0408</t>
  </si>
  <si>
    <t>Des Arc</t>
  </si>
  <si>
    <t>Prairie</t>
  </si>
  <si>
    <t>szwilliams</t>
  </si>
  <si>
    <t>cLb+ORfylRC_p&lt;</t>
  </si>
  <si>
    <t>ashley.ochoa@shell.com</t>
  </si>
  <si>
    <t>Rubin Ochoa</t>
  </si>
  <si>
    <t>Rachael Ochoa</t>
  </si>
  <si>
    <t>Phillips</t>
  </si>
  <si>
    <t>226-99-3289</t>
  </si>
  <si>
    <t>505-459-6399</t>
  </si>
  <si>
    <t>San Acacia</t>
  </si>
  <si>
    <t>aaochoa</t>
  </si>
  <si>
    <t>ZWKLX;Lj8z</t>
  </si>
  <si>
    <t>Rocco</t>
  </si>
  <si>
    <t>rocco.wall@gmail.com</t>
  </si>
  <si>
    <t>Clarence Wall</t>
  </si>
  <si>
    <t>Terri Wall</t>
  </si>
  <si>
    <t>732-28-7587</t>
  </si>
  <si>
    <t>603-449-3958</t>
  </si>
  <si>
    <t>Wolfeboro Falls</t>
  </si>
  <si>
    <t>rpwall</t>
  </si>
  <si>
    <t>0?sWT1T2QFY&gt;eM</t>
  </si>
  <si>
    <t>sonny.carey@gmail.com</t>
  </si>
  <si>
    <t>Morris Carey</t>
  </si>
  <si>
    <t>Michelle Carey</t>
  </si>
  <si>
    <t>150-23-2859</t>
  </si>
  <si>
    <t>308-667-7346</t>
  </si>
  <si>
    <t>sgcarey</t>
  </si>
  <si>
    <t>vpAv[JZ9%j</t>
  </si>
  <si>
    <t>Erich</t>
  </si>
  <si>
    <t>erich.goodman@gmail.com</t>
  </si>
  <si>
    <t>Ignacio Goodman</t>
  </si>
  <si>
    <t>Jessica Goodman</t>
  </si>
  <si>
    <t>688-24-4560</t>
  </si>
  <si>
    <t>304-784-4393</t>
  </si>
  <si>
    <t>Seth</t>
  </si>
  <si>
    <t>etgoodman</t>
  </si>
  <si>
    <t>b8-W-CGw$EbL</t>
  </si>
  <si>
    <t>mack.massey@shaw.ca</t>
  </si>
  <si>
    <t>Andre Massey</t>
  </si>
  <si>
    <t>Leanne Massey</t>
  </si>
  <si>
    <t>103-02-3216</t>
  </si>
  <si>
    <t>210-302-1647</t>
  </si>
  <si>
    <t>Pleasanton</t>
  </si>
  <si>
    <t>Atascosa</t>
  </si>
  <si>
    <t>mqmassey</t>
  </si>
  <si>
    <t>TOU$y~DI</t>
  </si>
  <si>
    <t>Vicky</t>
  </si>
  <si>
    <t>vicky.burgess@hotmail.com</t>
  </si>
  <si>
    <t>Thaddeus Burgess</t>
  </si>
  <si>
    <t>Terrie Burgess</t>
  </si>
  <si>
    <t>511-33-6199</t>
  </si>
  <si>
    <t>603-674-2032</t>
  </si>
  <si>
    <t>Colebrook</t>
  </si>
  <si>
    <t>Coos</t>
  </si>
  <si>
    <t>vzburgess</t>
  </si>
  <si>
    <t>U%I_$cd&amp;{k</t>
  </si>
  <si>
    <t>Willa</t>
  </si>
  <si>
    <t>Hensley</t>
  </si>
  <si>
    <t>willa.hensley@gmail.com</t>
  </si>
  <si>
    <t>Dante Hensley</t>
  </si>
  <si>
    <t>Liliana Hensley</t>
  </si>
  <si>
    <t>646-23-3771</t>
  </si>
  <si>
    <t>218-328-5008</t>
  </si>
  <si>
    <t>Gaylord</t>
  </si>
  <si>
    <t>Sibley</t>
  </si>
  <si>
    <t>wqhensley</t>
  </si>
  <si>
    <t>gQBlv:no7oX}</t>
  </si>
  <si>
    <t>Reva</t>
  </si>
  <si>
    <t>reva.morales@yahoo.com</t>
  </si>
  <si>
    <t>Daren Morales</t>
  </si>
  <si>
    <t>Celina Morales</t>
  </si>
  <si>
    <t>531-71-3442</t>
  </si>
  <si>
    <t>215-329-9222</t>
  </si>
  <si>
    <t>Lawton</t>
  </si>
  <si>
    <t>rhmorales</t>
  </si>
  <si>
    <t>vuZ_Nw#gNe</t>
  </si>
  <si>
    <t>Ina</t>
  </si>
  <si>
    <t>ina.cummings@gmail.com</t>
  </si>
  <si>
    <t>Walker Cummings</t>
  </si>
  <si>
    <t>Lelia Cummings</t>
  </si>
  <si>
    <t>034-92-9215</t>
  </si>
  <si>
    <t>210-961-7669</t>
  </si>
  <si>
    <t>Rockdale</t>
  </si>
  <si>
    <t>Milam</t>
  </si>
  <si>
    <t>ihcummings</t>
  </si>
  <si>
    <t>boM#}Pjm9&amp;</t>
  </si>
  <si>
    <t>Kristi</t>
  </si>
  <si>
    <t>kristi.monroe@gmail.com</t>
  </si>
  <si>
    <t>Delmer Monroe</t>
  </si>
  <si>
    <t>Audra Monroe</t>
  </si>
  <si>
    <t>695-16-4776</t>
  </si>
  <si>
    <t>212-734-5344</t>
  </si>
  <si>
    <t>Swan Lake</t>
  </si>
  <si>
    <t>kmmonroe</t>
  </si>
  <si>
    <t>gm3ynY[By</t>
  </si>
  <si>
    <t>Carpenter</t>
  </si>
  <si>
    <t>danial.carpenter@msn.com</t>
  </si>
  <si>
    <t>Jerold Carpenter</t>
  </si>
  <si>
    <t>Marcy Carpenter</t>
  </si>
  <si>
    <t>601-99-2184</t>
  </si>
  <si>
    <t>215-719-9400</t>
  </si>
  <si>
    <t>Macungie</t>
  </si>
  <si>
    <t>dvcarpenter</t>
  </si>
  <si>
    <t>It?$6QJc9\Ut0i</t>
  </si>
  <si>
    <t>Benita</t>
  </si>
  <si>
    <t>benita.duncan@gmail.com</t>
  </si>
  <si>
    <t>Jesse Duncan</t>
  </si>
  <si>
    <t>Tammie Duncan</t>
  </si>
  <si>
    <t>724-28-0144</t>
  </si>
  <si>
    <t>423-901-1808</t>
  </si>
  <si>
    <t>Idlewild</t>
  </si>
  <si>
    <t>blduncan</t>
  </si>
  <si>
    <t>7}AHT4YaVqKFha/</t>
  </si>
  <si>
    <t>Dwayne</t>
  </si>
  <si>
    <t>dwayne.kim@ibm.com</t>
  </si>
  <si>
    <t>Carmine Kim</t>
  </si>
  <si>
    <t>Benita Kim</t>
  </si>
  <si>
    <t>448-27-8402</t>
  </si>
  <si>
    <t>405-870-4505</t>
  </si>
  <si>
    <t>Waurika</t>
  </si>
  <si>
    <t>drkim</t>
  </si>
  <si>
    <t>1PAa?NzX%</t>
  </si>
  <si>
    <t>Rocha</t>
  </si>
  <si>
    <t>lorrie.rocha@aol.com</t>
  </si>
  <si>
    <t>Simon Rocha</t>
  </si>
  <si>
    <t>Jodie Rocha</t>
  </si>
  <si>
    <t>678-22-7346</t>
  </si>
  <si>
    <t>304-719-7057</t>
  </si>
  <si>
    <t>Helen</t>
  </si>
  <si>
    <t>Raleigh</t>
  </si>
  <si>
    <t>ldrocha</t>
  </si>
  <si>
    <t>q;U.y%s+O|Yd5{|</t>
  </si>
  <si>
    <t>juliana.hines@gmail.com</t>
  </si>
  <si>
    <t>Marcus Hines</t>
  </si>
  <si>
    <t>Lea Hines</t>
  </si>
  <si>
    <t>580-41-4352</t>
  </si>
  <si>
    <t>262-884-6814</t>
  </si>
  <si>
    <t>jvhines</t>
  </si>
  <si>
    <t>wMsS&amp;%/Uv]k7|H&amp;</t>
  </si>
  <si>
    <t>Mac</t>
  </si>
  <si>
    <t>mac.mcleod@gmail.com</t>
  </si>
  <si>
    <t>Bradford Mcleod</t>
  </si>
  <si>
    <t>Marquita Mcleod</t>
  </si>
  <si>
    <t>320-11-0958</t>
  </si>
  <si>
    <t>401-501-1565</t>
  </si>
  <si>
    <t>North Kingstown</t>
  </si>
  <si>
    <t>RI</t>
  </si>
  <si>
    <t>mzmcleod</t>
  </si>
  <si>
    <t>V[}hyKw9GU+</t>
  </si>
  <si>
    <t>Bonner</t>
  </si>
  <si>
    <t>bryce.bonner@gmail.com</t>
  </si>
  <si>
    <t>Kurtis Bonner</t>
  </si>
  <si>
    <t>Maryann Bonner</t>
  </si>
  <si>
    <t>348-08-7421</t>
  </si>
  <si>
    <t>505-386-4693</t>
  </si>
  <si>
    <t>Las Cruces</t>
  </si>
  <si>
    <t>bvbonner</t>
  </si>
  <si>
    <t>Up\n[eaybw0k:f</t>
  </si>
  <si>
    <t>Guadalupe</t>
  </si>
  <si>
    <t>guadalupe.holcomb@hotmail.com</t>
  </si>
  <si>
    <t>Elmer Holcomb</t>
  </si>
  <si>
    <t>Roxie Holcomb</t>
  </si>
  <si>
    <t>Galloway</t>
  </si>
  <si>
    <t>481-41-3721</t>
  </si>
  <si>
    <t>316-841-2836</t>
  </si>
  <si>
    <t>Talmage</t>
  </si>
  <si>
    <t>Dickinson</t>
  </si>
  <si>
    <t>guholcomb</t>
  </si>
  <si>
    <t>r?a1*tt2/Gd49</t>
  </si>
  <si>
    <t>Jacob</t>
  </si>
  <si>
    <t>jacob.cherry@yahoo.co.in</t>
  </si>
  <si>
    <t>Carson Cherry</t>
  </si>
  <si>
    <t>Lea Cherry</t>
  </si>
  <si>
    <t>083-02-8562</t>
  </si>
  <si>
    <t>603-796-6037</t>
  </si>
  <si>
    <t>East Kingston</t>
  </si>
  <si>
    <t>jscherry</t>
  </si>
  <si>
    <t>UY{l&amp;eH!;Qtb?E</t>
  </si>
  <si>
    <t>Jeanette</t>
  </si>
  <si>
    <t>Rivera</t>
  </si>
  <si>
    <t>jeanette.rivera@aol.com</t>
  </si>
  <si>
    <t>Brain Rivera</t>
  </si>
  <si>
    <t>Bertie Rivera</t>
  </si>
  <si>
    <t>143-23-0461</t>
  </si>
  <si>
    <t>270-857-0407</t>
  </si>
  <si>
    <t>De Mossville</t>
  </si>
  <si>
    <t>jerivera</t>
  </si>
  <si>
    <t>0t7oeZ&gt;xL1OM;</t>
  </si>
  <si>
    <t>jefferson.holt@yahoo.ca</t>
  </si>
  <si>
    <t>Weldon Holt</t>
  </si>
  <si>
    <t>Lindsay Holt</t>
  </si>
  <si>
    <t>304-37-7449</t>
  </si>
  <si>
    <t>701-992-3274</t>
  </si>
  <si>
    <t>Mekinock</t>
  </si>
  <si>
    <t>Grand Forks</t>
  </si>
  <si>
    <t>jbholt</t>
  </si>
  <si>
    <t>4FZyXCh^&amp;{!Q8u</t>
  </si>
  <si>
    <t>dillon.dunn@yahoo.ca</t>
  </si>
  <si>
    <t>Leroy Dunn</t>
  </si>
  <si>
    <t>Rosemary Dunn</t>
  </si>
  <si>
    <t>029-92-4488</t>
  </si>
  <si>
    <t>209-642-0845</t>
  </si>
  <si>
    <t>drdunn</t>
  </si>
  <si>
    <t>I$Ueb{tb</t>
  </si>
  <si>
    <t>Bertie</t>
  </si>
  <si>
    <t>bertie.slater@gmail.com</t>
  </si>
  <si>
    <t>Hugh Slater</t>
  </si>
  <si>
    <t>Marcia Slater</t>
  </si>
  <si>
    <t>574-61-0132</t>
  </si>
  <si>
    <t>215-850-8359</t>
  </si>
  <si>
    <t>East Smethport</t>
  </si>
  <si>
    <t>McKean</t>
  </si>
  <si>
    <t>bqslater</t>
  </si>
  <si>
    <t>5Co6VO|;Wg</t>
  </si>
  <si>
    <t>hannah.cooper@shaw.ca</t>
  </si>
  <si>
    <t>Ruben Cooper</t>
  </si>
  <si>
    <t>Wendy Cooper</t>
  </si>
  <si>
    <t>509-33-6508</t>
  </si>
  <si>
    <t>240-919-2748</t>
  </si>
  <si>
    <t>Baltimore (city)</t>
  </si>
  <si>
    <t>hzcooper</t>
  </si>
  <si>
    <t>V.&gt;~92F224v</t>
  </si>
  <si>
    <t>Jon</t>
  </si>
  <si>
    <t>jon.mcneil@hotmail.com</t>
  </si>
  <si>
    <t>Vincent Mcneil</t>
  </si>
  <si>
    <t>Helga Mcneil</t>
  </si>
  <si>
    <t>215-91-9193</t>
  </si>
  <si>
    <t>218-998-7784</t>
  </si>
  <si>
    <t>Swift</t>
  </si>
  <si>
    <t>jamcneil</t>
  </si>
  <si>
    <t>PAowi6F|xM</t>
  </si>
  <si>
    <t>Caitlin</t>
  </si>
  <si>
    <t>caitlin.mann@hotmail.com</t>
  </si>
  <si>
    <t>Kareem Mann</t>
  </si>
  <si>
    <t>Gilda Mann</t>
  </si>
  <si>
    <t>611-87-6022</t>
  </si>
  <si>
    <t>225-886-1747</t>
  </si>
  <si>
    <t>St. James</t>
  </si>
  <si>
    <t>cumann</t>
  </si>
  <si>
    <t>me-.cBmuq[</t>
  </si>
  <si>
    <t>doris.giles@aol.com</t>
  </si>
  <si>
    <t>Kim Giles</t>
  </si>
  <si>
    <t>Rosanne Giles</t>
  </si>
  <si>
    <t>Ingram</t>
  </si>
  <si>
    <t>193-86-6409</t>
  </si>
  <si>
    <t>308-666-7569</t>
  </si>
  <si>
    <t>dhgiles</t>
  </si>
  <si>
    <t>v&lt;Hq_v_JmsAV\</t>
  </si>
  <si>
    <t>barbra.hobbs@outlook.com</t>
  </si>
  <si>
    <t>Vince Hobbs</t>
  </si>
  <si>
    <t>Evangeline Hobbs</t>
  </si>
  <si>
    <t>491-29-5239</t>
  </si>
  <si>
    <t>236-666-5502</t>
  </si>
  <si>
    <t>bahobbs</t>
  </si>
  <si>
    <t>h*Rr7+?DJ</t>
  </si>
  <si>
    <t>Witt</t>
  </si>
  <si>
    <t>hung.witt@apple.com</t>
  </si>
  <si>
    <t>Rusty Witt</t>
  </si>
  <si>
    <t>Ofelia Witt</t>
  </si>
  <si>
    <t>043-15-7895</t>
  </si>
  <si>
    <t>479-636-8265</t>
  </si>
  <si>
    <t>hewitt</t>
  </si>
  <si>
    <t>TAIrwZt-&gt;ng|</t>
  </si>
  <si>
    <t>Adele</t>
  </si>
  <si>
    <t>adele.scott@yahoo.com</t>
  </si>
  <si>
    <t>Genaro Scott</t>
  </si>
  <si>
    <t>Barbara Scott</t>
  </si>
  <si>
    <t>405-73-5476</t>
  </si>
  <si>
    <t>207-661-8706</t>
  </si>
  <si>
    <t>ayscott</t>
  </si>
  <si>
    <t>ub|:\1cB</t>
  </si>
  <si>
    <t>Stella</t>
  </si>
  <si>
    <t>stella.guy@btinternet.com</t>
  </si>
  <si>
    <t>Thad Guy</t>
  </si>
  <si>
    <t>Ester Guy</t>
  </si>
  <si>
    <t>536-71-1774</t>
  </si>
  <si>
    <t>210-990-9956</t>
  </si>
  <si>
    <t>shguy</t>
  </si>
  <si>
    <t>UDU{7^bDKU?htu</t>
  </si>
  <si>
    <t>clement.lancaster@charter.net</t>
  </si>
  <si>
    <t>Scott Lancaster</t>
  </si>
  <si>
    <t>Katy Lancaster</t>
  </si>
  <si>
    <t>180-86-6071</t>
  </si>
  <si>
    <t>406-298-8084</t>
  </si>
  <si>
    <t>Billings</t>
  </si>
  <si>
    <t>Yellowstone</t>
  </si>
  <si>
    <t>cblancaster</t>
  </si>
  <si>
    <t>ATXmr+Rs7YHu</t>
  </si>
  <si>
    <t>Rosetta</t>
  </si>
  <si>
    <t>rosetta.decker@bp.com</t>
  </si>
  <si>
    <t>Neal Decker</t>
  </si>
  <si>
    <t>Dolly Decker</t>
  </si>
  <si>
    <t>583-99-8323</t>
  </si>
  <si>
    <t>252-964-7255</t>
  </si>
  <si>
    <t>Morganton</t>
  </si>
  <si>
    <t>rjdecker</t>
  </si>
  <si>
    <t>Ux402GGZL]M}!^</t>
  </si>
  <si>
    <t>Caleb</t>
  </si>
  <si>
    <t>caleb.poole@hotmail.com</t>
  </si>
  <si>
    <t>Eddie Poole</t>
  </si>
  <si>
    <t>Araceli Poole</t>
  </si>
  <si>
    <t>466-99-5783</t>
  </si>
  <si>
    <t>212-282-7388</t>
  </si>
  <si>
    <t>Eastport</t>
  </si>
  <si>
    <t>cqpoole</t>
  </si>
  <si>
    <t>N\&lt;UQI$t</t>
  </si>
  <si>
    <t>dudley.elliott@yahoo.com</t>
  </si>
  <si>
    <t>Erin Elliott</t>
  </si>
  <si>
    <t>Benita Elliott</t>
  </si>
  <si>
    <t>636-31-2637</t>
  </si>
  <si>
    <t>217-293-4309</t>
  </si>
  <si>
    <t>dvelliott</t>
  </si>
  <si>
    <t>gA&amp;hx7um]</t>
  </si>
  <si>
    <t>Barbara</t>
  </si>
  <si>
    <t>barbara.palmer@yahoo.com</t>
  </si>
  <si>
    <t>Eugene Palmer</t>
  </si>
  <si>
    <t>Daisy Palmer</t>
  </si>
  <si>
    <t>677-22-6704</t>
  </si>
  <si>
    <t>225-544-2407</t>
  </si>
  <si>
    <t>New Orleans</t>
  </si>
  <si>
    <t>Orleans</t>
  </si>
  <si>
    <t>bwpalmer</t>
  </si>
  <si>
    <t>wXK++CgIOg\3yw</t>
  </si>
  <si>
    <t>Alana</t>
  </si>
  <si>
    <t>alana.henderson@gmail.com</t>
  </si>
  <si>
    <t>Chad Henderson</t>
  </si>
  <si>
    <t>Alexandria Henderson</t>
  </si>
  <si>
    <t>416-67-9779</t>
  </si>
  <si>
    <t>701-366-9793</t>
  </si>
  <si>
    <t>ashenderson</t>
  </si>
  <si>
    <t>AYWTL|Q%.kA$^&amp;</t>
  </si>
  <si>
    <t>Hazel</t>
  </si>
  <si>
    <t>hazel.case@aol.com</t>
  </si>
  <si>
    <t>Arnold Case</t>
  </si>
  <si>
    <t>Melva Case</t>
  </si>
  <si>
    <t>241-99-0661</t>
  </si>
  <si>
    <t>228-989-5956</t>
  </si>
  <si>
    <t>hlcase</t>
  </si>
  <si>
    <t>im]L@biO*</t>
  </si>
  <si>
    <t>erich.lyons@gmail.com</t>
  </si>
  <si>
    <t>Edward Lyons</t>
  </si>
  <si>
    <t>Deborah Lyons</t>
  </si>
  <si>
    <t>752-09-2442</t>
  </si>
  <si>
    <t>303-271-1917</t>
  </si>
  <si>
    <t>ezlyons</t>
  </si>
  <si>
    <t>FG&gt;&lt;Ut*3</t>
  </si>
  <si>
    <t>elise.zimmerman@gmail.com</t>
  </si>
  <si>
    <t>Abdul Zimmerman</t>
  </si>
  <si>
    <t>Hester Zimmerman</t>
  </si>
  <si>
    <t>Reynolds</t>
  </si>
  <si>
    <t>322-11-8121</t>
  </si>
  <si>
    <t>215-954-2885</t>
  </si>
  <si>
    <t>eazimmerman</t>
  </si>
  <si>
    <t>zU7yzd-8l</t>
  </si>
  <si>
    <t>mauro.fernandez@gmail.com</t>
  </si>
  <si>
    <t>Jamie Fernandez</t>
  </si>
  <si>
    <t>Josie Fernandez</t>
  </si>
  <si>
    <t>490-29-1098</t>
  </si>
  <si>
    <t>423-250-3418</t>
  </si>
  <si>
    <t>Memphis</t>
  </si>
  <si>
    <t>mwfernandez</t>
  </si>
  <si>
    <t>c9l9[W\G8@x8t</t>
  </si>
  <si>
    <t>Luisa</t>
  </si>
  <si>
    <t>Mcintyre</t>
  </si>
  <si>
    <t>luisa.mcintyre@outlook.com</t>
  </si>
  <si>
    <t>Bradly Mcintyre</t>
  </si>
  <si>
    <t>Margie Mcintyre</t>
  </si>
  <si>
    <t>562-99-9605</t>
  </si>
  <si>
    <t>316-947-5074</t>
  </si>
  <si>
    <t>lqmcintyre</t>
  </si>
  <si>
    <t>P.M4&lt;p|X&gt;jUg+k%</t>
  </si>
  <si>
    <t>Duane</t>
  </si>
  <si>
    <t>Lowery</t>
  </si>
  <si>
    <t>duane.lowery@aol.com</t>
  </si>
  <si>
    <t>Jeffrey Lowery</t>
  </si>
  <si>
    <t>Bianca Lowery</t>
  </si>
  <si>
    <t>004-13-6661</t>
  </si>
  <si>
    <t>202-744-6568</t>
  </si>
  <si>
    <t>drlowery</t>
  </si>
  <si>
    <t>u4n{I#M;/:|-d|Y</t>
  </si>
  <si>
    <t>Weldon</t>
  </si>
  <si>
    <t>weldon.hyde@gmail.com</t>
  </si>
  <si>
    <t>Greg Hyde</t>
  </si>
  <si>
    <t>Neva Hyde</t>
  </si>
  <si>
    <t>Mcclain</t>
  </si>
  <si>
    <t>764-29-9584</t>
  </si>
  <si>
    <t>210-906-6433</t>
  </si>
  <si>
    <t>wchyde</t>
  </si>
  <si>
    <t>T{XWAj/AY</t>
  </si>
  <si>
    <t>Ilene</t>
  </si>
  <si>
    <t>ilene.head@apple.com</t>
  </si>
  <si>
    <t>Alvin Head</t>
  </si>
  <si>
    <t>Jessica Head</t>
  </si>
  <si>
    <t>282-15-5642</t>
  </si>
  <si>
    <t>218-848-8169</t>
  </si>
  <si>
    <t>ifhead</t>
  </si>
  <si>
    <t>aw5maj!IzQqFMlp</t>
  </si>
  <si>
    <t>Phil</t>
  </si>
  <si>
    <t>phil.montgomery@btinternet.com</t>
  </si>
  <si>
    <t>Alphonse Montgomery</t>
  </si>
  <si>
    <t>Annette Montgomery</t>
  </si>
  <si>
    <t>623-85-2895</t>
  </si>
  <si>
    <t>503-244-7905</t>
  </si>
  <si>
    <t>Yamhill</t>
  </si>
  <si>
    <t>pbmontgomery</t>
  </si>
  <si>
    <t>2Fe@1&amp;FZsm{#j%</t>
  </si>
  <si>
    <t>Jonas</t>
  </si>
  <si>
    <t>Underwood</t>
  </si>
  <si>
    <t>jonas.underwood@exxonmobil.com</t>
  </si>
  <si>
    <t>Gus Underwood</t>
  </si>
  <si>
    <t>Candice Underwood</t>
  </si>
  <si>
    <t>327-11-7801</t>
  </si>
  <si>
    <t>479-958-4553</t>
  </si>
  <si>
    <t>Hatfield</t>
  </si>
  <si>
    <t>jlunderwood</t>
  </si>
  <si>
    <t>Hk!*yr&amp;dVNl</t>
  </si>
  <si>
    <t>benita.mcgee@hotmail.com</t>
  </si>
  <si>
    <t>Kennith Mcgee</t>
  </si>
  <si>
    <t>Jeannette Mcgee</t>
  </si>
  <si>
    <t>044-15-3638</t>
  </si>
  <si>
    <t>405-902-2464</t>
  </si>
  <si>
    <t>Nardin</t>
  </si>
  <si>
    <t>bhmcgee</t>
  </si>
  <si>
    <t>VH:LdOfZy;_CMI</t>
  </si>
  <si>
    <t>Rochelle</t>
  </si>
  <si>
    <t>rochelle.guerrero@gmail.com</t>
  </si>
  <si>
    <t>Houston Guerrero</t>
  </si>
  <si>
    <t>Louise Guerrero</t>
  </si>
  <si>
    <t>120-98-6307</t>
  </si>
  <si>
    <t>229-820-6585</t>
  </si>
  <si>
    <t>Pooler</t>
  </si>
  <si>
    <t>Chatham</t>
  </si>
  <si>
    <t>rrguerrero</t>
  </si>
  <si>
    <t>hr{Bx8+HV6</t>
  </si>
  <si>
    <t>Terra</t>
  </si>
  <si>
    <t>Webb</t>
  </si>
  <si>
    <t>terra.webb@gmail.com</t>
  </si>
  <si>
    <t>Denis Webb</t>
  </si>
  <si>
    <t>Marion Webb</t>
  </si>
  <si>
    <t>266-99-6589</t>
  </si>
  <si>
    <t>216-696-0115</t>
  </si>
  <si>
    <t>Youngstown</t>
  </si>
  <si>
    <t>Mahoning</t>
  </si>
  <si>
    <t>tzwebb</t>
  </si>
  <si>
    <t>pi%7:Wh&lt;EPh%_+</t>
  </si>
  <si>
    <t>buford.zimmerman@yahoo.ca</t>
  </si>
  <si>
    <t>Diego Zimmerman</t>
  </si>
  <si>
    <t>Stacie Zimmerman</t>
  </si>
  <si>
    <t>258-99-0396</t>
  </si>
  <si>
    <t>210-683-4660</t>
  </si>
  <si>
    <t>byzimmerman</t>
  </si>
  <si>
    <t>ZiKqpab6iI&amp;d</t>
  </si>
  <si>
    <t>Emanuel</t>
  </si>
  <si>
    <t>emanuel.nichols@hotmail.co.uk</t>
  </si>
  <si>
    <t>Myron Nichols</t>
  </si>
  <si>
    <t>Rochelle Nichols</t>
  </si>
  <si>
    <t>359-08-1106</t>
  </si>
  <si>
    <t>228-269-2893</t>
  </si>
  <si>
    <t>Yazoo City</t>
  </si>
  <si>
    <t>Yazoo</t>
  </si>
  <si>
    <t>exnichols</t>
  </si>
  <si>
    <t>ixPU}57bP7Q</t>
  </si>
  <si>
    <t>Cheryl</t>
  </si>
  <si>
    <t>cheryl.french@aol.com</t>
  </si>
  <si>
    <t>Rusty French</t>
  </si>
  <si>
    <t>Lorena French</t>
  </si>
  <si>
    <t>389-33-0522</t>
  </si>
  <si>
    <t>203-248-3705</t>
  </si>
  <si>
    <t>cmfrench</t>
  </si>
  <si>
    <t>fi4*&lt;E.f$J</t>
  </si>
  <si>
    <t>Theodore</t>
  </si>
  <si>
    <t>theodore.dale@exxonmobil.com</t>
  </si>
  <si>
    <t>Refugio Dale</t>
  </si>
  <si>
    <t>Marissa Dale</t>
  </si>
  <si>
    <t>750-20-7529</t>
  </si>
  <si>
    <t>217-241-9866</t>
  </si>
  <si>
    <t>Opheim</t>
  </si>
  <si>
    <t>ttdale</t>
  </si>
  <si>
    <t>Ji/A{I!t!_s</t>
  </si>
  <si>
    <t>Ginger</t>
  </si>
  <si>
    <t>ginger.palmer@btinternet.com</t>
  </si>
  <si>
    <t>Jarrett Palmer</t>
  </si>
  <si>
    <t>Alexandria Palmer</t>
  </si>
  <si>
    <t>333-11-6014</t>
  </si>
  <si>
    <t>505-316-8178</t>
  </si>
  <si>
    <t>Valmora</t>
  </si>
  <si>
    <t>ghpalmer</t>
  </si>
  <si>
    <t>TIS}P{PltOiFW7</t>
  </si>
  <si>
    <t>Lilian</t>
  </si>
  <si>
    <t>lilian.stein@aol.com</t>
  </si>
  <si>
    <t>Sung Stein</t>
  </si>
  <si>
    <t>Tabitha Stein</t>
  </si>
  <si>
    <t>314-35-6095</t>
  </si>
  <si>
    <t>239-558-2134</t>
  </si>
  <si>
    <t>Neptune Beach</t>
  </si>
  <si>
    <t>llstein</t>
  </si>
  <si>
    <t>zivh\1Rqv</t>
  </si>
  <si>
    <t>gilbert.luna@microsoft.com</t>
  </si>
  <si>
    <t>Scotty Luna</t>
  </si>
  <si>
    <t>Marquita Luna</t>
  </si>
  <si>
    <t>042-15-5241</t>
  </si>
  <si>
    <t>216-441-7069</t>
  </si>
  <si>
    <t>North Star</t>
  </si>
  <si>
    <t>Darke</t>
  </si>
  <si>
    <t>glluna</t>
  </si>
  <si>
    <t>T.^&amp;06|};</t>
  </si>
  <si>
    <t>waldo.wright@bp.com</t>
  </si>
  <si>
    <t>Hunter Wright</t>
  </si>
  <si>
    <t>Maude Wright</t>
  </si>
  <si>
    <t>Woodard</t>
  </si>
  <si>
    <t>103-02-8337</t>
  </si>
  <si>
    <t>252-444-7824</t>
  </si>
  <si>
    <t>wbwright</t>
  </si>
  <si>
    <t>tiwtox~t-kJ</t>
  </si>
  <si>
    <t>Cunningham</t>
  </si>
  <si>
    <t>tommie.cunningham@btinternet.com</t>
  </si>
  <si>
    <t>Angel Cunningham</t>
  </si>
  <si>
    <t>Twila Cunningham</t>
  </si>
  <si>
    <t>Booker</t>
  </si>
  <si>
    <t>759-12-8254</t>
  </si>
  <si>
    <t>303-578-8897</t>
  </si>
  <si>
    <t>Alma</t>
  </si>
  <si>
    <t>tycunningham</t>
  </si>
  <si>
    <t>lOaszCkb5s&lt;q</t>
  </si>
  <si>
    <t>george.potts@msn.com</t>
  </si>
  <si>
    <t>Merrill Potts</t>
  </si>
  <si>
    <t>Margery Potts</t>
  </si>
  <si>
    <t>313-35-0994</t>
  </si>
  <si>
    <t>228-447-7099</t>
  </si>
  <si>
    <t>Vardaman</t>
  </si>
  <si>
    <t>gwpotts</t>
  </si>
  <si>
    <t>Mj_\;&amp;uD_ss%+</t>
  </si>
  <si>
    <t>Hutchinson</t>
  </si>
  <si>
    <t>graham.hutchinson@microsoft.com</t>
  </si>
  <si>
    <t>Pasquale Hutchinson</t>
  </si>
  <si>
    <t>Tanisha Hutchinson</t>
  </si>
  <si>
    <t>360-08-1956</t>
  </si>
  <si>
    <t>216-832-6715</t>
  </si>
  <si>
    <t>Stockdale</t>
  </si>
  <si>
    <t>gfhutchinson</t>
  </si>
  <si>
    <t>r_T_/L8L0n%]!</t>
  </si>
  <si>
    <t>ophelia.pena@gmail.com</t>
  </si>
  <si>
    <t>Rick Pena</t>
  </si>
  <si>
    <t>Dolores Pena</t>
  </si>
  <si>
    <t>144-23-2416</t>
  </si>
  <si>
    <t>229-494-7152</t>
  </si>
  <si>
    <t>Kingsland</t>
  </si>
  <si>
    <t>ozpena</t>
  </si>
  <si>
    <t>LcvCCDt}:W58\</t>
  </si>
  <si>
    <t>lon.harper@aol.com</t>
  </si>
  <si>
    <t>Abel Harper</t>
  </si>
  <si>
    <t>Isabella Harper</t>
  </si>
  <si>
    <t>655-36-7746</t>
  </si>
  <si>
    <t>316-912-3105</t>
  </si>
  <si>
    <t>lpharper</t>
  </si>
  <si>
    <t>Rd9Kee@jTzB.a</t>
  </si>
  <si>
    <t>Irvin</t>
  </si>
  <si>
    <t>irvin.witt@gmail.com</t>
  </si>
  <si>
    <t>Carlo Witt</t>
  </si>
  <si>
    <t>Ericka Witt</t>
  </si>
  <si>
    <t>244-99-1471</t>
  </si>
  <si>
    <t>479-538-7205</t>
  </si>
  <si>
    <t>Dierks</t>
  </si>
  <si>
    <t>ivwitt</t>
  </si>
  <si>
    <t>44YT_?_J-</t>
  </si>
  <si>
    <t>sheri.spears@yahoo.com</t>
  </si>
  <si>
    <t>Jody Spears</t>
  </si>
  <si>
    <t>Nichole Spears</t>
  </si>
  <si>
    <t>431-99-1687</t>
  </si>
  <si>
    <t>304-279-5182</t>
  </si>
  <si>
    <t>saspears</t>
  </si>
  <si>
    <t>2uO2Rfv$a</t>
  </si>
  <si>
    <t>alberta.page@hotmail.com</t>
  </si>
  <si>
    <t>Efrain Page</t>
  </si>
  <si>
    <t>Tania Page</t>
  </si>
  <si>
    <t>210-84-8950</t>
  </si>
  <si>
    <t>207-407-3515</t>
  </si>
  <si>
    <t>Levant</t>
  </si>
  <si>
    <t>Penobscot</t>
  </si>
  <si>
    <t>aapage</t>
  </si>
  <si>
    <t>jFA{+~Z.[</t>
  </si>
  <si>
    <t>Kerri</t>
  </si>
  <si>
    <t>kerri.santos@yahoo.com</t>
  </si>
  <si>
    <t>Morton Santos</t>
  </si>
  <si>
    <t>Ada Santos</t>
  </si>
  <si>
    <t>412-99-7151</t>
  </si>
  <si>
    <t>479-892-9591</t>
  </si>
  <si>
    <t>College Station</t>
  </si>
  <si>
    <t>kqsantos</t>
  </si>
  <si>
    <t>nd;F~z3U\0G1p&gt;z</t>
  </si>
  <si>
    <t>Olin</t>
  </si>
  <si>
    <t>olin.case@hotmail.com</t>
  </si>
  <si>
    <t>Daryl Case</t>
  </si>
  <si>
    <t>Juanita Case</t>
  </si>
  <si>
    <t>267-99-1476</t>
  </si>
  <si>
    <t>308-857-4365</t>
  </si>
  <si>
    <t>Carleton</t>
  </si>
  <si>
    <t>Thayer</t>
  </si>
  <si>
    <t>oncase</t>
  </si>
  <si>
    <t>Hg:mGE&lt;{:E</t>
  </si>
  <si>
    <t>Stefan</t>
  </si>
  <si>
    <t>stefan.jacobs@cox.net</t>
  </si>
  <si>
    <t>Reed Jacobs</t>
  </si>
  <si>
    <t>Darlene Jacobs</t>
  </si>
  <si>
    <t>179-86-9985</t>
  </si>
  <si>
    <t>236-864-7510</t>
  </si>
  <si>
    <t>Fredericksburg</t>
  </si>
  <si>
    <t>Fredericksburg (city)</t>
  </si>
  <si>
    <t>sljacobs</t>
  </si>
  <si>
    <t>iLS[@cGY+-nD2nX</t>
  </si>
  <si>
    <t>cody.allison@gmail.com</t>
  </si>
  <si>
    <t>Sheldon Allison</t>
  </si>
  <si>
    <t>Rachael Allison</t>
  </si>
  <si>
    <t>312-35-7906</t>
  </si>
  <si>
    <t>209-221-5075</t>
  </si>
  <si>
    <t>Pasadena</t>
  </si>
  <si>
    <t>challison</t>
  </si>
  <si>
    <t>CH_;sWI#:j8p4I</t>
  </si>
  <si>
    <t>Bonnie</t>
  </si>
  <si>
    <t>bonnie.baker@bp.com</t>
  </si>
  <si>
    <t>Edwardo Baker</t>
  </si>
  <si>
    <t>Pauline Baker</t>
  </si>
  <si>
    <t>064-02-6162</t>
  </si>
  <si>
    <t>262-696-9171</t>
  </si>
  <si>
    <t>Mukwonago</t>
  </si>
  <si>
    <t>bkbaker</t>
  </si>
  <si>
    <t>a?Co:/r;nu_wTQ</t>
  </si>
  <si>
    <t>luke.turner@charter.net</t>
  </si>
  <si>
    <t>Javier Turner</t>
  </si>
  <si>
    <t>Nicole Turner</t>
  </si>
  <si>
    <t>056-02-8240</t>
  </si>
  <si>
    <t>231-629-0498</t>
  </si>
  <si>
    <t>Freeport</t>
  </si>
  <si>
    <t>lsturner</t>
  </si>
  <si>
    <t>7n5@64VC7|</t>
  </si>
  <si>
    <t>Eva</t>
  </si>
  <si>
    <t>eva.holman@hotmail.com</t>
  </si>
  <si>
    <t>Coy Holman</t>
  </si>
  <si>
    <t>Haley Holman</t>
  </si>
  <si>
    <t>343-11-1935</t>
  </si>
  <si>
    <t>209-912-6705</t>
  </si>
  <si>
    <t>Turlock</t>
  </si>
  <si>
    <t>Stanislaus</t>
  </si>
  <si>
    <t>esholman</t>
  </si>
  <si>
    <t>DG&lt;&lt;&lt;e}*WgD&lt;U</t>
  </si>
  <si>
    <t>Maritza</t>
  </si>
  <si>
    <t>maritza.christian@microsoft.com</t>
  </si>
  <si>
    <t>Dion Christian</t>
  </si>
  <si>
    <t>Stephanie Christian</t>
  </si>
  <si>
    <t>336-11-5030</t>
  </si>
  <si>
    <t>203-224-9056</t>
  </si>
  <si>
    <t>Stamford</t>
  </si>
  <si>
    <t>mhchristian</t>
  </si>
  <si>
    <t>Krs@#TnM</t>
  </si>
  <si>
    <t>phyllis.dudley@yahoo.co.in</t>
  </si>
  <si>
    <t>Jarrod Dudley</t>
  </si>
  <si>
    <t>Latisha Dudley</t>
  </si>
  <si>
    <t>101-02-6501</t>
  </si>
  <si>
    <t>405-970-2341</t>
  </si>
  <si>
    <t>Meno</t>
  </si>
  <si>
    <t>phdudley</t>
  </si>
  <si>
    <t>h6wt@400%&amp;Uu</t>
  </si>
  <si>
    <t>Salary break</t>
  </si>
  <si>
    <t>Hike%</t>
  </si>
  <si>
    <t>Age</t>
  </si>
  <si>
    <t>Age break</t>
  </si>
  <si>
    <t>Tenure</t>
  </si>
  <si>
    <t>&lt; 10000</t>
  </si>
  <si>
    <t>&lt; 5%</t>
  </si>
  <si>
    <t>&lt;20</t>
  </si>
  <si>
    <t>&lt; 5</t>
  </si>
  <si>
    <t>10000-40000</t>
  </si>
  <si>
    <t>5% - 10%</t>
  </si>
  <si>
    <t>21-30</t>
  </si>
  <si>
    <t>5-10</t>
  </si>
  <si>
    <t>40000-60000</t>
  </si>
  <si>
    <t>11% - 15%</t>
  </si>
  <si>
    <t>31-40</t>
  </si>
  <si>
    <t>11-20</t>
  </si>
  <si>
    <t>60000-80000</t>
  </si>
  <si>
    <t>16% - 20%</t>
  </si>
  <si>
    <t>41-50</t>
  </si>
  <si>
    <t>80000-100000</t>
  </si>
  <si>
    <t>21% - 25%</t>
  </si>
  <si>
    <t>51-60</t>
  </si>
  <si>
    <t>100000-120000</t>
  </si>
  <si>
    <t>26% - 30%</t>
  </si>
  <si>
    <t>60+</t>
  </si>
  <si>
    <t>40+</t>
  </si>
  <si>
    <t>120000-140000</t>
  </si>
  <si>
    <t>31% - 35%</t>
  </si>
  <si>
    <t>140000-160000</t>
  </si>
  <si>
    <t>36% - 40%</t>
  </si>
  <si>
    <t>160000-180000</t>
  </si>
  <si>
    <t>41% - 45%</t>
  </si>
  <si>
    <t>180000-200000</t>
  </si>
  <si>
    <t>46% - 50%</t>
  </si>
  <si>
    <t>200000+</t>
  </si>
  <si>
    <t>50%+</t>
  </si>
  <si>
    <t>Overall Company Dashboard:</t>
  </si>
  <si>
    <t>- Age Distribution</t>
  </si>
  <si>
    <t>- Tenure Distribution</t>
  </si>
  <si>
    <t>- Regional Distribution</t>
  </si>
  <si>
    <t>- Gender Distribution</t>
  </si>
  <si>
    <t>- Salary Distribution</t>
  </si>
  <si>
    <t>- Last Hike% Distribution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</si>
</sst>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&quot;$&quot;#,##0.00"/>
    <numFmt numFmtId="165" formatCode="m-d-yyyy"/>
    <numFmt numFmtId="166" formatCode="h:mm:ss am/pm"/>
    <numFmt numFmtId="167" formatCode="m/d/yyyy"/>
    <numFmt numFmtId="168" formatCode="m-d"/>
    <numFmt numFmtId="169" formatCode="mm-dd-yyyy"/>
  </numFmts>
  <fonts count="9">
    <font>
      <sz val="10.0"/>
      <color rgb="FF000000"/>
      <name val="Arial"/>
      <scheme val="minor"/>
    </font>
    <font>
      <sz val="11.0"/>
      <color rgb="FF000000"/>
      <name val="Calibri"/>
    </font>
    <font>
      <sz val="11.0"/>
      <color theme="1"/>
      <name val="Calibri"/>
    </font>
    <font>
      <u/>
      <sz val="11.0"/>
      <color rgb="FF000000"/>
      <name val="Calibri"/>
    </font>
    <font>
      <color theme="1"/>
      <name val="Arial"/>
      <scheme val="minor"/>
    </font>
    <font>
      <sz val="11.0"/>
      <color rgb="FF000000"/>
      <name val="Inconsolata"/>
    </font>
    <font>
      <sz val="18.0"/>
      <color rgb="FF980000"/>
      <name val="Georgia"/>
    </font>
    <font>
      <sz val="12.0"/>
      <color rgb="FFCC0000"/>
      <name val="Georgia"/>
    </font>
    <font>
      <sz val="10.0"/>
      <color rgb="FFCC0000"/>
      <name val="Georgia"/>
    </font>
  </fonts>
  <fills count="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6AA84F"/>
        <bgColor rgb="FF6AA84F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3" fontId="1" numFmtId="0" xfId="0" applyAlignment="1" applyFill="1" applyFont="1">
      <alignment readingOrder="0" shrinkToFit="0" vertical="bottom" wrapText="0"/>
    </xf>
    <xf borderId="0" fillId="2" fontId="1" numFmtId="0" xfId="0" applyAlignment="1" applyFont="1">
      <alignment horizontal="center" readingOrder="0" shrinkToFit="0" vertical="bottom" wrapText="0"/>
    </xf>
    <xf borderId="0" fillId="0" fontId="1" numFmtId="164" xfId="0" applyAlignment="1" applyFont="1" applyNumberForma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165" xfId="0" applyAlignment="1" applyFont="1" applyNumberFormat="1">
      <alignment horizontal="right" readingOrder="0" shrinkToFit="0" vertical="bottom" wrapText="0"/>
    </xf>
    <xf borderId="0" fillId="0" fontId="1" numFmtId="166" xfId="0" applyAlignment="1" applyFont="1" applyNumberFormat="1">
      <alignment horizontal="right" readingOrder="0" shrinkToFit="0" vertical="bottom" wrapText="0"/>
    </xf>
    <xf borderId="0" fillId="0" fontId="1" numFmtId="167" xfId="0" applyAlignment="1" applyFont="1" applyNumberFormat="1">
      <alignment readingOrder="0" shrinkToFit="0" vertical="bottom" wrapText="0"/>
    </xf>
    <xf borderId="0" fillId="0" fontId="1" numFmtId="9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168" xfId="0" applyAlignment="1" applyFont="1" applyNumberFormat="1">
      <alignment horizontal="center" vertical="bottom"/>
    </xf>
    <xf borderId="0" fillId="0" fontId="2" numFmtId="49" xfId="0" applyAlignment="1" applyFont="1" applyNumberFormat="1">
      <alignment horizontal="center" vertical="bottom"/>
    </xf>
    <xf borderId="0" fillId="0" fontId="1" numFmtId="169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4" numFmtId="4" xfId="0" applyAlignment="1" applyFont="1" applyNumberFormat="1">
      <alignment readingOrder="0"/>
    </xf>
    <xf borderId="0" fillId="0" fontId="4" numFmtId="10" xfId="0" applyAlignment="1" applyFont="1" applyNumberFormat="1">
      <alignment readingOrder="0"/>
    </xf>
    <xf borderId="0" fillId="0" fontId="4" numFmtId="49" xfId="0" applyAlignment="1" applyFont="1" applyNumberFormat="1">
      <alignment horizontal="center" readingOrder="0"/>
    </xf>
    <xf borderId="0" fillId="4" fontId="4" numFmtId="0" xfId="0" applyFill="1" applyFont="1"/>
    <xf borderId="0" fillId="4" fontId="4" numFmtId="0" xfId="0" applyAlignment="1" applyFont="1">
      <alignment readingOrder="0"/>
    </xf>
    <xf borderId="0" fillId="4" fontId="4" numFmtId="0" xfId="0" applyAlignment="1" applyFont="1">
      <alignment horizontal="center"/>
    </xf>
    <xf borderId="0" fillId="4" fontId="4" numFmtId="0" xfId="0" applyAlignment="1" applyFont="1">
      <alignment horizontal="left" readingOrder="0"/>
    </xf>
    <xf borderId="1" fillId="5" fontId="4" numFmtId="0" xfId="0" applyAlignment="1" applyBorder="1" applyFill="1" applyFont="1">
      <alignment horizontal="center"/>
    </xf>
    <xf borderId="0" fillId="4" fontId="4" numFmtId="2" xfId="0" applyAlignment="1" applyFont="1" applyNumberFormat="1">
      <alignment horizontal="center"/>
    </xf>
    <xf borderId="1" fillId="5" fontId="5" numFmtId="0" xfId="0" applyBorder="1" applyFont="1"/>
    <xf borderId="1" fillId="4" fontId="4" numFmtId="0" xfId="0" applyAlignment="1" applyBorder="1" applyFont="1">
      <alignment horizontal="center"/>
    </xf>
    <xf borderId="0" fillId="4" fontId="4" numFmtId="0" xfId="0" applyAlignment="1" applyFont="1">
      <alignment horizontal="center"/>
    </xf>
    <xf borderId="0" fillId="4" fontId="4" numFmtId="4" xfId="0" applyAlignment="1" applyFont="1" applyNumberFormat="1">
      <alignment horizontal="center"/>
    </xf>
    <xf borderId="1" fillId="4" fontId="4" numFmtId="4" xfId="0" applyAlignment="1" applyBorder="1" applyFont="1" applyNumberFormat="1">
      <alignment horizontal="center"/>
    </xf>
    <xf borderId="0" fillId="4" fontId="4" numFmtId="4" xfId="0" applyAlignment="1" applyFont="1" applyNumberFormat="1">
      <alignment horizontal="center" readingOrder="0"/>
    </xf>
    <xf borderId="0" fillId="4" fontId="4" numFmtId="4" xfId="0" applyAlignment="1" applyFont="1" applyNumberFormat="1">
      <alignment horizontal="left" readingOrder="0"/>
    </xf>
    <xf borderId="1" fillId="4" fontId="4" numFmtId="10" xfId="0" applyAlignment="1" applyBorder="1" applyFont="1" applyNumberFormat="1">
      <alignment horizontal="center"/>
    </xf>
    <xf borderId="1" fillId="4" fontId="4" numFmtId="49" xfId="0" applyAlignment="1" applyBorder="1" applyFont="1" applyNumberFormat="1">
      <alignment horizontal="center"/>
    </xf>
    <xf borderId="2" fillId="4" fontId="4" numFmtId="10" xfId="0" applyAlignment="1" applyBorder="1" applyFont="1" applyNumberFormat="1">
      <alignment horizontal="center"/>
    </xf>
    <xf borderId="2" fillId="4" fontId="4" numFmtId="49" xfId="0" applyAlignment="1" applyBorder="1" applyFont="1" applyNumberFormat="1">
      <alignment horizontal="center"/>
    </xf>
    <xf borderId="0" fillId="4" fontId="4" numFmtId="10" xfId="0" applyAlignment="1" applyFont="1" applyNumberFormat="1">
      <alignment horizontal="center"/>
    </xf>
    <xf borderId="0" fillId="4" fontId="4" numFmtId="49" xfId="0" applyAlignment="1" applyFont="1" applyNumberFormat="1">
      <alignment horizontal="center"/>
    </xf>
    <xf borderId="0" fillId="4" fontId="4" numFmtId="10" xfId="0" applyFont="1" applyNumberFormat="1"/>
    <xf borderId="0" fillId="4" fontId="4" numFmtId="4" xfId="0" applyFont="1" applyNumberFormat="1"/>
    <xf borderId="0" fillId="4" fontId="5" numFmtId="0" xfId="0" applyFont="1"/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0" fillId="4" fontId="6" numFmtId="0" xfId="0" applyAlignment="1" applyFont="1">
      <alignment readingOrder="0"/>
    </xf>
    <xf borderId="6" fillId="0" fontId="7" numFmtId="0" xfId="0" applyAlignment="1" applyBorder="1" applyFont="1">
      <alignment readingOrder="0"/>
    </xf>
    <xf borderId="7" fillId="0" fontId="4" numFmtId="0" xfId="0" applyBorder="1" applyFont="1"/>
    <xf borderId="1" fillId="0" fontId="4" numFmtId="0" xfId="0" applyAlignment="1" applyBorder="1" applyFont="1">
      <alignment horizontal="center"/>
    </xf>
    <xf borderId="6" fillId="0" fontId="4" numFmtId="0" xfId="0" applyBorder="1" applyFont="1"/>
    <xf borderId="6" fillId="0" fontId="4" numFmtId="0" xfId="0" applyAlignment="1" applyBorder="1" applyFont="1">
      <alignment readingOrder="0"/>
    </xf>
    <xf borderId="8" fillId="0" fontId="4" numFmtId="0" xfId="0" applyAlignment="1" applyBorder="1" applyFont="1">
      <alignment readingOrder="0"/>
    </xf>
    <xf borderId="9" fillId="0" fontId="4" numFmtId="0" xfId="0" applyBorder="1" applyFont="1"/>
    <xf borderId="10" fillId="0" fontId="4" numFmtId="0" xfId="0" applyBorder="1" applyFont="1"/>
    <xf borderId="3" fillId="0" fontId="7" numFmtId="0" xfId="0" applyAlignment="1" applyBorder="1" applyFont="1">
      <alignment readingOrder="0"/>
    </xf>
    <xf borderId="8" fillId="0" fontId="4" numFmtId="0" xfId="0" applyBorder="1" applyFont="1"/>
    <xf borderId="3" fillId="0" fontId="8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</dxfs>
  <tableStyles count="42">
    <tableStyle count="3" pivot="0" name="Company Dashboard-style">
      <tableStyleElement dxfId="1" type="headerRow"/>
      <tableStyleElement dxfId="2" type="firstRowStripe"/>
      <tableStyleElement dxfId="3" type="secondRowStripe"/>
    </tableStyle>
    <tableStyle count="3" pivot="0" name="Company Dashboard-style 2">
      <tableStyleElement dxfId="4" type="headerRow"/>
      <tableStyleElement dxfId="2" type="firstRowStripe"/>
      <tableStyleElement dxfId="3" type="secondRowStripe"/>
    </tableStyle>
    <tableStyle count="3" pivot="0" name="Company Dashboard-style 3">
      <tableStyleElement dxfId="4" type="headerRow"/>
      <tableStyleElement dxfId="2" type="firstRowStripe"/>
      <tableStyleElement dxfId="3" type="secondRowStripe"/>
    </tableStyle>
    <tableStyle count="3" pivot="0" name="Company Dashboard-style 4">
      <tableStyleElement dxfId="4" type="headerRow"/>
      <tableStyleElement dxfId="2" type="firstRowStripe"/>
      <tableStyleElement dxfId="3" type="secondRowStripe"/>
    </tableStyle>
    <tableStyle count="3" pivot="0" name="Company Dashboard-style 5">
      <tableStyleElement dxfId="4" type="headerRow"/>
      <tableStyleElement dxfId="2" type="firstRowStripe"/>
      <tableStyleElement dxfId="3" type="secondRowStripe"/>
    </tableStyle>
    <tableStyle count="3" pivot="0" name="Company Dashboard-style 6">
      <tableStyleElement dxfId="4" type="headerRow"/>
      <tableStyleElement dxfId="2" type="firstRowStripe"/>
      <tableStyleElement dxfId="3" type="secondRowStripe"/>
    </tableStyle>
    <tableStyle count="3" pivot="0" name="Department Dashboard-style">
      <tableStyleElement dxfId="1" type="headerRow"/>
      <tableStyleElement dxfId="2" type="firstRowStripe"/>
      <tableStyleElement dxfId="3" type="secondRowStripe"/>
    </tableStyle>
    <tableStyle count="3" pivot="0" name="Department Dashboard-style 2">
      <tableStyleElement dxfId="1" type="headerRow"/>
      <tableStyleElement dxfId="2" type="firstRowStripe"/>
      <tableStyleElement dxfId="3" type="secondRowStripe"/>
    </tableStyle>
    <tableStyle count="3" pivot="0" name="Department Dashboard-style 3">
      <tableStyleElement dxfId="1" type="headerRow"/>
      <tableStyleElement dxfId="2" type="firstRowStripe"/>
      <tableStyleElement dxfId="3" type="secondRowStripe"/>
    </tableStyle>
    <tableStyle count="3" pivot="0" name="Department Dashboard-style 4">
      <tableStyleElement dxfId="1" type="headerRow"/>
      <tableStyleElement dxfId="2" type="firstRowStripe"/>
      <tableStyleElement dxfId="3" type="secondRowStripe"/>
    </tableStyle>
    <tableStyle count="3" pivot="0" name="Department Dashboard-style 5">
      <tableStyleElement dxfId="1" type="headerRow"/>
      <tableStyleElement dxfId="2" type="firstRowStripe"/>
      <tableStyleElement dxfId="3" type="secondRowStripe"/>
    </tableStyle>
    <tableStyle count="3" pivot="0" name="Department Dashboard-style 6">
      <tableStyleElement dxfId="1" type="headerRow"/>
      <tableStyleElement dxfId="2" type="firstRowStripe"/>
      <tableStyleElement dxfId="3" type="secondRowStripe"/>
    </tableStyle>
    <tableStyle count="3" pivot="0" name="Department Dashboard-style 7">
      <tableStyleElement dxfId="1" type="headerRow"/>
      <tableStyleElement dxfId="2" type="firstRowStripe"/>
      <tableStyleElement dxfId="3" type="secondRowStripe"/>
    </tableStyle>
    <tableStyle count="3" pivot="0" name="Department Dashboard-style 8">
      <tableStyleElement dxfId="1" type="headerRow"/>
      <tableStyleElement dxfId="2" type="firstRowStripe"/>
      <tableStyleElement dxfId="3" type="secondRowStripe"/>
    </tableStyle>
    <tableStyle count="3" pivot="0" name="Department Dashboard-style 9">
      <tableStyleElement dxfId="1" type="headerRow"/>
      <tableStyleElement dxfId="2" type="firstRowStripe"/>
      <tableStyleElement dxfId="3" type="secondRowStripe"/>
    </tableStyle>
    <tableStyle count="3" pivot="0" name="Department Dashboard-style 10">
      <tableStyleElement dxfId="1" type="headerRow"/>
      <tableStyleElement dxfId="2" type="firstRowStripe"/>
      <tableStyleElement dxfId="3" type="secondRowStripe"/>
    </tableStyle>
    <tableStyle count="3" pivot="0" name="Department Dashboard-style 11">
      <tableStyleElement dxfId="1" type="headerRow"/>
      <tableStyleElement dxfId="2" type="firstRowStripe"/>
      <tableStyleElement dxfId="3" type="secondRowStripe"/>
    </tableStyle>
    <tableStyle count="3" pivot="0" name="Department Dashboard-style 12">
      <tableStyleElement dxfId="1" type="headerRow"/>
      <tableStyleElement dxfId="2" type="firstRowStripe"/>
      <tableStyleElement dxfId="3" type="secondRowStripe"/>
    </tableStyle>
    <tableStyle count="3" pivot="0" name="Department Dashboard-style 13">
      <tableStyleElement dxfId="1" type="headerRow"/>
      <tableStyleElement dxfId="2" type="firstRowStripe"/>
      <tableStyleElement dxfId="3" type="secondRowStripe"/>
    </tableStyle>
    <tableStyle count="3" pivot="0" name="Department Dashboard-style 14">
      <tableStyleElement dxfId="1" type="headerRow"/>
      <tableStyleElement dxfId="2" type="firstRowStripe"/>
      <tableStyleElement dxfId="3" type="secondRowStripe"/>
    </tableStyle>
    <tableStyle count="3" pivot="0" name="Department Dashboard-style 15">
      <tableStyleElement dxfId="1" type="headerRow"/>
      <tableStyleElement dxfId="2" type="firstRowStripe"/>
      <tableStyleElement dxfId="3" type="secondRowStripe"/>
    </tableStyle>
    <tableStyle count="3" pivot="0" name="Department Dashboard-style 16">
      <tableStyleElement dxfId="1" type="headerRow"/>
      <tableStyleElement dxfId="2" type="firstRowStripe"/>
      <tableStyleElement dxfId="3" type="secondRowStripe"/>
    </tableStyle>
    <tableStyle count="3" pivot="0" name="Department Dashboard-style 17">
      <tableStyleElement dxfId="1" type="headerRow"/>
      <tableStyleElement dxfId="2" type="firstRowStripe"/>
      <tableStyleElement dxfId="3" type="secondRowStripe"/>
    </tableStyle>
    <tableStyle count="3" pivot="0" name="Department Dashboard-style 18">
      <tableStyleElement dxfId="1" type="headerRow"/>
      <tableStyleElement dxfId="2" type="firstRowStripe"/>
      <tableStyleElement dxfId="3" type="secondRowStripe"/>
    </tableStyle>
    <tableStyle count="3" pivot="0" name="Department Dashboard-style 19">
      <tableStyleElement dxfId="1" type="headerRow"/>
      <tableStyleElement dxfId="2" type="firstRowStripe"/>
      <tableStyleElement dxfId="3" type="secondRowStripe"/>
    </tableStyle>
    <tableStyle count="3" pivot="0" name="Department Dashboard-style 20">
      <tableStyleElement dxfId="1" type="headerRow"/>
      <tableStyleElement dxfId="2" type="firstRowStripe"/>
      <tableStyleElement dxfId="3" type="secondRowStripe"/>
    </tableStyle>
    <tableStyle count="3" pivot="0" name="Department Dashboard-style 21">
      <tableStyleElement dxfId="1" type="headerRow"/>
      <tableStyleElement dxfId="2" type="firstRowStripe"/>
      <tableStyleElement dxfId="3" type="secondRowStripe"/>
    </tableStyle>
    <tableStyle count="3" pivot="0" name="Department Dashboard-style 22">
      <tableStyleElement dxfId="1" type="headerRow"/>
      <tableStyleElement dxfId="2" type="firstRowStripe"/>
      <tableStyleElement dxfId="3" type="secondRowStripe"/>
    </tableStyle>
    <tableStyle count="3" pivot="0" name="Department Dashboard-style 23">
      <tableStyleElement dxfId="1" type="headerRow"/>
      <tableStyleElement dxfId="2" type="firstRowStripe"/>
      <tableStyleElement dxfId="3" type="secondRowStripe"/>
    </tableStyle>
    <tableStyle count="3" pivot="0" name="Department Dashboard-style 24">
      <tableStyleElement dxfId="1" type="headerRow"/>
      <tableStyleElement dxfId="2" type="firstRowStripe"/>
      <tableStyleElement dxfId="3" type="secondRowStripe"/>
    </tableStyle>
    <tableStyle count="3" pivot="0" name="Department Dashboard-style 25">
      <tableStyleElement dxfId="1" type="headerRow"/>
      <tableStyleElement dxfId="2" type="firstRowStripe"/>
      <tableStyleElement dxfId="3" type="secondRowStripe"/>
    </tableStyle>
    <tableStyle count="3" pivot="0" name="Department Dashboard-style 26">
      <tableStyleElement dxfId="1" type="headerRow"/>
      <tableStyleElement dxfId="2" type="firstRowStripe"/>
      <tableStyleElement dxfId="3" type="secondRowStripe"/>
    </tableStyle>
    <tableStyle count="3" pivot="0" name="Department Dashboard-style 27">
      <tableStyleElement dxfId="1" type="headerRow"/>
      <tableStyleElement dxfId="2" type="firstRowStripe"/>
      <tableStyleElement dxfId="3" type="secondRowStripe"/>
    </tableStyle>
    <tableStyle count="3" pivot="0" name="Department Dashboard-style 28">
      <tableStyleElement dxfId="1" type="headerRow"/>
      <tableStyleElement dxfId="2" type="firstRowStripe"/>
      <tableStyleElement dxfId="3" type="secondRowStripe"/>
    </tableStyle>
    <tableStyle count="3" pivot="0" name="Department Dashboard-style 29">
      <tableStyleElement dxfId="1" type="headerRow"/>
      <tableStyleElement dxfId="2" type="firstRowStripe"/>
      <tableStyleElement dxfId="3" type="secondRowStripe"/>
    </tableStyle>
    <tableStyle count="3" pivot="0" name="Department Dashboard-style 30">
      <tableStyleElement dxfId="1" type="headerRow"/>
      <tableStyleElement dxfId="2" type="firstRowStripe"/>
      <tableStyleElement dxfId="3" type="secondRowStripe"/>
    </tableStyle>
    <tableStyle count="3" pivot="0" name="Department Dashboard-style 31">
      <tableStyleElement dxfId="1" type="headerRow"/>
      <tableStyleElement dxfId="2" type="firstRowStripe"/>
      <tableStyleElement dxfId="3" type="secondRowStripe"/>
    </tableStyle>
    <tableStyle count="3" pivot="0" name="Department Dashboard-style 32">
      <tableStyleElement dxfId="1" type="headerRow"/>
      <tableStyleElement dxfId="2" type="firstRowStripe"/>
      <tableStyleElement dxfId="3" type="secondRowStripe"/>
    </tableStyle>
    <tableStyle count="3" pivot="0" name="Department Dashboard-style 33">
      <tableStyleElement dxfId="1" type="headerRow"/>
      <tableStyleElement dxfId="2" type="firstRowStripe"/>
      <tableStyleElement dxfId="3" type="secondRowStripe"/>
    </tableStyle>
    <tableStyle count="3" pivot="0" name="Department Dashboard-style 34">
      <tableStyleElement dxfId="1" type="headerRow"/>
      <tableStyleElement dxfId="2" type="firstRowStripe"/>
      <tableStyleElement dxfId="3" type="secondRowStripe"/>
    </tableStyle>
    <tableStyle count="3" pivot="0" name="Department Dashboard-style 35">
      <tableStyleElement dxfId="1" type="headerRow"/>
      <tableStyleElement dxfId="2" type="firstRowStripe"/>
      <tableStyleElement dxfId="3" type="secondRowStripe"/>
    </tableStyle>
    <tableStyle count="3" pivot="0" name="Department Dashboard-style 36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434343"/>
                </a:solidFill>
                <a:latin typeface="Georgia"/>
              </a:defRPr>
            </a:pPr>
            <a:r>
              <a:rPr b="0" sz="2000">
                <a:solidFill>
                  <a:srgbClr val="434343"/>
                </a:solidFill>
                <a:latin typeface="Georgia"/>
              </a:rPr>
              <a:t>Age Distribution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'Company Dashboard'!$B$5</c:f>
            </c:strRef>
          </c:tx>
          <c:spPr>
            <a:solidFill>
              <a:srgbClr val="E6B8AF"/>
            </a:solidFill>
            <a:ln cmpd="sng">
              <a:solidFill>
                <a:srgbClr val="434343">
                  <a:alpha val="100000"/>
                </a:srgbClr>
              </a:solidFill>
              <a:prstDash val="solid"/>
            </a:ln>
          </c:spPr>
          <c:cat>
            <c:strRef>
              <c:f>'Company Dashboard'!$A$6:$A$9</c:f>
            </c:strRef>
          </c:cat>
          <c:val>
            <c:numRef>
              <c:f>'Company Dashboard'!$B$6:$B$9</c:f>
              <c:numCache/>
            </c:numRef>
          </c:val>
        </c:ser>
        <c:axId val="1953725701"/>
        <c:axId val="1123015661"/>
      </c:barChart>
      <c:catAx>
        <c:axId val="19537257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Break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</a:p>
        </c:txPr>
        <c:crossAx val="1123015661"/>
      </c:catAx>
      <c:valAx>
        <c:axId val="11230156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Age Break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434343"/>
                </a:solidFill>
                <a:latin typeface="Comic Sans MS"/>
              </a:defRPr>
            </a:pPr>
          </a:p>
        </c:txPr>
        <c:crossAx val="19537257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434343"/>
                </a:solidFill>
                <a:latin typeface="Georgia"/>
              </a:defRPr>
            </a:pPr>
            <a:r>
              <a:rPr b="0" sz="2000">
                <a:solidFill>
                  <a:srgbClr val="434343"/>
                </a:solidFill>
                <a:latin typeface="Georgia"/>
              </a:rPr>
              <a:t>Age Distribution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'Department Dashboard'!$B$87</c:f>
            </c:strRef>
          </c:tx>
          <c:dPt>
            <c:idx val="0"/>
            <c:spPr>
              <a:solidFill>
                <a:srgbClr val="674EA7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'Department Dashboard'!$A$88:$A$91</c:f>
            </c:strRef>
          </c:cat>
          <c:val>
            <c:numRef>
              <c:f>'Department Dashboard'!$B$88:$B$91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mic Sans MS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434343"/>
                </a:solidFill>
                <a:latin typeface="Georgia"/>
              </a:defRPr>
            </a:pPr>
            <a:r>
              <a:rPr b="0" sz="2000">
                <a:solidFill>
                  <a:srgbClr val="434343"/>
                </a:solidFill>
                <a:latin typeface="Georgia"/>
              </a:rPr>
              <a:t>Age Distribution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'Department Dashboard'!$B$103</c:f>
            </c:strRef>
          </c:tx>
          <c:dPt>
            <c:idx val="0"/>
            <c:spPr>
              <a:solidFill>
                <a:srgbClr val="674EA7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'Department Dashboard'!$A$104:$A$107</c:f>
            </c:strRef>
          </c:cat>
          <c:val>
            <c:numRef>
              <c:f>'Department Dashboard'!$B$104:$B$107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mic Sans MS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434343"/>
                </a:solidFill>
                <a:latin typeface="Georgia"/>
              </a:defRPr>
            </a:pPr>
            <a:r>
              <a:rPr b="0" sz="2000">
                <a:solidFill>
                  <a:srgbClr val="434343"/>
                </a:solidFill>
                <a:latin typeface="Georgia"/>
              </a:rPr>
              <a:t>Age Distribution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'Department Dashboard'!$B$119</c:f>
            </c:strRef>
          </c:tx>
          <c:dPt>
            <c:idx val="0"/>
            <c:spPr>
              <a:solidFill>
                <a:srgbClr val="674EA7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'Department Dashboard'!$A$120:$A$123</c:f>
            </c:strRef>
          </c:cat>
          <c:val>
            <c:numRef>
              <c:f>'Department Dashboard'!$B$120:$B$123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mic Sans MS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434343"/>
                </a:solidFill>
                <a:latin typeface="Georgia"/>
              </a:defRPr>
            </a:pPr>
            <a:r>
              <a:rPr b="0" sz="2000">
                <a:solidFill>
                  <a:srgbClr val="434343"/>
                </a:solidFill>
                <a:latin typeface="Georgia"/>
              </a:rPr>
              <a:t>Age Distribution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'Department Dashboard'!$B$135</c:f>
            </c:strRef>
          </c:tx>
          <c:dPt>
            <c:idx val="0"/>
            <c:spPr>
              <a:solidFill>
                <a:srgbClr val="674EA7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'Department Dashboard'!$A$136:$A$139</c:f>
            </c:strRef>
          </c:cat>
          <c:val>
            <c:numRef>
              <c:f>'Department Dashboard'!$B$136:$B$139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mic Sans MS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434343"/>
                </a:solidFill>
                <a:latin typeface="Georgia"/>
              </a:defRPr>
            </a:pPr>
            <a:r>
              <a:rPr b="0" sz="2000">
                <a:solidFill>
                  <a:srgbClr val="434343"/>
                </a:solidFill>
                <a:latin typeface="Georgia"/>
              </a:rPr>
              <a:t>Tenure Distribution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'Department Dashboard'!$E$4</c:f>
            </c:strRef>
          </c:tx>
          <c:spPr>
            <a:solidFill>
              <a:srgbClr val="E69138"/>
            </a:solidFill>
            <a:ln cmpd="sng">
              <a:solidFill>
                <a:srgbClr val="B7B7B7">
                  <a:alpha val="100000"/>
                </a:srgbClr>
              </a:solidFill>
            </a:ln>
          </c:spPr>
          <c:cat>
            <c:strRef>
              <c:f>'Department Dashboard'!$D$5:$D$9</c:f>
            </c:strRef>
          </c:cat>
          <c:val>
            <c:numRef>
              <c:f>'Department Dashboard'!$E$5:$E$9</c:f>
              <c:numCache/>
            </c:numRef>
          </c:val>
        </c:ser>
        <c:axId val="715222546"/>
        <c:axId val="1945303704"/>
      </c:barChart>
      <c:catAx>
        <c:axId val="7152225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0">
                    <a:solidFill>
                      <a:srgbClr val="000000"/>
                    </a:solidFill>
                    <a:latin typeface="Comic Sans MS"/>
                  </a:rPr>
                  <a:t>Tenure Break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</a:p>
        </c:txPr>
        <c:crossAx val="1945303704"/>
      </c:catAx>
      <c:valAx>
        <c:axId val="19453037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0">
                    <a:solidFill>
                      <a:srgbClr val="000000"/>
                    </a:solidFill>
                    <a:latin typeface="Comic Sans MS"/>
                  </a:rPr>
                  <a:t>count Tenure Break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</a:p>
        </c:txPr>
        <c:crossAx val="7152225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mic Sans MS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Georgia"/>
              </a:defRPr>
            </a:pPr>
            <a:r>
              <a:rPr b="0">
                <a:solidFill>
                  <a:srgbClr val="434343"/>
                </a:solidFill>
                <a:latin typeface="Georgia"/>
              </a:rPr>
              <a:t>Region Dstribution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'Department Dashboard'!$B$11</c:f>
            </c:strRef>
          </c:tx>
          <c:spPr>
            <a:ln cmpd="sng">
              <a:solidFill>
                <a:srgbClr val="134F5C">
                  <a:alpha val="100000"/>
                </a:srgbClr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134F5C">
                  <a:alpha val="100000"/>
                </a:srgbClr>
              </a:solidFill>
              <a:ln cmpd="sng">
                <a:solidFill>
                  <a:srgbClr val="134F5C">
                    <a:alpha val="100000"/>
                  </a:srgbClr>
                </a:solidFill>
              </a:ln>
            </c:spPr>
          </c:marker>
          <c:cat>
            <c:strRef>
              <c:f>'Department Dashboard'!$A$12:$A$15</c:f>
            </c:strRef>
          </c:cat>
          <c:val>
            <c:numRef>
              <c:f>'Department Dashboard'!$B$12:$B$15</c:f>
              <c:numCache/>
            </c:numRef>
          </c:val>
          <c:smooth val="0"/>
        </c:ser>
        <c:axId val="1458030998"/>
        <c:axId val="522802922"/>
      </c:lineChart>
      <c:catAx>
        <c:axId val="14580309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522802922"/>
      </c:catAx>
      <c:valAx>
        <c:axId val="5228029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count 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14580309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eorgia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Georgia"/>
              </a:defRPr>
            </a:pPr>
            <a:r>
              <a:rPr b="0">
                <a:solidFill>
                  <a:srgbClr val="434343"/>
                </a:solidFill>
                <a:latin typeface="Georgia"/>
              </a:rPr>
              <a:t>Gender Distribution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'Department Dashboard'!$E$11</c:f>
            </c:strRef>
          </c:tx>
          <c:dPt>
            <c:idx val="0"/>
            <c:spPr>
              <a:solidFill>
                <a:srgbClr val="8E7CC3"/>
              </a:solidFill>
            </c:spPr>
          </c:dPt>
          <c:dPt>
            <c:idx val="1"/>
            <c:spPr>
              <a:solidFill>
                <a:srgbClr val="FF99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'Department Dashboard'!$D$12:$D$13</c:f>
            </c:strRef>
          </c:cat>
          <c:val>
            <c:numRef>
              <c:f>'Department Dashboard'!$E$12:$E$13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 sz="1200">
              <a:solidFill>
                <a:srgbClr val="000000"/>
              </a:solidFill>
              <a:latin typeface="Comic Sans MS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434343"/>
                </a:solidFill>
                <a:latin typeface="Georgia"/>
              </a:defRPr>
            </a:pPr>
            <a:r>
              <a:rPr b="0" sz="2000">
                <a:solidFill>
                  <a:srgbClr val="434343"/>
                </a:solidFill>
                <a:latin typeface="Georgia"/>
              </a:rPr>
              <a:t>Tenure Distribution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'Department Dashboard'!$E$20</c:f>
            </c:strRef>
          </c:tx>
          <c:spPr>
            <a:solidFill>
              <a:srgbClr val="E69138"/>
            </a:solidFill>
            <a:ln cmpd="sng">
              <a:solidFill>
                <a:srgbClr val="999999">
                  <a:alpha val="100000"/>
                </a:srgbClr>
              </a:solidFill>
            </a:ln>
          </c:spPr>
          <c:cat>
            <c:strRef>
              <c:f>'Department Dashboard'!$D$21:$D$25</c:f>
            </c:strRef>
          </c:cat>
          <c:val>
            <c:numRef>
              <c:f>'Department Dashboard'!$E$21:$E$25</c:f>
              <c:numCache/>
            </c:numRef>
          </c:val>
        </c:ser>
        <c:axId val="1622073832"/>
        <c:axId val="1495216165"/>
      </c:barChart>
      <c:catAx>
        <c:axId val="1622073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Tenure Break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5216165"/>
      </c:catAx>
      <c:valAx>
        <c:axId val="14952161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Tenure Break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20738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434343"/>
                </a:solidFill>
                <a:latin typeface="Georgia"/>
              </a:defRPr>
            </a:pPr>
            <a:r>
              <a:rPr b="0" sz="2000">
                <a:solidFill>
                  <a:srgbClr val="434343"/>
                </a:solidFill>
                <a:latin typeface="Georgia"/>
              </a:rPr>
              <a:t>Region Distribution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'Department Dashboard'!$B$27</c:f>
            </c:strRef>
          </c:tx>
          <c:spPr>
            <a:ln cmpd="sng" w="19050">
              <a:solidFill>
                <a:srgbClr val="134F5C">
                  <a:alpha val="100000"/>
                </a:srgbClr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134F5C">
                  <a:alpha val="100000"/>
                </a:srgbClr>
              </a:solidFill>
              <a:ln cmpd="sng">
                <a:solidFill>
                  <a:srgbClr val="134F5C">
                    <a:alpha val="100000"/>
                  </a:srgbClr>
                </a:solidFill>
              </a:ln>
            </c:spPr>
          </c:marker>
          <c:cat>
            <c:strRef>
              <c:f>'Department Dashboard'!$A$28:$A$31</c:f>
            </c:strRef>
          </c:cat>
          <c:val>
            <c:numRef>
              <c:f>'Department Dashboard'!$B$28:$B$31</c:f>
              <c:numCache/>
            </c:numRef>
          </c:val>
          <c:smooth val="0"/>
        </c:ser>
        <c:axId val="651095075"/>
        <c:axId val="163898694"/>
      </c:lineChart>
      <c:catAx>
        <c:axId val="6510950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</a:p>
        </c:txPr>
        <c:crossAx val="163898694"/>
      </c:catAx>
      <c:valAx>
        <c:axId val="1638986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</a:p>
        </c:txPr>
        <c:crossAx val="6510950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434343"/>
                </a:solidFill>
                <a:latin typeface="Georgia"/>
              </a:defRPr>
            </a:pPr>
            <a:r>
              <a:rPr b="0" sz="2000">
                <a:solidFill>
                  <a:srgbClr val="434343"/>
                </a:solidFill>
                <a:latin typeface="Georgia"/>
              </a:rPr>
              <a:t>Gender Distribution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'Department Dashboard'!$E$27</c:f>
            </c:strRef>
          </c:tx>
          <c:dPt>
            <c:idx val="0"/>
            <c:spPr>
              <a:solidFill>
                <a:srgbClr val="674EA7"/>
              </a:solidFill>
            </c:spPr>
          </c:dPt>
          <c:dPt>
            <c:idx val="1"/>
            <c:spPr>
              <a:solidFill>
                <a:srgbClr val="FF99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'Department Dashboard'!$D$28:$D$29</c:f>
            </c:strRef>
          </c:cat>
          <c:val>
            <c:numRef>
              <c:f>'Department Dashboard'!$E$28:$E$29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 sz="1200">
              <a:solidFill>
                <a:srgbClr val="000000"/>
              </a:solidFill>
              <a:latin typeface="Comic Sans MS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434343"/>
                </a:solidFill>
                <a:latin typeface="Georgia"/>
              </a:defRPr>
            </a:pPr>
            <a:r>
              <a:rPr b="0" sz="2000">
                <a:solidFill>
                  <a:srgbClr val="434343"/>
                </a:solidFill>
                <a:latin typeface="Georgia"/>
              </a:rPr>
              <a:t>Tenure Distribution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'Company Dashboard'!$E$5</c:f>
            </c:strRef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cat>
            <c:strRef>
              <c:f>'Company Dashboard'!$D$6:$D$10</c:f>
            </c:strRef>
          </c:cat>
          <c:val>
            <c:numRef>
              <c:f>'Company Dashboard'!$E$6:$E$10</c:f>
              <c:numCache/>
            </c:numRef>
          </c:val>
        </c:ser>
        <c:overlap val="100"/>
        <c:axId val="873276166"/>
        <c:axId val="1991817066"/>
      </c:barChart>
      <c:catAx>
        <c:axId val="87327616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Tenure Break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</a:p>
        </c:txPr>
        <c:crossAx val="1991817066"/>
      </c:catAx>
      <c:valAx>
        <c:axId val="19918170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Tenure Break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</a:p>
        </c:txPr>
        <c:crossAx val="87327616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Georgia"/>
              </a:defRPr>
            </a:pPr>
            <a:r>
              <a:rPr b="0">
                <a:solidFill>
                  <a:srgbClr val="434343"/>
                </a:solidFill>
                <a:latin typeface="Georgia"/>
              </a:rPr>
              <a:t>Tenure Distribution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'Department Dashboard'!$E$36</c:f>
            </c:strRef>
          </c:tx>
          <c:spPr>
            <a:solidFill>
              <a:srgbClr val="E69138"/>
            </a:solidFill>
            <a:ln cmpd="sng">
              <a:solidFill>
                <a:srgbClr val="666666">
                  <a:alpha val="100000"/>
                </a:srgbClr>
              </a:solidFill>
            </a:ln>
          </c:spPr>
          <c:cat>
            <c:strRef>
              <c:f>'Department Dashboard'!$D$37:$D$41</c:f>
            </c:strRef>
          </c:cat>
          <c:val>
            <c:numRef>
              <c:f>'Department Dashboard'!$E$37:$E$41</c:f>
              <c:numCache/>
            </c:numRef>
          </c:val>
        </c:ser>
        <c:axId val="692337397"/>
        <c:axId val="821636856"/>
      </c:barChart>
      <c:catAx>
        <c:axId val="6923373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1636856"/>
      </c:catAx>
      <c:valAx>
        <c:axId val="821636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Tenure Break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</a:p>
        </c:txPr>
        <c:crossAx val="6923373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000000"/>
                </a:solidFill>
                <a:latin typeface="Georgia"/>
              </a:defRPr>
            </a:pPr>
            <a:r>
              <a:rPr b="0" sz="2000">
                <a:solidFill>
                  <a:srgbClr val="000000"/>
                </a:solidFill>
                <a:latin typeface="Georgia"/>
              </a:rPr>
              <a:t>Region Distribution</a:t>
            </a:r>
          </a:p>
        </c:rich>
      </c:tx>
      <c:overlay val="0"/>
    </c:title>
    <c:plotArea>
      <c:layout>
        <c:manualLayout>
          <c:xMode val="edge"/>
          <c:yMode val="edge"/>
          <c:x val="0.17165693264563106"/>
          <c:y val="0.22450980392156863"/>
          <c:w val="0.7973964654126213"/>
          <c:h val="0.5764705882352936"/>
        </c:manualLayout>
      </c:layout>
      <c:lineChart>
        <c:varyColors val="0"/>
        <c:ser>
          <c:idx val="0"/>
          <c:order val="0"/>
          <c:tx>
            <c:strRef>
              <c:f>'Department Dashboard'!$B$44</c:f>
            </c:strRef>
          </c:tx>
          <c:spPr>
            <a:ln cmpd="sng" w="19050">
              <a:solidFill>
                <a:srgbClr val="134F5C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134F5C">
                  <a:alpha val="100000"/>
                </a:srgbClr>
              </a:solidFill>
              <a:ln cmpd="sng">
                <a:solidFill>
                  <a:srgbClr val="134F5C">
                    <a:alpha val="100000"/>
                  </a:srgbClr>
                </a:solidFill>
              </a:ln>
            </c:spPr>
          </c:marker>
          <c:cat>
            <c:strRef>
              <c:f>'Department Dashboard'!$A$45:$A$48</c:f>
            </c:strRef>
          </c:cat>
          <c:val>
            <c:numRef>
              <c:f>'Department Dashboard'!$B$45:$B$48</c:f>
              <c:numCache/>
            </c:numRef>
          </c:val>
          <c:smooth val="0"/>
        </c:ser>
        <c:axId val="1860779008"/>
        <c:axId val="649156667"/>
      </c:lineChart>
      <c:catAx>
        <c:axId val="186077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0">
                    <a:solidFill>
                      <a:srgbClr val="000000"/>
                    </a:solidFill>
                    <a:latin typeface="Comic Sans MS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</a:p>
        </c:txPr>
        <c:crossAx val="649156667"/>
      </c:catAx>
      <c:valAx>
        <c:axId val="6491566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0">
                    <a:solidFill>
                      <a:srgbClr val="000000"/>
                    </a:solidFill>
                    <a:latin typeface="Comic Sans MS"/>
                  </a:rPr>
                  <a:t>count 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</a:p>
        </c:txPr>
        <c:crossAx val="18607790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mic Sans MS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434343"/>
                </a:solidFill>
                <a:latin typeface="Georgia"/>
              </a:defRPr>
            </a:pPr>
            <a:r>
              <a:rPr b="0" sz="2000">
                <a:solidFill>
                  <a:srgbClr val="434343"/>
                </a:solidFill>
                <a:latin typeface="Georgia"/>
              </a:rPr>
              <a:t>Gender Distribution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'Department Dashboard'!$E$44</c:f>
            </c:strRef>
          </c:tx>
          <c:dPt>
            <c:idx val="0"/>
            <c:spPr>
              <a:solidFill>
                <a:srgbClr val="674EA7"/>
              </a:solidFill>
            </c:spPr>
          </c:dPt>
          <c:dPt>
            <c:idx val="1"/>
            <c:spPr>
              <a:solidFill>
                <a:srgbClr val="FF99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'Department Dashboard'!$D$45:$D$46</c:f>
            </c:strRef>
          </c:cat>
          <c:val>
            <c:numRef>
              <c:f>'Department Dashboard'!$E$45:$E$46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mic Sans MS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434343"/>
                </a:solidFill>
                <a:latin typeface="Georgia"/>
              </a:defRPr>
            </a:pPr>
            <a:r>
              <a:rPr b="0" sz="2000">
                <a:solidFill>
                  <a:srgbClr val="434343"/>
                </a:solidFill>
                <a:latin typeface="Georgia"/>
              </a:rPr>
              <a:t>Tenure Distribution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'Department Dashboard'!$E$54</c:f>
            </c:strRef>
          </c:tx>
          <c:spPr>
            <a:solidFill>
              <a:srgbClr val="E69138"/>
            </a:solidFill>
            <a:ln cmpd="sng">
              <a:solidFill>
                <a:srgbClr val="666666">
                  <a:alpha val="100000"/>
                </a:srgbClr>
              </a:solidFill>
            </a:ln>
          </c:spPr>
          <c:cat>
            <c:strRef>
              <c:f>'Department Dashboard'!$D$55:$D$59</c:f>
            </c:strRef>
          </c:cat>
          <c:val>
            <c:numRef>
              <c:f>'Department Dashboard'!$E$55:$E$59</c:f>
              <c:numCache/>
            </c:numRef>
          </c:val>
        </c:ser>
        <c:axId val="2100299949"/>
        <c:axId val="166383372"/>
      </c:barChart>
      <c:catAx>
        <c:axId val="21002999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</a:p>
        </c:txPr>
        <c:crossAx val="166383372"/>
      </c:catAx>
      <c:valAx>
        <c:axId val="1663833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Tenure Break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</a:p>
        </c:txPr>
        <c:crossAx val="21002999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434343"/>
                </a:solidFill>
                <a:latin typeface="Georgia"/>
              </a:defRPr>
            </a:pPr>
            <a:r>
              <a:rPr b="0" sz="2000">
                <a:solidFill>
                  <a:srgbClr val="434343"/>
                </a:solidFill>
                <a:latin typeface="Georgia"/>
              </a:rPr>
              <a:t>Age Distribution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'Department Dashboard'!$B$71</c:f>
            </c:strRef>
          </c:tx>
          <c:dPt>
            <c:idx val="0"/>
            <c:spPr>
              <a:solidFill>
                <a:srgbClr val="674EA7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'Department Dashboard'!$A$72:$A$75</c:f>
            </c:strRef>
          </c:cat>
          <c:val>
            <c:numRef>
              <c:f>'Department Dashboard'!$B$72:$B$75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434343"/>
                </a:solidFill>
                <a:latin typeface="Georgia"/>
              </a:defRPr>
            </a:pPr>
            <a:r>
              <a:rPr b="0" sz="2000">
                <a:solidFill>
                  <a:srgbClr val="434343"/>
                </a:solidFill>
                <a:latin typeface="Georgia"/>
              </a:rPr>
              <a:t>Region Distribution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'Department Dashboard'!$B$61</c:f>
            </c:strRef>
          </c:tx>
          <c:spPr>
            <a:ln cmpd="sng" w="19050">
              <a:solidFill>
                <a:srgbClr val="134F5C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134F5C">
                  <a:alpha val="100000"/>
                </a:srgbClr>
              </a:solidFill>
              <a:ln cmpd="sng">
                <a:solidFill>
                  <a:srgbClr val="134F5C">
                    <a:alpha val="100000"/>
                  </a:srgbClr>
                </a:solidFill>
              </a:ln>
            </c:spPr>
          </c:marker>
          <c:cat>
            <c:strRef>
              <c:f>'Department Dashboard'!$A$62:$A$65</c:f>
            </c:strRef>
          </c:cat>
          <c:val>
            <c:numRef>
              <c:f>'Department Dashboard'!$B$62:$B$65</c:f>
              <c:numCache/>
            </c:numRef>
          </c:val>
          <c:smooth val="0"/>
        </c:ser>
        <c:axId val="1462086152"/>
        <c:axId val="1888279538"/>
      </c:lineChart>
      <c:catAx>
        <c:axId val="1462086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</a:p>
        </c:txPr>
        <c:crossAx val="1888279538"/>
      </c:catAx>
      <c:valAx>
        <c:axId val="18882795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14620861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434343"/>
                </a:solidFill>
                <a:latin typeface="Georgia"/>
              </a:defRPr>
            </a:pPr>
            <a:r>
              <a:rPr b="0" sz="2000">
                <a:solidFill>
                  <a:srgbClr val="434343"/>
                </a:solidFill>
                <a:latin typeface="Georgia"/>
              </a:rPr>
              <a:t>Gender Dstribution</a:t>
            </a:r>
          </a:p>
        </c:rich>
      </c:tx>
      <c:layout>
        <c:manualLayout>
          <c:xMode val="edge"/>
          <c:yMode val="edge"/>
          <c:x val="0.05221932114882506"/>
          <c:y val="0.04583333333333333"/>
        </c:manualLayout>
      </c:layout>
      <c:overlay val="0"/>
    </c:title>
    <c:plotArea>
      <c:layout/>
      <c:doughnutChart>
        <c:varyColors val="1"/>
        <c:ser>
          <c:idx val="0"/>
          <c:order val="0"/>
          <c:tx>
            <c:strRef>
              <c:f>'Department Dashboard'!$E$61</c:f>
            </c:strRef>
          </c:tx>
          <c:dPt>
            <c:idx val="0"/>
            <c:spPr>
              <a:solidFill>
                <a:srgbClr val="674EA7"/>
              </a:solidFill>
            </c:spPr>
          </c:dPt>
          <c:dPt>
            <c:idx val="1"/>
            <c:spPr>
              <a:solidFill>
                <a:srgbClr val="E6913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'Department Dashboard'!$D$62:$D$63</c:f>
            </c:strRef>
          </c:cat>
          <c:val>
            <c:numRef>
              <c:f>'Department Dashboard'!$E$62:$E$63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434343"/>
              </a:solidFill>
              <a:latin typeface="Georgia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666666"/>
                </a:solidFill>
                <a:latin typeface="Georgia"/>
              </a:defRPr>
            </a:pPr>
            <a:r>
              <a:rPr b="0" sz="2000">
                <a:solidFill>
                  <a:srgbClr val="666666"/>
                </a:solidFill>
                <a:latin typeface="Georgia"/>
              </a:rPr>
              <a:t>Tenure Distribution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'Department Dashboard'!$E$71</c:f>
            </c:strRef>
          </c:tx>
          <c:spPr>
            <a:solidFill>
              <a:srgbClr val="B45F06"/>
            </a:solidFill>
            <a:ln cmpd="sng">
              <a:solidFill>
                <a:srgbClr val="666666">
                  <a:alpha val="100000"/>
                </a:srgbClr>
              </a:solidFill>
            </a:ln>
          </c:spPr>
          <c:cat>
            <c:strRef>
              <c:f>'Department Dashboard'!$D$72:$D$76</c:f>
            </c:strRef>
          </c:cat>
          <c:val>
            <c:numRef>
              <c:f>'Department Dashboard'!$E$72:$E$76</c:f>
              <c:numCache/>
            </c:numRef>
          </c:val>
        </c:ser>
        <c:axId val="484413389"/>
        <c:axId val="252692502"/>
      </c:barChart>
      <c:catAx>
        <c:axId val="4844133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Tenure Break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2692502"/>
      </c:catAx>
      <c:valAx>
        <c:axId val="2526925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Tenure Break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44133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434343"/>
                </a:solidFill>
                <a:latin typeface="Georgia"/>
              </a:defRPr>
            </a:pPr>
            <a:r>
              <a:rPr b="0" sz="2000">
                <a:solidFill>
                  <a:srgbClr val="434343"/>
                </a:solidFill>
                <a:latin typeface="Georgia"/>
              </a:rPr>
              <a:t>Region Distribution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'Department Dashboard'!$B$78</c:f>
            </c:strRef>
          </c:tx>
          <c:spPr>
            <a:ln cmpd="sng" w="19050">
              <a:solidFill>
                <a:srgbClr val="134F5C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134F5C">
                  <a:alpha val="100000"/>
                </a:srgbClr>
              </a:solidFill>
              <a:ln cmpd="sng">
                <a:solidFill>
                  <a:srgbClr val="134F5C">
                    <a:alpha val="100000"/>
                  </a:srgbClr>
                </a:solidFill>
              </a:ln>
            </c:spPr>
          </c:marker>
          <c:cat>
            <c:strRef>
              <c:f>'Department Dashboard'!$A$79:$A$82</c:f>
            </c:strRef>
          </c:cat>
          <c:val>
            <c:numRef>
              <c:f>'Department Dashboard'!$B$79:$B$82</c:f>
              <c:numCache/>
            </c:numRef>
          </c:val>
          <c:smooth val="0"/>
        </c:ser>
        <c:axId val="118686901"/>
        <c:axId val="1657430538"/>
      </c:lineChart>
      <c:catAx>
        <c:axId val="1186869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1657430538"/>
      </c:catAx>
      <c:valAx>
        <c:axId val="16574305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1186869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Gender Dstribution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'Department Dashboard'!$E$78</c:f>
            </c:strRef>
          </c:tx>
          <c:dPt>
            <c:idx val="0"/>
            <c:spPr>
              <a:solidFill>
                <a:srgbClr val="674EA7"/>
              </a:solidFill>
            </c:spPr>
          </c:dPt>
          <c:dPt>
            <c:idx val="1"/>
            <c:spPr>
              <a:solidFill>
                <a:srgbClr val="E6913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'Department Dashboard'!$D$79:$D$80</c:f>
            </c:strRef>
          </c:cat>
          <c:val>
            <c:numRef>
              <c:f>'Department Dashboard'!$E$79:$E$80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434343"/>
              </a:solidFill>
              <a:latin typeface="Comic Sans MS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434343"/>
                </a:solidFill>
                <a:latin typeface="Georgia"/>
              </a:defRPr>
            </a:pPr>
            <a:r>
              <a:rPr b="0" sz="2000">
                <a:solidFill>
                  <a:srgbClr val="434343"/>
                </a:solidFill>
                <a:latin typeface="Georgia"/>
              </a:rPr>
              <a:t>Regional Distribution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'Company Dashboard'!$B$13</c:f>
            </c:strRef>
          </c:tx>
          <c:dPt>
            <c:idx val="0"/>
            <c:explosion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'Company Dashboard'!$A$14:$A$17</c:f>
            </c:strRef>
          </c:cat>
          <c:val>
            <c:numRef>
              <c:f>'Company Dashboard'!$B$14:$B$17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eorgia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434343"/>
                </a:solidFill>
                <a:latin typeface="Georgia"/>
              </a:defRPr>
            </a:pPr>
            <a:r>
              <a:rPr b="0" sz="2000">
                <a:solidFill>
                  <a:srgbClr val="434343"/>
                </a:solidFill>
                <a:latin typeface="Georgia"/>
              </a:rPr>
              <a:t>Tenure Distribution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'Department Dashboard'!$E$87</c:f>
            </c:strRef>
          </c:tx>
          <c:spPr>
            <a:solidFill>
              <a:srgbClr val="E69138"/>
            </a:solidFill>
            <a:ln cmpd="sng">
              <a:solidFill>
                <a:srgbClr val="666666">
                  <a:alpha val="100000"/>
                </a:srgbClr>
              </a:solidFill>
            </a:ln>
          </c:spPr>
          <c:cat>
            <c:strRef>
              <c:f>'Department Dashboard'!$D$88:$D$91</c:f>
            </c:strRef>
          </c:cat>
          <c:val>
            <c:numRef>
              <c:f>'Department Dashboard'!$E$88:$E$91</c:f>
              <c:numCache/>
            </c:numRef>
          </c:val>
        </c:ser>
        <c:axId val="1824211789"/>
        <c:axId val="628842987"/>
      </c:barChart>
      <c:catAx>
        <c:axId val="18242117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Tenure Break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628842987"/>
      </c:catAx>
      <c:valAx>
        <c:axId val="6288429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Tenure Break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18242117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Gender Distribution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'Department Dashboard'!$E$94</c:f>
            </c:strRef>
          </c:tx>
          <c:dPt>
            <c:idx val="0"/>
            <c:spPr>
              <a:solidFill>
                <a:srgbClr val="674EA7"/>
              </a:solidFill>
            </c:spPr>
          </c:dPt>
          <c:dPt>
            <c:idx val="1"/>
            <c:spPr>
              <a:solidFill>
                <a:srgbClr val="E6913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'Department Dashboard'!$D$95:$D$96</c:f>
            </c:strRef>
          </c:cat>
          <c:val>
            <c:numRef>
              <c:f>'Department Dashboard'!$E$95:$E$96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434343"/>
              </a:solidFill>
              <a:latin typeface="Comic Sans MS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434343"/>
                </a:solidFill>
                <a:latin typeface="Georgia"/>
              </a:defRPr>
            </a:pPr>
            <a:r>
              <a:rPr b="0" sz="2000">
                <a:solidFill>
                  <a:srgbClr val="434343"/>
                </a:solidFill>
                <a:latin typeface="Georgia"/>
              </a:rPr>
              <a:t>Region Distribution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'Department Dashboard'!$B$94</c:f>
            </c:strRef>
          </c:tx>
          <c:spPr>
            <a:ln cmpd="sng">
              <a:solidFill>
                <a:srgbClr val="134F5C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134F5C">
                  <a:alpha val="100000"/>
                </a:srgbClr>
              </a:solidFill>
              <a:ln cmpd="sng">
                <a:solidFill>
                  <a:srgbClr val="134F5C">
                    <a:alpha val="100000"/>
                  </a:srgbClr>
                </a:solidFill>
              </a:ln>
            </c:spPr>
          </c:marker>
          <c:cat>
            <c:strRef>
              <c:f>'Department Dashboard'!$A$95:$A$98</c:f>
            </c:strRef>
          </c:cat>
          <c:val>
            <c:numRef>
              <c:f>'Department Dashboard'!$B$95:$B$98</c:f>
              <c:numCache/>
            </c:numRef>
          </c:val>
          <c:smooth val="0"/>
        </c:ser>
        <c:axId val="941423657"/>
        <c:axId val="2027233409"/>
      </c:lineChart>
      <c:catAx>
        <c:axId val="9414236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</a:p>
        </c:txPr>
        <c:crossAx val="2027233409"/>
      </c:catAx>
      <c:valAx>
        <c:axId val="20272334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</a:p>
        </c:txPr>
        <c:crossAx val="9414236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Tenure Distribution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'Department Dashboard'!$E$103</c:f>
            </c:strRef>
          </c:tx>
          <c:spPr>
            <a:solidFill>
              <a:srgbClr val="E69138"/>
            </a:solidFill>
            <a:ln cmpd="sng">
              <a:solidFill>
                <a:srgbClr val="999999">
                  <a:alpha val="100000"/>
                </a:srgbClr>
              </a:solidFill>
            </a:ln>
          </c:spPr>
          <c:cat>
            <c:strRef>
              <c:f>'Department Dashboard'!$D$104:$D$108</c:f>
            </c:strRef>
          </c:cat>
          <c:val>
            <c:numRef>
              <c:f>'Department Dashboard'!$E$104:$E$108</c:f>
              <c:numCache/>
            </c:numRef>
          </c:val>
        </c:ser>
        <c:axId val="208148995"/>
        <c:axId val="1871043767"/>
      </c:barChart>
      <c:catAx>
        <c:axId val="2081489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</a:p>
        </c:txPr>
        <c:crossAx val="1871043767"/>
      </c:catAx>
      <c:valAx>
        <c:axId val="18710437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Tenure Break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</a:p>
        </c:txPr>
        <c:crossAx val="2081489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434343"/>
                </a:solidFill>
                <a:latin typeface="Georgia"/>
              </a:defRPr>
            </a:pPr>
            <a:r>
              <a:rPr b="0" sz="2000">
                <a:solidFill>
                  <a:srgbClr val="434343"/>
                </a:solidFill>
                <a:latin typeface="Georgia"/>
              </a:rPr>
              <a:t>Region Distribution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'Department Dashboard'!$B$110</c:f>
            </c:strRef>
          </c:tx>
          <c:spPr>
            <a:ln cmpd="sng">
              <a:solidFill>
                <a:srgbClr val="134F5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'Department Dashboard'!$A$111:$A$114</c:f>
            </c:strRef>
          </c:cat>
          <c:val>
            <c:numRef>
              <c:f>'Department Dashboard'!$B$111:$B$114</c:f>
              <c:numCache/>
            </c:numRef>
          </c:val>
          <c:smooth val="0"/>
        </c:ser>
        <c:axId val="943651378"/>
        <c:axId val="1070719405"/>
      </c:lineChart>
      <c:catAx>
        <c:axId val="9436513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</a:p>
        </c:txPr>
        <c:crossAx val="1070719405"/>
      </c:catAx>
      <c:valAx>
        <c:axId val="10707194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</a:p>
        </c:txPr>
        <c:crossAx val="9436513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434343"/>
                </a:solidFill>
                <a:latin typeface="Georgia"/>
              </a:defRPr>
            </a:pPr>
            <a:r>
              <a:rPr b="0" sz="2000">
                <a:solidFill>
                  <a:srgbClr val="434343"/>
                </a:solidFill>
                <a:latin typeface="Georgia"/>
              </a:rPr>
              <a:t>Gender Distribution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'Department Dashboard'!$E$110</c:f>
            </c:strRef>
          </c:tx>
          <c:dPt>
            <c:idx val="0"/>
            <c:spPr>
              <a:solidFill>
                <a:srgbClr val="674EA7"/>
              </a:solidFill>
            </c:spPr>
          </c:dPt>
          <c:dPt>
            <c:idx val="1"/>
            <c:spPr>
              <a:solidFill>
                <a:srgbClr val="E6913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'Department Dashboard'!$D$111:$D$112</c:f>
            </c:strRef>
          </c:cat>
          <c:val>
            <c:numRef>
              <c:f>'Department Dashboard'!$E$111:$E$112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mic Sans MS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434343"/>
                </a:solidFill>
                <a:latin typeface="Georgia"/>
              </a:defRPr>
            </a:pPr>
            <a:r>
              <a:rPr b="0" sz="2000">
                <a:solidFill>
                  <a:srgbClr val="434343"/>
                </a:solidFill>
                <a:latin typeface="Georgia"/>
              </a:rPr>
              <a:t>Tenure Distribution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'Department Dashboard'!$E$119</c:f>
            </c:strRef>
          </c:tx>
          <c:spPr>
            <a:solidFill>
              <a:srgbClr val="E69138"/>
            </a:solidFill>
            <a:ln cmpd="sng">
              <a:solidFill>
                <a:srgbClr val="999999">
                  <a:alpha val="100000"/>
                </a:srgbClr>
              </a:solidFill>
            </a:ln>
          </c:spPr>
          <c:cat>
            <c:strRef>
              <c:f>'Department Dashboard'!$D$120:$D$124</c:f>
            </c:strRef>
          </c:cat>
          <c:val>
            <c:numRef>
              <c:f>'Department Dashboard'!$E$120:$E$124</c:f>
              <c:numCache/>
            </c:numRef>
          </c:val>
        </c:ser>
        <c:axId val="1134518017"/>
        <c:axId val="1923409359"/>
      </c:barChart>
      <c:catAx>
        <c:axId val="11345180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</a:p>
        </c:txPr>
        <c:crossAx val="1923409359"/>
      </c:catAx>
      <c:valAx>
        <c:axId val="19234093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Tenure Break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</a:p>
        </c:txPr>
        <c:crossAx val="11345180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434343"/>
                </a:solidFill>
                <a:latin typeface="Georgia"/>
              </a:defRPr>
            </a:pPr>
            <a:r>
              <a:rPr b="0" sz="2000">
                <a:solidFill>
                  <a:srgbClr val="434343"/>
                </a:solidFill>
                <a:latin typeface="Georgia"/>
              </a:rPr>
              <a:t>Region Dstribution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'Department Dashboard'!$B$126</c:f>
            </c:strRef>
          </c:tx>
          <c:spPr>
            <a:ln cmpd="sng">
              <a:solidFill>
                <a:srgbClr val="45818E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45818E">
                  <a:alpha val="100000"/>
                </a:srgbClr>
              </a:solidFill>
              <a:ln cmpd="sng">
                <a:solidFill>
                  <a:srgbClr val="45818E">
                    <a:alpha val="100000"/>
                  </a:srgbClr>
                </a:solidFill>
              </a:ln>
            </c:spPr>
          </c:marker>
          <c:cat>
            <c:strRef>
              <c:f>'Department Dashboard'!$A$127:$A$130</c:f>
            </c:strRef>
          </c:cat>
          <c:val>
            <c:numRef>
              <c:f>'Department Dashboard'!$B$127:$B$130</c:f>
              <c:numCache/>
            </c:numRef>
          </c:val>
          <c:smooth val="0"/>
        </c:ser>
        <c:axId val="1303631109"/>
        <c:axId val="146044597"/>
      </c:lineChart>
      <c:catAx>
        <c:axId val="13036311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</a:p>
        </c:txPr>
        <c:crossAx val="146044597"/>
      </c:catAx>
      <c:valAx>
        <c:axId val="1460445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</a:p>
        </c:txPr>
        <c:crossAx val="13036311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434343"/>
                </a:solidFill>
                <a:latin typeface="Georgia"/>
              </a:defRPr>
            </a:pPr>
            <a:r>
              <a:rPr b="0" sz="2000">
                <a:solidFill>
                  <a:srgbClr val="434343"/>
                </a:solidFill>
                <a:latin typeface="Georgia"/>
              </a:rPr>
              <a:t>Gender Distribution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'Department Dashboard'!$E$126</c:f>
            </c:strRef>
          </c:tx>
          <c:dPt>
            <c:idx val="0"/>
            <c:spPr>
              <a:solidFill>
                <a:srgbClr val="674EA7"/>
              </a:solidFill>
            </c:spPr>
          </c:dPt>
          <c:dPt>
            <c:idx val="1"/>
            <c:spPr>
              <a:solidFill>
                <a:srgbClr val="E6913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'Department Dashboard'!$D$127:$D$128</c:f>
            </c:strRef>
          </c:cat>
          <c:val>
            <c:numRef>
              <c:f>'Department Dashboard'!$E$127:$E$128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mic Sans MS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434343"/>
                </a:solidFill>
                <a:latin typeface="Georgia"/>
              </a:defRPr>
            </a:pPr>
            <a:r>
              <a:rPr b="0" sz="2000">
                <a:solidFill>
                  <a:srgbClr val="434343"/>
                </a:solidFill>
                <a:latin typeface="Georgia"/>
              </a:rPr>
              <a:t>Tenure Distribution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'Department Dashboard'!$E$135</c:f>
            </c:strRef>
          </c:tx>
          <c:spPr>
            <a:solidFill>
              <a:srgbClr val="E69138"/>
            </a:solidFill>
            <a:ln cmpd="sng">
              <a:solidFill>
                <a:srgbClr val="999999">
                  <a:alpha val="100000"/>
                </a:srgbClr>
              </a:solidFill>
            </a:ln>
          </c:spPr>
          <c:cat>
            <c:strRef>
              <c:f>'Department Dashboard'!$D$136:$D$140</c:f>
            </c:strRef>
          </c:cat>
          <c:val>
            <c:numRef>
              <c:f>'Department Dashboard'!$E$136:$E$140</c:f>
              <c:numCache/>
            </c:numRef>
          </c:val>
        </c:ser>
        <c:axId val="1332140597"/>
        <c:axId val="1642475773"/>
      </c:barChart>
      <c:catAx>
        <c:axId val="13321405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Tenure Break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666666"/>
                </a:solidFill>
                <a:latin typeface="Comic Sans MS"/>
              </a:defRPr>
            </a:pPr>
          </a:p>
        </c:txPr>
        <c:crossAx val="1642475773"/>
      </c:catAx>
      <c:valAx>
        <c:axId val="16424757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Tenure Break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</a:p>
        </c:txPr>
        <c:crossAx val="13321405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434343"/>
                </a:solidFill>
                <a:latin typeface="Georgia"/>
              </a:defRPr>
            </a:pPr>
            <a:r>
              <a:rPr b="0" sz="2000">
                <a:solidFill>
                  <a:srgbClr val="434343"/>
                </a:solidFill>
                <a:latin typeface="Georgia"/>
              </a:rPr>
              <a:t>Gender Distribution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'Company Dashboard'!$E$13</c:f>
            </c:strRef>
          </c:tx>
          <c:dPt>
            <c:idx val="0"/>
            <c:spPr>
              <a:solidFill>
                <a:srgbClr val="8E7CC3"/>
              </a:solidFill>
            </c:spPr>
          </c:dPt>
          <c:dPt>
            <c:idx val="1"/>
            <c:spPr>
              <a:solidFill>
                <a:srgbClr val="FF99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'Company Dashboard'!$D$14:$D$15</c:f>
            </c:strRef>
          </c:cat>
          <c:val>
            <c:numRef>
              <c:f>'Company Dashboard'!$E$14:$E$15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Region Distribution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'Department Dashboard'!$B$142</c:f>
            </c:strRef>
          </c:tx>
          <c:spPr>
            <a:ln cmpd="sng" w="19050">
              <a:solidFill>
                <a:srgbClr val="134F5C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134F5C">
                  <a:alpha val="100000"/>
                </a:srgbClr>
              </a:solidFill>
              <a:ln cmpd="sng">
                <a:solidFill>
                  <a:srgbClr val="134F5C">
                    <a:alpha val="100000"/>
                  </a:srgbClr>
                </a:solidFill>
              </a:ln>
            </c:spPr>
          </c:marker>
          <c:cat>
            <c:strRef>
              <c:f>'Department Dashboard'!$A$143:$A$146</c:f>
            </c:strRef>
          </c:cat>
          <c:val>
            <c:numRef>
              <c:f>'Department Dashboard'!$B$143:$B$146</c:f>
              <c:numCache/>
            </c:numRef>
          </c:val>
          <c:smooth val="0"/>
        </c:ser>
        <c:axId val="786603365"/>
        <c:axId val="245422295"/>
      </c:lineChart>
      <c:catAx>
        <c:axId val="786603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</a:p>
        </c:txPr>
        <c:crossAx val="245422295"/>
      </c:catAx>
      <c:valAx>
        <c:axId val="2454222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</a:p>
        </c:txPr>
        <c:crossAx val="7866033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434343"/>
                </a:solidFill>
                <a:latin typeface="+mn-lt"/>
              </a:defRPr>
            </a:pPr>
            <a:r>
              <a:rPr b="0" sz="2000">
                <a:solidFill>
                  <a:srgbClr val="434343"/>
                </a:solidFill>
                <a:latin typeface="+mn-lt"/>
              </a:rPr>
              <a:t>Gender Distribution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'Department Dashboard'!$E$142</c:f>
            </c:strRef>
          </c:tx>
          <c:dPt>
            <c:idx val="0"/>
            <c:spPr>
              <a:solidFill>
                <a:srgbClr val="674EA7"/>
              </a:solidFill>
            </c:spPr>
          </c:dPt>
          <c:dPt>
            <c:idx val="1"/>
            <c:spPr>
              <a:solidFill>
                <a:srgbClr val="E6913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'Department Dashboard'!$D$143:$D$144</c:f>
            </c:strRef>
          </c:cat>
          <c:val>
            <c:numRef>
              <c:f>'Department Dashboard'!$E$143:$E$144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mic Sans MS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434343"/>
                </a:solidFill>
                <a:latin typeface="Georgia"/>
              </a:defRPr>
            </a:pPr>
            <a:r>
              <a:rPr b="0" sz="2000">
                <a:solidFill>
                  <a:srgbClr val="434343"/>
                </a:solidFill>
                <a:latin typeface="Georgia"/>
              </a:rPr>
              <a:t>Salary Distribution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'Company Dashboard'!$B$20</c:f>
            </c:strRef>
          </c:tx>
          <c:spPr>
            <a:solidFill>
              <a:srgbClr val="E69138"/>
            </a:solidFill>
            <a:ln cmpd="sng">
              <a:solidFill>
                <a:srgbClr val="B7B7B7">
                  <a:alpha val="100000"/>
                </a:srgbClr>
              </a:solidFill>
            </a:ln>
          </c:spPr>
          <c:trendline>
            <c:name/>
            <c:spPr>
              <a:ln w="19050">
                <a:solidFill>
                  <a:srgbClr val="783F04">
                    <a:alpha val="8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'Company Dashboard'!$A$21:$A$28</c:f>
            </c:strRef>
          </c:cat>
          <c:val>
            <c:numRef>
              <c:f>'Company Dashboard'!$B$21:$B$28</c:f>
              <c:numCache/>
            </c:numRef>
          </c:val>
        </c:ser>
        <c:axId val="1082662245"/>
        <c:axId val="992220520"/>
      </c:barChart>
      <c:catAx>
        <c:axId val="10826622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Salry Break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Comic Sans MS"/>
              </a:defRPr>
            </a:pPr>
          </a:p>
        </c:txPr>
        <c:crossAx val="992220520"/>
      </c:catAx>
      <c:valAx>
        <c:axId val="9922205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Salry Break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26622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434343"/>
                </a:solidFill>
                <a:latin typeface="Georgia"/>
              </a:defRPr>
            </a:pPr>
            <a:r>
              <a:rPr b="0" sz="2000">
                <a:solidFill>
                  <a:srgbClr val="434343"/>
                </a:solidFill>
                <a:latin typeface="Georgia"/>
              </a:rPr>
              <a:t>Last Hike% Distribution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'Company Dashboard'!$E$20</c:f>
            </c:strRef>
          </c:tx>
          <c:spPr>
            <a:ln cmpd="sng" w="19050">
              <a:solidFill>
                <a:srgbClr val="CC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CC0000">
                  <a:alpha val="100000"/>
                </a:srgbClr>
              </a:solidFill>
              <a:ln cmpd="sng">
                <a:solidFill>
                  <a:srgbClr val="CC0000">
                    <a:alpha val="100000"/>
                  </a:srgbClr>
                </a:solidFill>
              </a:ln>
            </c:spPr>
          </c:marker>
          <c:cat>
            <c:strRef>
              <c:f>'Company Dashboard'!$D$21:$D$26</c:f>
            </c:strRef>
          </c:cat>
          <c:val>
            <c:numRef>
              <c:f>'Company Dashboard'!$E$21:$E$26</c:f>
              <c:numCache/>
            </c:numRef>
          </c:val>
          <c:smooth val="0"/>
        </c:ser>
        <c:axId val="24830348"/>
        <c:axId val="2062245192"/>
      </c:lineChart>
      <c:catAx>
        <c:axId val="248303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Last Hike% Break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 rot="-1800000"/>
          <a:lstStyle/>
          <a:p>
            <a:pPr lvl="0">
              <a:defRPr b="0" sz="1200">
                <a:solidFill>
                  <a:srgbClr val="000000"/>
                </a:solidFill>
                <a:latin typeface="Georgia"/>
              </a:defRPr>
            </a:pPr>
          </a:p>
        </c:txPr>
        <c:crossAx val="2062245192"/>
      </c:catAx>
      <c:valAx>
        <c:axId val="2062245192"/>
        <c:scaling>
          <c:orientation val="minMax"/>
          <c:max val="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count Last Hike% Break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248303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eorgia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434343"/>
                </a:solidFill>
                <a:latin typeface="Georgia"/>
              </a:defRPr>
            </a:pPr>
            <a:r>
              <a:rPr b="0" sz="2000">
                <a:solidFill>
                  <a:srgbClr val="434343"/>
                </a:solidFill>
                <a:latin typeface="Georgia"/>
              </a:rPr>
              <a:t>Age Distribution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'Department Dashboard'!$B$20</c:f>
            </c:strRef>
          </c:tx>
          <c:dPt>
            <c:idx val="0"/>
            <c:spPr>
              <a:solidFill>
                <a:srgbClr val="674EA7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'Department Dashboard'!$A$21:$A$24</c:f>
            </c:strRef>
          </c:cat>
          <c:val>
            <c:numRef>
              <c:f>'Department Dashboard'!$B$21:$B$24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mic Sans MS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434343"/>
                </a:solidFill>
                <a:latin typeface="Georgia"/>
              </a:defRPr>
            </a:pPr>
            <a:r>
              <a:rPr b="0" sz="2000">
                <a:solidFill>
                  <a:srgbClr val="434343"/>
                </a:solidFill>
                <a:latin typeface="Georgia"/>
              </a:rPr>
              <a:t>Age Distribution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'Department Dashboard'!$B$36</c:f>
            </c:strRef>
          </c:tx>
          <c:dPt>
            <c:idx val="0"/>
            <c:spPr>
              <a:solidFill>
                <a:srgbClr val="674EA7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'Department Dashboard'!$A$37:$A$40</c:f>
            </c:strRef>
          </c:cat>
          <c:val>
            <c:numRef>
              <c:f>'Department Dashboard'!$B$37:$B$40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434343"/>
              </a:solidFill>
              <a:latin typeface="Comic Sans MS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434343"/>
                </a:solidFill>
                <a:latin typeface="Georgia"/>
              </a:defRPr>
            </a:pPr>
            <a:r>
              <a:rPr b="0" sz="2000">
                <a:solidFill>
                  <a:srgbClr val="434343"/>
                </a:solidFill>
                <a:latin typeface="Georgia"/>
              </a:rPr>
              <a:t>Age Distribution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'Department Dashboard'!$B$44</c:f>
            </c:strRef>
          </c:tx>
          <c:dPt>
            <c:idx val="0"/>
            <c:spPr>
              <a:solidFill>
                <a:srgbClr val="674EA7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'Department Dashboard'!$A$45:$A$48</c:f>
            </c:strRef>
          </c:cat>
          <c:val>
            <c:numRef>
              <c:f>'Department Dashboard'!$B$45:$B$48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434343"/>
              </a:solidFill>
              <a:latin typeface="Comic Sans MS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20" Type="http://schemas.openxmlformats.org/officeDocument/2006/relationships/chart" Target="../charts/chart26.xml"/><Relationship Id="rId22" Type="http://schemas.openxmlformats.org/officeDocument/2006/relationships/chart" Target="../charts/chart28.xml"/><Relationship Id="rId21" Type="http://schemas.openxmlformats.org/officeDocument/2006/relationships/chart" Target="../charts/chart27.xml"/><Relationship Id="rId24" Type="http://schemas.openxmlformats.org/officeDocument/2006/relationships/chart" Target="../charts/chart30.xml"/><Relationship Id="rId23" Type="http://schemas.openxmlformats.org/officeDocument/2006/relationships/chart" Target="../charts/chart29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26" Type="http://schemas.openxmlformats.org/officeDocument/2006/relationships/chart" Target="../charts/chart32.xml"/><Relationship Id="rId25" Type="http://schemas.openxmlformats.org/officeDocument/2006/relationships/chart" Target="../charts/chart31.xml"/><Relationship Id="rId28" Type="http://schemas.openxmlformats.org/officeDocument/2006/relationships/chart" Target="../charts/chart34.xml"/><Relationship Id="rId27" Type="http://schemas.openxmlformats.org/officeDocument/2006/relationships/chart" Target="../charts/chart33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29" Type="http://schemas.openxmlformats.org/officeDocument/2006/relationships/chart" Target="../charts/chart35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31" Type="http://schemas.openxmlformats.org/officeDocument/2006/relationships/chart" Target="../charts/chart37.xml"/><Relationship Id="rId30" Type="http://schemas.openxmlformats.org/officeDocument/2006/relationships/chart" Target="../charts/chart36.xml"/><Relationship Id="rId11" Type="http://schemas.openxmlformats.org/officeDocument/2006/relationships/chart" Target="../charts/chart17.xml"/><Relationship Id="rId33" Type="http://schemas.openxmlformats.org/officeDocument/2006/relationships/chart" Target="../charts/chart39.xml"/><Relationship Id="rId10" Type="http://schemas.openxmlformats.org/officeDocument/2006/relationships/chart" Target="../charts/chart16.xml"/><Relationship Id="rId32" Type="http://schemas.openxmlformats.org/officeDocument/2006/relationships/chart" Target="../charts/chart38.xml"/><Relationship Id="rId13" Type="http://schemas.openxmlformats.org/officeDocument/2006/relationships/chart" Target="../charts/chart19.xml"/><Relationship Id="rId35" Type="http://schemas.openxmlformats.org/officeDocument/2006/relationships/chart" Target="../charts/chart41.xml"/><Relationship Id="rId12" Type="http://schemas.openxmlformats.org/officeDocument/2006/relationships/chart" Target="../charts/chart18.xml"/><Relationship Id="rId34" Type="http://schemas.openxmlformats.org/officeDocument/2006/relationships/chart" Target="../charts/chart40.xml"/><Relationship Id="rId15" Type="http://schemas.openxmlformats.org/officeDocument/2006/relationships/chart" Target="../charts/chart21.xml"/><Relationship Id="rId14" Type="http://schemas.openxmlformats.org/officeDocument/2006/relationships/chart" Target="../charts/chart20.xml"/><Relationship Id="rId17" Type="http://schemas.openxmlformats.org/officeDocument/2006/relationships/chart" Target="../charts/chart23.xml"/><Relationship Id="rId16" Type="http://schemas.openxmlformats.org/officeDocument/2006/relationships/chart" Target="../charts/chart22.xml"/><Relationship Id="rId19" Type="http://schemas.openxmlformats.org/officeDocument/2006/relationships/chart" Target="../charts/chart25.xml"/><Relationship Id="rId18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923925</xdr:colOff>
      <xdr:row>3</xdr:row>
      <xdr:rowOff>57150</xdr:rowOff>
    </xdr:from>
    <xdr:ext cx="3257550" cy="20193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219075</xdr:colOff>
      <xdr:row>3</xdr:row>
      <xdr:rowOff>57150</xdr:rowOff>
    </xdr:from>
    <xdr:ext cx="3190875" cy="20193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1295400</xdr:colOff>
      <xdr:row>3</xdr:row>
      <xdr:rowOff>57150</xdr:rowOff>
    </xdr:from>
    <xdr:ext cx="3190875" cy="20193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923925</xdr:colOff>
      <xdr:row>13</xdr:row>
      <xdr:rowOff>57150</xdr:rowOff>
    </xdr:from>
    <xdr:ext cx="3257550" cy="20193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1295400</xdr:colOff>
      <xdr:row>13</xdr:row>
      <xdr:rowOff>57150</xdr:rowOff>
    </xdr:from>
    <xdr:ext cx="3190875" cy="20193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219075</xdr:colOff>
      <xdr:row>13</xdr:row>
      <xdr:rowOff>57150</xdr:rowOff>
    </xdr:from>
    <xdr:ext cx="3190875" cy="20193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47625</xdr:colOff>
      <xdr:row>29</xdr:row>
      <xdr:rowOff>142875</xdr:rowOff>
    </xdr:from>
    <xdr:ext cx="3257550" cy="20574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161925</xdr:colOff>
      <xdr:row>2</xdr:row>
      <xdr:rowOff>152400</xdr:rowOff>
    </xdr:from>
    <xdr:ext cx="3419475" cy="21145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161925</xdr:colOff>
      <xdr:row>29</xdr:row>
      <xdr:rowOff>95250</xdr:rowOff>
    </xdr:from>
    <xdr:ext cx="3419475" cy="21050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15</xdr:col>
      <xdr:colOff>161925</xdr:colOff>
      <xdr:row>55</xdr:row>
      <xdr:rowOff>171450</xdr:rowOff>
    </xdr:from>
    <xdr:ext cx="3419475" cy="211455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57150</xdr:colOff>
      <xdr:row>82</xdr:row>
      <xdr:rowOff>171450</xdr:rowOff>
    </xdr:from>
    <xdr:ext cx="3162300" cy="194310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15</xdr:col>
      <xdr:colOff>161925</xdr:colOff>
      <xdr:row>82</xdr:row>
      <xdr:rowOff>95250</xdr:rowOff>
    </xdr:from>
    <xdr:ext cx="3314700" cy="205740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7</xdr:col>
      <xdr:colOff>57150</xdr:colOff>
      <xdr:row>106</xdr:row>
      <xdr:rowOff>85725</xdr:rowOff>
    </xdr:from>
    <xdr:ext cx="3124200" cy="194310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10</xdr:col>
      <xdr:colOff>809625</xdr:colOff>
      <xdr:row>2</xdr:row>
      <xdr:rowOff>85725</xdr:rowOff>
    </xdr:from>
    <xdr:ext cx="3314700" cy="2009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7</xdr:col>
      <xdr:colOff>533400</xdr:colOff>
      <xdr:row>12</xdr:row>
      <xdr:rowOff>47625</xdr:rowOff>
    </xdr:from>
    <xdr:ext cx="3209925" cy="2009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10</xdr:col>
      <xdr:colOff>819150</xdr:colOff>
      <xdr:row>12</xdr:row>
      <xdr:rowOff>47625</xdr:rowOff>
    </xdr:from>
    <xdr:ext cx="3314700" cy="2009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10</xdr:col>
      <xdr:colOff>419100</xdr:colOff>
      <xdr:row>29</xdr:row>
      <xdr:rowOff>142875</xdr:rowOff>
    </xdr:from>
    <xdr:ext cx="3314700" cy="2057400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7</xdr:col>
      <xdr:colOff>57150</xdr:colOff>
      <xdr:row>40</xdr:row>
      <xdr:rowOff>0</xdr:rowOff>
    </xdr:from>
    <xdr:ext cx="3257550" cy="2009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10</xdr:col>
      <xdr:colOff>428625</xdr:colOff>
      <xdr:row>40</xdr:row>
      <xdr:rowOff>0</xdr:rowOff>
    </xdr:from>
    <xdr:ext cx="3314700" cy="2009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18</xdr:col>
      <xdr:colOff>695325</xdr:colOff>
      <xdr:row>2</xdr:row>
      <xdr:rowOff>152400</xdr:rowOff>
    </xdr:from>
    <xdr:ext cx="3419475" cy="2114550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15</xdr:col>
      <xdr:colOff>161925</xdr:colOff>
      <xdr:row>13</xdr:row>
      <xdr:rowOff>9525</xdr:rowOff>
    </xdr:from>
    <xdr:ext cx="3419475" cy="210502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18</xdr:col>
      <xdr:colOff>695325</xdr:colOff>
      <xdr:row>13</xdr:row>
      <xdr:rowOff>9525</xdr:rowOff>
    </xdr:from>
    <xdr:ext cx="3419475" cy="2114550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18</xdr:col>
      <xdr:colOff>695325</xdr:colOff>
      <xdr:row>29</xdr:row>
      <xdr:rowOff>95250</xdr:rowOff>
    </xdr:from>
    <xdr:ext cx="3314700" cy="210502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7</xdr:col>
      <xdr:colOff>47625</xdr:colOff>
      <xdr:row>55</xdr:row>
      <xdr:rowOff>171450</xdr:rowOff>
    </xdr:from>
    <xdr:ext cx="3419475" cy="210502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15</xdr:col>
      <xdr:colOff>161925</xdr:colOff>
      <xdr:row>39</xdr:row>
      <xdr:rowOff>180975</xdr:rowOff>
    </xdr:from>
    <xdr:ext cx="3409950" cy="2057400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18</xdr:col>
      <xdr:colOff>695325</xdr:colOff>
      <xdr:row>40</xdr:row>
      <xdr:rowOff>0</xdr:rowOff>
    </xdr:from>
    <xdr:ext cx="3314700" cy="2057400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10</xdr:col>
      <xdr:colOff>581025</xdr:colOff>
      <xdr:row>55</xdr:row>
      <xdr:rowOff>171450</xdr:rowOff>
    </xdr:from>
    <xdr:ext cx="3524250" cy="2114550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7</xdr:col>
      <xdr:colOff>47625</xdr:colOff>
      <xdr:row>66</xdr:row>
      <xdr:rowOff>85725</xdr:rowOff>
    </xdr:from>
    <xdr:ext cx="3419475" cy="2114550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oneCellAnchor>
  <xdr:oneCellAnchor>
    <xdr:from>
      <xdr:col>10</xdr:col>
      <xdr:colOff>581025</xdr:colOff>
      <xdr:row>66</xdr:row>
      <xdr:rowOff>85725</xdr:rowOff>
    </xdr:from>
    <xdr:ext cx="3524250" cy="2114550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3"/>
        </a:graphicData>
      </a:graphic>
    </xdr:graphicFrame>
    <xdr:clientData fLocksWithSheet="0"/>
  </xdr:oneCellAnchor>
  <xdr:oneCellAnchor>
    <xdr:from>
      <xdr:col>18</xdr:col>
      <xdr:colOff>695325</xdr:colOff>
      <xdr:row>55</xdr:row>
      <xdr:rowOff>171450</xdr:rowOff>
    </xdr:from>
    <xdr:ext cx="3314700" cy="2114550"/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4"/>
        </a:graphicData>
      </a:graphic>
    </xdr:graphicFrame>
    <xdr:clientData fLocksWithSheet="0"/>
  </xdr:oneCellAnchor>
  <xdr:oneCellAnchor>
    <xdr:from>
      <xdr:col>18</xdr:col>
      <xdr:colOff>695325</xdr:colOff>
      <xdr:row>66</xdr:row>
      <xdr:rowOff>66675</xdr:rowOff>
    </xdr:from>
    <xdr:ext cx="3314700" cy="2133600"/>
    <xdr:graphicFrame>
      <xdr:nvGraphicFramePr>
        <xdr:cNvPr id="31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5"/>
        </a:graphicData>
      </a:graphic>
    </xdr:graphicFrame>
    <xdr:clientData fLocksWithSheet="0"/>
  </xdr:oneCellAnchor>
  <xdr:oneCellAnchor>
    <xdr:from>
      <xdr:col>15</xdr:col>
      <xdr:colOff>161925</xdr:colOff>
      <xdr:row>66</xdr:row>
      <xdr:rowOff>76200</xdr:rowOff>
    </xdr:from>
    <xdr:ext cx="3419475" cy="2105025"/>
    <xdr:graphicFrame>
      <xdr:nvGraphicFramePr>
        <xdr:cNvPr id="32" name="Chart 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6"/>
        </a:graphicData>
      </a:graphic>
    </xdr:graphicFrame>
    <xdr:clientData fLocksWithSheet="0"/>
  </xdr:oneCellAnchor>
  <xdr:oneCellAnchor>
    <xdr:from>
      <xdr:col>10</xdr:col>
      <xdr:colOff>323850</xdr:colOff>
      <xdr:row>82</xdr:row>
      <xdr:rowOff>171450</xdr:rowOff>
    </xdr:from>
    <xdr:ext cx="3038475" cy="1943100"/>
    <xdr:graphicFrame>
      <xdr:nvGraphicFramePr>
        <xdr:cNvPr id="33" name="Chart 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7"/>
        </a:graphicData>
      </a:graphic>
    </xdr:graphicFrame>
    <xdr:clientData fLocksWithSheet="0"/>
  </xdr:oneCellAnchor>
  <xdr:oneCellAnchor>
    <xdr:from>
      <xdr:col>7</xdr:col>
      <xdr:colOff>57150</xdr:colOff>
      <xdr:row>92</xdr:row>
      <xdr:rowOff>66675</xdr:rowOff>
    </xdr:from>
    <xdr:ext cx="3162300" cy="1943100"/>
    <xdr:graphicFrame>
      <xdr:nvGraphicFramePr>
        <xdr:cNvPr id="34" name="Chart 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8"/>
        </a:graphicData>
      </a:graphic>
    </xdr:graphicFrame>
    <xdr:clientData fLocksWithSheet="0"/>
  </xdr:oneCellAnchor>
  <xdr:oneCellAnchor>
    <xdr:from>
      <xdr:col>10</xdr:col>
      <xdr:colOff>333375</xdr:colOff>
      <xdr:row>92</xdr:row>
      <xdr:rowOff>66675</xdr:rowOff>
    </xdr:from>
    <xdr:ext cx="3038475" cy="1943100"/>
    <xdr:graphicFrame>
      <xdr:nvGraphicFramePr>
        <xdr:cNvPr id="35" name="Chart 3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9"/>
        </a:graphicData>
      </a:graphic>
    </xdr:graphicFrame>
    <xdr:clientData fLocksWithSheet="0"/>
  </xdr:oneCellAnchor>
  <xdr:oneCellAnchor>
    <xdr:from>
      <xdr:col>18</xdr:col>
      <xdr:colOff>590550</xdr:colOff>
      <xdr:row>82</xdr:row>
      <xdr:rowOff>95250</xdr:rowOff>
    </xdr:from>
    <xdr:ext cx="3257550" cy="2057400"/>
    <xdr:graphicFrame>
      <xdr:nvGraphicFramePr>
        <xdr:cNvPr id="36" name="Chart 3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0"/>
        </a:graphicData>
      </a:graphic>
    </xdr:graphicFrame>
    <xdr:clientData fLocksWithSheet="0"/>
  </xdr:oneCellAnchor>
  <xdr:oneCellAnchor>
    <xdr:from>
      <xdr:col>15</xdr:col>
      <xdr:colOff>161925</xdr:colOff>
      <xdr:row>92</xdr:row>
      <xdr:rowOff>152400</xdr:rowOff>
    </xdr:from>
    <xdr:ext cx="3314700" cy="2057400"/>
    <xdr:graphicFrame>
      <xdr:nvGraphicFramePr>
        <xdr:cNvPr id="37" name="Chart 3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1"/>
        </a:graphicData>
      </a:graphic>
    </xdr:graphicFrame>
    <xdr:clientData fLocksWithSheet="0"/>
  </xdr:oneCellAnchor>
  <xdr:oneCellAnchor>
    <xdr:from>
      <xdr:col>18</xdr:col>
      <xdr:colOff>590550</xdr:colOff>
      <xdr:row>92</xdr:row>
      <xdr:rowOff>152400</xdr:rowOff>
    </xdr:from>
    <xdr:ext cx="3257550" cy="2057400"/>
    <xdr:graphicFrame>
      <xdr:nvGraphicFramePr>
        <xdr:cNvPr id="38" name="Chart 3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2"/>
        </a:graphicData>
      </a:graphic>
    </xdr:graphicFrame>
    <xdr:clientData fLocksWithSheet="0"/>
  </xdr:oneCellAnchor>
  <xdr:oneCellAnchor>
    <xdr:from>
      <xdr:col>10</xdr:col>
      <xdr:colOff>295275</xdr:colOff>
      <xdr:row>106</xdr:row>
      <xdr:rowOff>85725</xdr:rowOff>
    </xdr:from>
    <xdr:ext cx="3124200" cy="1943100"/>
    <xdr:graphicFrame>
      <xdr:nvGraphicFramePr>
        <xdr:cNvPr id="39" name="Chart 3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3"/>
        </a:graphicData>
      </a:graphic>
    </xdr:graphicFrame>
    <xdr:clientData fLocksWithSheet="0"/>
  </xdr:oneCellAnchor>
  <xdr:oneCellAnchor>
    <xdr:from>
      <xdr:col>7</xdr:col>
      <xdr:colOff>57150</xdr:colOff>
      <xdr:row>116</xdr:row>
      <xdr:rowOff>28575</xdr:rowOff>
    </xdr:from>
    <xdr:ext cx="3124200" cy="1943100"/>
    <xdr:graphicFrame>
      <xdr:nvGraphicFramePr>
        <xdr:cNvPr id="40" name="Chart 4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4"/>
        </a:graphicData>
      </a:graphic>
    </xdr:graphicFrame>
    <xdr:clientData fLocksWithSheet="0"/>
  </xdr:oneCellAnchor>
  <xdr:oneCellAnchor>
    <xdr:from>
      <xdr:col>10</xdr:col>
      <xdr:colOff>295275</xdr:colOff>
      <xdr:row>116</xdr:row>
      <xdr:rowOff>28575</xdr:rowOff>
    </xdr:from>
    <xdr:ext cx="3124200" cy="1943100"/>
    <xdr:graphicFrame>
      <xdr:nvGraphicFramePr>
        <xdr:cNvPr id="41" name="Chart 4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5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5:B9" displayName="Table_1" id="1">
  <tableColumns count="2">
    <tableColumn name="Age Break" id="1"/>
    <tableColumn name="count Age Break" id="2"/>
  </tableColumns>
  <tableStyleInfo name="Company Dashboard-style" showColumnStripes="0" showFirstColumn="1" showLastColumn="1" showRowStripes="1"/>
</table>
</file>

<file path=xl/tables/table10.xml><?xml version="1.0" encoding="utf-8"?>
<table xmlns="http://schemas.openxmlformats.org/spreadsheetml/2006/main" ref="D11:E13" displayName="Table_10" id="10">
  <tableColumns count="2">
    <tableColumn name="Gender" id="1"/>
    <tableColumn name="count Gender" id="2"/>
  </tableColumns>
  <tableStyleInfo name="Department Dashboard-style 4" showColumnStripes="0" showFirstColumn="1" showLastColumn="1" showRowStripes="1"/>
</table>
</file>

<file path=xl/tables/table11.xml><?xml version="1.0" encoding="utf-8"?>
<table xmlns="http://schemas.openxmlformats.org/spreadsheetml/2006/main" ref="A20:B24" displayName="Table_11" id="11">
  <tableColumns count="2">
    <tableColumn name="Age Break" id="1"/>
    <tableColumn name="count Age Break" id="2"/>
  </tableColumns>
  <tableStyleInfo name="Department Dashboard-style 5" showColumnStripes="0" showFirstColumn="1" showLastColumn="1" showRowStripes="1"/>
</table>
</file>

<file path=xl/tables/table12.xml><?xml version="1.0" encoding="utf-8"?>
<table xmlns="http://schemas.openxmlformats.org/spreadsheetml/2006/main" ref="D20:E25" displayName="Table_12" id="12">
  <tableColumns count="2">
    <tableColumn name="Tenure Break" id="1"/>
    <tableColumn name="count Tenure Break" id="2"/>
  </tableColumns>
  <tableStyleInfo name="Department Dashboard-style 6" showColumnStripes="0" showFirstColumn="1" showLastColumn="1" showRowStripes="1"/>
</table>
</file>

<file path=xl/tables/table13.xml><?xml version="1.0" encoding="utf-8"?>
<table xmlns="http://schemas.openxmlformats.org/spreadsheetml/2006/main" ref="A27:B31" displayName="Table_13" id="13">
  <tableColumns count="2">
    <tableColumn name="Region" id="1"/>
    <tableColumn name="count Region" id="2"/>
  </tableColumns>
  <tableStyleInfo name="Department Dashboard-style 7" showColumnStripes="0" showFirstColumn="1" showLastColumn="1" showRowStripes="1"/>
</table>
</file>

<file path=xl/tables/table14.xml><?xml version="1.0" encoding="utf-8"?>
<table xmlns="http://schemas.openxmlformats.org/spreadsheetml/2006/main" ref="D27:E29" displayName="Table_14" id="14">
  <tableColumns count="2">
    <tableColumn name="Gender" id="1"/>
    <tableColumn name="count Gender" id="2"/>
  </tableColumns>
  <tableStyleInfo name="Department Dashboard-style 8" showColumnStripes="0" showFirstColumn="1" showLastColumn="1" showRowStripes="1"/>
</table>
</file>

<file path=xl/tables/table15.xml><?xml version="1.0" encoding="utf-8"?>
<table xmlns="http://schemas.openxmlformats.org/spreadsheetml/2006/main" ref="A36:B40" displayName="Table_15" id="15">
  <tableColumns count="2">
    <tableColumn name="Age Break" id="1"/>
    <tableColumn name="count Age Break" id="2"/>
  </tableColumns>
  <tableStyleInfo name="Department Dashboard-style 9" showColumnStripes="0" showFirstColumn="1" showLastColumn="1" showRowStripes="1"/>
</table>
</file>

<file path=xl/tables/table16.xml><?xml version="1.0" encoding="utf-8"?>
<table xmlns="http://schemas.openxmlformats.org/spreadsheetml/2006/main" ref="D36:E41" displayName="Table_16" id="16">
  <tableColumns count="2">
    <tableColumn name="Tenure Break" id="1"/>
    <tableColumn name="count Tenure Break" id="2"/>
  </tableColumns>
  <tableStyleInfo name="Department Dashboard-style 10" showColumnStripes="0" showFirstColumn="1" showLastColumn="1" showRowStripes="1"/>
</table>
</file>

<file path=xl/tables/table17.xml><?xml version="1.0" encoding="utf-8"?>
<table xmlns="http://schemas.openxmlformats.org/spreadsheetml/2006/main" ref="A44:B48" displayName="Table_17" id="17">
  <tableColumns count="2">
    <tableColumn name="Region" id="1"/>
    <tableColumn name="count Region" id="2"/>
  </tableColumns>
  <tableStyleInfo name="Department Dashboard-style 11" showColumnStripes="0" showFirstColumn="1" showLastColumn="1" showRowStripes="1"/>
</table>
</file>

<file path=xl/tables/table18.xml><?xml version="1.0" encoding="utf-8"?>
<table xmlns="http://schemas.openxmlformats.org/spreadsheetml/2006/main" ref="D44:E46" displayName="Table_18" id="18">
  <tableColumns count="2">
    <tableColumn name="Gender" id="1"/>
    <tableColumn name="count Gender" id="2"/>
  </tableColumns>
  <tableStyleInfo name="Department Dashboard-style 12" showColumnStripes="0" showFirstColumn="1" showLastColumn="1" showRowStripes="1"/>
</table>
</file>

<file path=xl/tables/table19.xml><?xml version="1.0" encoding="utf-8"?>
<table xmlns="http://schemas.openxmlformats.org/spreadsheetml/2006/main" ref="A54:B58" displayName="Table_19" id="19">
  <tableColumns count="2">
    <tableColumn name="Age Break" id="1"/>
    <tableColumn name="count Age Break" id="2"/>
  </tableColumns>
  <tableStyleInfo name="Department Dashboard-style 13" showColumnStripes="0" showFirstColumn="1" showLastColumn="1" showRowStripes="1"/>
</table>
</file>

<file path=xl/tables/table2.xml><?xml version="1.0" encoding="utf-8"?>
<table xmlns="http://schemas.openxmlformats.org/spreadsheetml/2006/main" ref="D5:E10" displayName="Table_2" id="2">
  <tableColumns count="2">
    <tableColumn name="Tenure Break" id="1"/>
    <tableColumn name="count Tenure Break" id="2"/>
  </tableColumns>
  <tableStyleInfo name="Company Dashboard-style 2" showColumnStripes="0" showFirstColumn="1" showLastColumn="1" showRowStripes="1"/>
</table>
</file>

<file path=xl/tables/table20.xml><?xml version="1.0" encoding="utf-8"?>
<table xmlns="http://schemas.openxmlformats.org/spreadsheetml/2006/main" ref="D54:E59" displayName="Table_20" id="20">
  <tableColumns count="2">
    <tableColumn name="Tenure Break" id="1"/>
    <tableColumn name="count Tenure Break" id="2"/>
  </tableColumns>
  <tableStyleInfo name="Department Dashboard-style 14" showColumnStripes="0" showFirstColumn="1" showLastColumn="1" showRowStripes="1"/>
</table>
</file>

<file path=xl/tables/table21.xml><?xml version="1.0" encoding="utf-8"?>
<table xmlns="http://schemas.openxmlformats.org/spreadsheetml/2006/main" ref="A61:B65" displayName="Table_21" id="21">
  <tableColumns count="2">
    <tableColumn name="Region" id="1"/>
    <tableColumn name="count Region" id="2"/>
  </tableColumns>
  <tableStyleInfo name="Department Dashboard-style 15" showColumnStripes="0" showFirstColumn="1" showLastColumn="1" showRowStripes="1"/>
</table>
</file>

<file path=xl/tables/table22.xml><?xml version="1.0" encoding="utf-8"?>
<table xmlns="http://schemas.openxmlformats.org/spreadsheetml/2006/main" ref="D61:E63" displayName="Table_22" id="22">
  <tableColumns count="2">
    <tableColumn name="Gender" id="1"/>
    <tableColumn name="count Gender" id="2"/>
  </tableColumns>
  <tableStyleInfo name="Department Dashboard-style 16" showColumnStripes="0" showFirstColumn="1" showLastColumn="1" showRowStripes="1"/>
</table>
</file>

<file path=xl/tables/table23.xml><?xml version="1.0" encoding="utf-8"?>
<table xmlns="http://schemas.openxmlformats.org/spreadsheetml/2006/main" ref="A71:B75" displayName="Table_23" id="23">
  <tableColumns count="2">
    <tableColumn name="Age Break" id="1"/>
    <tableColumn name="count Age Break" id="2"/>
  </tableColumns>
  <tableStyleInfo name="Department Dashboard-style 17" showColumnStripes="0" showFirstColumn="1" showLastColumn="1" showRowStripes="1"/>
</table>
</file>

<file path=xl/tables/table24.xml><?xml version="1.0" encoding="utf-8"?>
<table xmlns="http://schemas.openxmlformats.org/spreadsheetml/2006/main" ref="D71:E76" displayName="Table_24" id="24">
  <tableColumns count="2">
    <tableColumn name="Tenure Break" id="1"/>
    <tableColumn name="count Tenure Break" id="2"/>
  </tableColumns>
  <tableStyleInfo name="Department Dashboard-style 18" showColumnStripes="0" showFirstColumn="1" showLastColumn="1" showRowStripes="1"/>
</table>
</file>

<file path=xl/tables/table25.xml><?xml version="1.0" encoding="utf-8"?>
<table xmlns="http://schemas.openxmlformats.org/spreadsheetml/2006/main" ref="A78:B82" displayName="Table_25" id="25">
  <tableColumns count="2">
    <tableColumn name="Region" id="1"/>
    <tableColumn name="count Region" id="2"/>
  </tableColumns>
  <tableStyleInfo name="Department Dashboard-style 19" showColumnStripes="0" showFirstColumn="1" showLastColumn="1" showRowStripes="1"/>
</table>
</file>

<file path=xl/tables/table26.xml><?xml version="1.0" encoding="utf-8"?>
<table xmlns="http://schemas.openxmlformats.org/spreadsheetml/2006/main" ref="D78:E80" displayName="Table_26" id="26">
  <tableColumns count="2">
    <tableColumn name="Gender" id="1"/>
    <tableColumn name="count Gender" id="2"/>
  </tableColumns>
  <tableStyleInfo name="Department Dashboard-style 20" showColumnStripes="0" showFirstColumn="1" showLastColumn="1" showRowStripes="1"/>
</table>
</file>

<file path=xl/tables/table27.xml><?xml version="1.0" encoding="utf-8"?>
<table xmlns="http://schemas.openxmlformats.org/spreadsheetml/2006/main" ref="A87:B91" displayName="Table_27" id="27">
  <tableColumns count="2">
    <tableColumn name="Age Break" id="1"/>
    <tableColumn name="count Age Break" id="2"/>
  </tableColumns>
  <tableStyleInfo name="Department Dashboard-style 21" showColumnStripes="0" showFirstColumn="1" showLastColumn="1" showRowStripes="1"/>
</table>
</file>

<file path=xl/tables/table28.xml><?xml version="1.0" encoding="utf-8"?>
<table xmlns="http://schemas.openxmlformats.org/spreadsheetml/2006/main" ref="D87:E92" displayName="Table_28" id="28">
  <tableColumns count="2">
    <tableColumn name="Tenure Break" id="1"/>
    <tableColumn name="count Tenure Break" id="2"/>
  </tableColumns>
  <tableStyleInfo name="Department Dashboard-style 22" showColumnStripes="0" showFirstColumn="1" showLastColumn="1" showRowStripes="1"/>
</table>
</file>

<file path=xl/tables/table29.xml><?xml version="1.0" encoding="utf-8"?>
<table xmlns="http://schemas.openxmlformats.org/spreadsheetml/2006/main" ref="A94:B98" displayName="Table_29" id="29">
  <tableColumns count="2">
    <tableColumn name="Region" id="1"/>
    <tableColumn name="count Region" id="2"/>
  </tableColumns>
  <tableStyleInfo name="Department Dashboard-style 23" showColumnStripes="0" showFirstColumn="1" showLastColumn="1" showRowStripes="1"/>
</table>
</file>

<file path=xl/tables/table3.xml><?xml version="1.0" encoding="utf-8"?>
<table xmlns="http://schemas.openxmlformats.org/spreadsheetml/2006/main" ref="A13:B17" displayName="Table_3" id="3">
  <tableColumns count="2">
    <tableColumn name="Region" id="1"/>
    <tableColumn name="count Region" id="2"/>
  </tableColumns>
  <tableStyleInfo name="Company Dashboard-style 3" showColumnStripes="0" showFirstColumn="1" showLastColumn="1" showRowStripes="1"/>
</table>
</file>

<file path=xl/tables/table30.xml><?xml version="1.0" encoding="utf-8"?>
<table xmlns="http://schemas.openxmlformats.org/spreadsheetml/2006/main" ref="D94:E96" displayName="Table_30" id="30">
  <tableColumns count="2">
    <tableColumn name="Gender" id="1"/>
    <tableColumn name="count Gender" id="2"/>
  </tableColumns>
  <tableStyleInfo name="Department Dashboard-style 24" showColumnStripes="0" showFirstColumn="1" showLastColumn="1" showRowStripes="1"/>
</table>
</file>

<file path=xl/tables/table31.xml><?xml version="1.0" encoding="utf-8"?>
<table xmlns="http://schemas.openxmlformats.org/spreadsheetml/2006/main" ref="A103:B107" displayName="Table_31" id="31">
  <tableColumns count="2">
    <tableColumn name="Age Break" id="1"/>
    <tableColumn name="count Age Break" id="2"/>
  </tableColumns>
  <tableStyleInfo name="Department Dashboard-style 25" showColumnStripes="0" showFirstColumn="1" showLastColumn="1" showRowStripes="1"/>
</table>
</file>

<file path=xl/tables/table32.xml><?xml version="1.0" encoding="utf-8"?>
<table xmlns="http://schemas.openxmlformats.org/spreadsheetml/2006/main" ref="D103:E108" displayName="Table_32" id="32">
  <tableColumns count="2">
    <tableColumn name="Tenure Break" id="1"/>
    <tableColumn name="count Tenure Break" id="2"/>
  </tableColumns>
  <tableStyleInfo name="Department Dashboard-style 26" showColumnStripes="0" showFirstColumn="1" showLastColumn="1" showRowStripes="1"/>
</table>
</file>

<file path=xl/tables/table33.xml><?xml version="1.0" encoding="utf-8"?>
<table xmlns="http://schemas.openxmlformats.org/spreadsheetml/2006/main" ref="A110:B114" displayName="Table_33" id="33">
  <tableColumns count="2">
    <tableColumn name="Region" id="1"/>
    <tableColumn name="count Region" id="2"/>
  </tableColumns>
  <tableStyleInfo name="Department Dashboard-style 27" showColumnStripes="0" showFirstColumn="1" showLastColumn="1" showRowStripes="1"/>
</table>
</file>

<file path=xl/tables/table34.xml><?xml version="1.0" encoding="utf-8"?>
<table xmlns="http://schemas.openxmlformats.org/spreadsheetml/2006/main" ref="D110:E112" displayName="Table_34" id="34">
  <tableColumns count="2">
    <tableColumn name="Gender" id="1"/>
    <tableColumn name="count Gender" id="2"/>
  </tableColumns>
  <tableStyleInfo name="Department Dashboard-style 28" showColumnStripes="0" showFirstColumn="1" showLastColumn="1" showRowStripes="1"/>
</table>
</file>

<file path=xl/tables/table35.xml><?xml version="1.0" encoding="utf-8"?>
<table xmlns="http://schemas.openxmlformats.org/spreadsheetml/2006/main" ref="A119:B123" displayName="Table_35" id="35">
  <tableColumns count="2">
    <tableColumn name="Age Break" id="1"/>
    <tableColumn name="count Age Break" id="2"/>
  </tableColumns>
  <tableStyleInfo name="Department Dashboard-style 29" showColumnStripes="0" showFirstColumn="1" showLastColumn="1" showRowStripes="1"/>
</table>
</file>

<file path=xl/tables/table36.xml><?xml version="1.0" encoding="utf-8"?>
<table xmlns="http://schemas.openxmlformats.org/spreadsheetml/2006/main" ref="D119:E124" displayName="Table_36" id="36">
  <tableColumns count="2">
    <tableColumn name="Tenure Break" id="1"/>
    <tableColumn name="count Tenure Break" id="2"/>
  </tableColumns>
  <tableStyleInfo name="Department Dashboard-style 30" showColumnStripes="0" showFirstColumn="1" showLastColumn="1" showRowStripes="1"/>
</table>
</file>

<file path=xl/tables/table37.xml><?xml version="1.0" encoding="utf-8"?>
<table xmlns="http://schemas.openxmlformats.org/spreadsheetml/2006/main" ref="A126:B130" displayName="Table_37" id="37">
  <tableColumns count="2">
    <tableColumn name="Region" id="1"/>
    <tableColumn name="count Region" id="2"/>
  </tableColumns>
  <tableStyleInfo name="Department Dashboard-style 31" showColumnStripes="0" showFirstColumn="1" showLastColumn="1" showRowStripes="1"/>
</table>
</file>

<file path=xl/tables/table38.xml><?xml version="1.0" encoding="utf-8"?>
<table xmlns="http://schemas.openxmlformats.org/spreadsheetml/2006/main" ref="D126:E128" displayName="Table_38" id="38">
  <tableColumns count="2">
    <tableColumn name="Gender" id="1"/>
    <tableColumn name="count Gender" id="2"/>
  </tableColumns>
  <tableStyleInfo name="Department Dashboard-style 32" showColumnStripes="0" showFirstColumn="1" showLastColumn="1" showRowStripes="1"/>
</table>
</file>

<file path=xl/tables/table39.xml><?xml version="1.0" encoding="utf-8"?>
<table xmlns="http://schemas.openxmlformats.org/spreadsheetml/2006/main" ref="A135:B139" displayName="Table_39" id="39">
  <tableColumns count="2">
    <tableColumn name="Age Break" id="1"/>
    <tableColumn name="count Age Break" id="2"/>
  </tableColumns>
  <tableStyleInfo name="Department Dashboard-style 33" showColumnStripes="0" showFirstColumn="1" showLastColumn="1" showRowStripes="1"/>
</table>
</file>

<file path=xl/tables/table4.xml><?xml version="1.0" encoding="utf-8"?>
<table xmlns="http://schemas.openxmlformats.org/spreadsheetml/2006/main" ref="D13:E15" displayName="Table_4" id="4">
  <tableColumns count="2">
    <tableColumn name="Gender" id="1"/>
    <tableColumn name="count Gender" id="2"/>
  </tableColumns>
  <tableStyleInfo name="Company Dashboard-style 4" showColumnStripes="0" showFirstColumn="1" showLastColumn="1" showRowStripes="1"/>
</table>
</file>

<file path=xl/tables/table40.xml><?xml version="1.0" encoding="utf-8"?>
<table xmlns="http://schemas.openxmlformats.org/spreadsheetml/2006/main" ref="D135:E140" displayName="Table_40" id="40">
  <tableColumns count="2">
    <tableColumn name="Tenure Break" id="1"/>
    <tableColumn name="count Tenure Break" id="2"/>
  </tableColumns>
  <tableStyleInfo name="Department Dashboard-style 34" showColumnStripes="0" showFirstColumn="1" showLastColumn="1" showRowStripes="1"/>
</table>
</file>

<file path=xl/tables/table41.xml><?xml version="1.0" encoding="utf-8"?>
<table xmlns="http://schemas.openxmlformats.org/spreadsheetml/2006/main" ref="A142:B146" displayName="Table_41" id="41">
  <tableColumns count="2">
    <tableColumn name="Region" id="1"/>
    <tableColumn name="count Region" id="2"/>
  </tableColumns>
  <tableStyleInfo name="Department Dashboard-style 35" showColumnStripes="0" showFirstColumn="1" showLastColumn="1" showRowStripes="1"/>
</table>
</file>

<file path=xl/tables/table42.xml><?xml version="1.0" encoding="utf-8"?>
<table xmlns="http://schemas.openxmlformats.org/spreadsheetml/2006/main" ref="D142:E144" displayName="Table_42" id="42">
  <tableColumns count="2">
    <tableColumn name="Gender" id="1"/>
    <tableColumn name="count Gender" id="2"/>
  </tableColumns>
  <tableStyleInfo name="Department Dashboard-style 36" showColumnStripes="0" showFirstColumn="1" showLastColumn="1" showRowStripes="1"/>
</table>
</file>

<file path=xl/tables/table5.xml><?xml version="1.0" encoding="utf-8"?>
<table xmlns="http://schemas.openxmlformats.org/spreadsheetml/2006/main" ref="A20:B28" displayName="Table_5" id="5">
  <tableColumns count="2">
    <tableColumn name="Salary Break" id="1"/>
    <tableColumn name="count Salary Break" id="2"/>
  </tableColumns>
  <tableStyleInfo name="Company Dashboard-style 5" showColumnStripes="0" showFirstColumn="1" showLastColumn="1" showRowStripes="1"/>
</table>
</file>

<file path=xl/tables/table6.xml><?xml version="1.0" encoding="utf-8"?>
<table xmlns="http://schemas.openxmlformats.org/spreadsheetml/2006/main" ref="D20:E27" displayName="Table_6" id="6">
  <tableColumns count="2">
    <tableColumn name="Last Hike% Break" id="1"/>
    <tableColumn name="count Last Hike% Break" id="2"/>
  </tableColumns>
  <tableStyleInfo name="Company Dashboard-style 6" showColumnStripes="0" showFirstColumn="1" showLastColumn="1" showRowStripes="1"/>
</table>
</file>

<file path=xl/tables/table7.xml><?xml version="1.0" encoding="utf-8"?>
<table xmlns="http://schemas.openxmlformats.org/spreadsheetml/2006/main" ref="A4:B8" displayName="Table_7" id="7">
  <tableColumns count="2">
    <tableColumn name="Age Break" id="1"/>
    <tableColumn name="count Age Break" id="2"/>
  </tableColumns>
  <tableStyleInfo name="Department Dashboard-style" showColumnStripes="0" showFirstColumn="1" showLastColumn="1" showRowStripes="1"/>
</table>
</file>

<file path=xl/tables/table8.xml><?xml version="1.0" encoding="utf-8"?>
<table xmlns="http://schemas.openxmlformats.org/spreadsheetml/2006/main" ref="D4:E9" displayName="Table_8" id="8">
  <tableColumns count="2">
    <tableColumn name="Tenure Break" id="1"/>
    <tableColumn name="count Tenure Break" id="2"/>
  </tableColumns>
  <tableStyleInfo name="Department Dashboard-style 2" showColumnStripes="0" showFirstColumn="1" showLastColumn="1" showRowStripes="1"/>
</table>
</file>

<file path=xl/tables/table9.xml><?xml version="1.0" encoding="utf-8"?>
<table xmlns="http://schemas.openxmlformats.org/spreadsheetml/2006/main" ref="A11:B15" displayName="Table_9" id="9">
  <tableColumns count="2">
    <tableColumn name="Region" id="1"/>
    <tableColumn name="count Region" id="2"/>
  </tableColumns>
  <tableStyleInfo name="Department Dashboard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klhyrpn84.i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9" Type="http://schemas.openxmlformats.org/officeDocument/2006/relationships/table" Target="../tables/table2.xml"/><Relationship Id="rId8" Type="http://schemas.openxmlformats.org/officeDocument/2006/relationships/table" Target="../tables/table1.xml"/><Relationship Id="rId11" Type="http://schemas.openxmlformats.org/officeDocument/2006/relationships/table" Target="../tables/table4.xml"/><Relationship Id="rId10" Type="http://schemas.openxmlformats.org/officeDocument/2006/relationships/table" Target="../tables/table3.xml"/><Relationship Id="rId13" Type="http://schemas.openxmlformats.org/officeDocument/2006/relationships/table" Target="../tables/table6.xml"/><Relationship Id="rId12" Type="http://schemas.openxmlformats.org/officeDocument/2006/relationships/table" Target="../tables/table5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table" Target="../tables/table9.xml"/><Relationship Id="rId62" Type="http://schemas.openxmlformats.org/officeDocument/2006/relationships/table" Target="../tables/table31.xml"/><Relationship Id="rId61" Type="http://schemas.openxmlformats.org/officeDocument/2006/relationships/table" Target="../tables/table30.xml"/><Relationship Id="rId42" Type="http://schemas.openxmlformats.org/officeDocument/2006/relationships/table" Target="../tables/table11.xml"/><Relationship Id="rId64" Type="http://schemas.openxmlformats.org/officeDocument/2006/relationships/table" Target="../tables/table33.xml"/><Relationship Id="rId41" Type="http://schemas.openxmlformats.org/officeDocument/2006/relationships/table" Target="../tables/table10.xml"/><Relationship Id="rId63" Type="http://schemas.openxmlformats.org/officeDocument/2006/relationships/table" Target="../tables/table32.xml"/><Relationship Id="rId44" Type="http://schemas.openxmlformats.org/officeDocument/2006/relationships/table" Target="../tables/table13.xml"/><Relationship Id="rId66" Type="http://schemas.openxmlformats.org/officeDocument/2006/relationships/table" Target="../tables/table35.xml"/><Relationship Id="rId43" Type="http://schemas.openxmlformats.org/officeDocument/2006/relationships/table" Target="../tables/table12.xml"/><Relationship Id="rId65" Type="http://schemas.openxmlformats.org/officeDocument/2006/relationships/table" Target="../tables/table34.xml"/><Relationship Id="rId46" Type="http://schemas.openxmlformats.org/officeDocument/2006/relationships/table" Target="../tables/table15.xml"/><Relationship Id="rId68" Type="http://schemas.openxmlformats.org/officeDocument/2006/relationships/table" Target="../tables/table37.xml"/><Relationship Id="rId45" Type="http://schemas.openxmlformats.org/officeDocument/2006/relationships/table" Target="../tables/table14.xml"/><Relationship Id="rId67" Type="http://schemas.openxmlformats.org/officeDocument/2006/relationships/table" Target="../tables/table36.xml"/><Relationship Id="rId60" Type="http://schemas.openxmlformats.org/officeDocument/2006/relationships/table" Target="../tables/table29.xml"/><Relationship Id="rId1" Type="http://schemas.openxmlformats.org/officeDocument/2006/relationships/drawing" Target="../drawings/drawing4.xml"/><Relationship Id="rId48" Type="http://schemas.openxmlformats.org/officeDocument/2006/relationships/table" Target="../tables/table17.xml"/><Relationship Id="rId47" Type="http://schemas.openxmlformats.org/officeDocument/2006/relationships/table" Target="../tables/table16.xml"/><Relationship Id="rId69" Type="http://schemas.openxmlformats.org/officeDocument/2006/relationships/table" Target="../tables/table38.xml"/><Relationship Id="rId49" Type="http://schemas.openxmlformats.org/officeDocument/2006/relationships/table" Target="../tables/table18.xml"/><Relationship Id="rId51" Type="http://schemas.openxmlformats.org/officeDocument/2006/relationships/table" Target="../tables/table20.xml"/><Relationship Id="rId73" Type="http://schemas.openxmlformats.org/officeDocument/2006/relationships/table" Target="../tables/table42.xml"/><Relationship Id="rId50" Type="http://schemas.openxmlformats.org/officeDocument/2006/relationships/table" Target="../tables/table19.xml"/><Relationship Id="rId72" Type="http://schemas.openxmlformats.org/officeDocument/2006/relationships/table" Target="../tables/table41.xml"/><Relationship Id="rId53" Type="http://schemas.openxmlformats.org/officeDocument/2006/relationships/table" Target="../tables/table22.xml"/><Relationship Id="rId52" Type="http://schemas.openxmlformats.org/officeDocument/2006/relationships/table" Target="../tables/table21.xml"/><Relationship Id="rId55" Type="http://schemas.openxmlformats.org/officeDocument/2006/relationships/table" Target="../tables/table24.xml"/><Relationship Id="rId54" Type="http://schemas.openxmlformats.org/officeDocument/2006/relationships/table" Target="../tables/table23.xml"/><Relationship Id="rId57" Type="http://schemas.openxmlformats.org/officeDocument/2006/relationships/table" Target="../tables/table26.xml"/><Relationship Id="rId56" Type="http://schemas.openxmlformats.org/officeDocument/2006/relationships/table" Target="../tables/table25.xml"/><Relationship Id="rId71" Type="http://schemas.openxmlformats.org/officeDocument/2006/relationships/table" Target="../tables/table40.xml"/><Relationship Id="rId70" Type="http://schemas.openxmlformats.org/officeDocument/2006/relationships/table" Target="../tables/table39.xml"/><Relationship Id="rId59" Type="http://schemas.openxmlformats.org/officeDocument/2006/relationships/table" Target="../tables/table28.xml"/><Relationship Id="rId58" Type="http://schemas.openxmlformats.org/officeDocument/2006/relationships/table" Target="../tables/table27.xml"/><Relationship Id="rId39" Type="http://schemas.openxmlformats.org/officeDocument/2006/relationships/table" Target="../tables/table8.xml"/><Relationship Id="rId38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15.75"/>
    <col customWidth="1" min="13" max="13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3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2" t="s">
        <v>35</v>
      </c>
      <c r="AK1" s="1" t="s">
        <v>36</v>
      </c>
      <c r="AL1" s="1" t="s">
        <v>37</v>
      </c>
      <c r="AM1" s="4" t="s">
        <v>38</v>
      </c>
      <c r="AN1" s="4" t="s">
        <v>39</v>
      </c>
      <c r="AO1" s="5" t="s">
        <v>40</v>
      </c>
      <c r="AP1" s="5" t="s">
        <v>41</v>
      </c>
    </row>
    <row r="2">
      <c r="A2" s="6">
        <v>850297.0</v>
      </c>
      <c r="B2" s="1" t="s">
        <v>42</v>
      </c>
      <c r="C2" s="1" t="s">
        <v>43</v>
      </c>
      <c r="D2" s="1" t="s">
        <v>44</v>
      </c>
      <c r="E2" s="1" t="s">
        <v>45</v>
      </c>
      <c r="F2" s="1" t="s">
        <v>46</v>
      </c>
      <c r="G2" s="1" t="s">
        <v>47</v>
      </c>
      <c r="H2" s="1" t="s">
        <v>48</v>
      </c>
      <c r="I2" s="1" t="s">
        <v>49</v>
      </c>
      <c r="J2" s="1" t="s">
        <v>50</v>
      </c>
      <c r="K2" s="1" t="s">
        <v>51</v>
      </c>
      <c r="L2" s="7">
        <v>26279.0</v>
      </c>
      <c r="M2" s="8">
        <v>0.2741550925925926</v>
      </c>
      <c r="N2" s="6">
        <v>45.66</v>
      </c>
      <c r="O2" s="6">
        <v>44.0</v>
      </c>
      <c r="P2" s="9">
        <v>40530.0</v>
      </c>
      <c r="Q2" s="1" t="s">
        <v>52</v>
      </c>
      <c r="R2" s="1" t="s">
        <v>53</v>
      </c>
      <c r="S2" s="6">
        <v>2010.0</v>
      </c>
      <c r="T2" s="6">
        <v>12.0</v>
      </c>
      <c r="U2" s="1" t="s">
        <v>54</v>
      </c>
      <c r="V2" s="1" t="s">
        <v>55</v>
      </c>
      <c r="W2" s="6">
        <v>18.0</v>
      </c>
      <c r="X2" s="1" t="s">
        <v>56</v>
      </c>
      <c r="Y2" s="1" t="s">
        <v>57</v>
      </c>
      <c r="Z2" s="6">
        <v>6.61</v>
      </c>
      <c r="AA2" s="6">
        <v>119090.0</v>
      </c>
      <c r="AB2" s="10">
        <v>0.17</v>
      </c>
      <c r="AC2" s="1" t="s">
        <v>58</v>
      </c>
      <c r="AD2" s="1" t="s">
        <v>59</v>
      </c>
      <c r="AE2" s="1" t="s">
        <v>60</v>
      </c>
      <c r="AF2" s="1" t="s">
        <v>61</v>
      </c>
      <c r="AG2" s="1" t="s">
        <v>60</v>
      </c>
      <c r="AH2" s="1" t="s">
        <v>62</v>
      </c>
      <c r="AI2" s="6">
        <v>89128.0</v>
      </c>
      <c r="AJ2" s="1" t="s">
        <v>63</v>
      </c>
      <c r="AK2" s="1" t="s">
        <v>64</v>
      </c>
      <c r="AL2" s="1" t="s">
        <v>65</v>
      </c>
      <c r="AM2" s="11" t="str">
        <f>VLOOKUP(N2,Sheet3!$B$4:$C$10,2,1)</f>
        <v>41-50</v>
      </c>
      <c r="AN2" s="12" t="str">
        <f>VLOOKUP(Z2,Sheet3!$F$4:$G$10,2,1)</f>
        <v>5-10</v>
      </c>
      <c r="AO2" s="5" t="str">
        <f>VLOOKUP(AA2,Sheet3!$I$3:$J$16,2,1)</f>
        <v>100000-120000</v>
      </c>
      <c r="AP2" s="5" t="str">
        <f>VLOOKUP(AB2,Sheet3!$L$4:$M$14,2,1)</f>
        <v>16% - 20%</v>
      </c>
    </row>
    <row r="3">
      <c r="A3" s="6">
        <v>304721.0</v>
      </c>
      <c r="B3" s="1" t="s">
        <v>66</v>
      </c>
      <c r="C3" s="1" t="s">
        <v>67</v>
      </c>
      <c r="D3" s="1" t="s">
        <v>68</v>
      </c>
      <c r="E3" s="1" t="s">
        <v>69</v>
      </c>
      <c r="F3" s="1" t="s">
        <v>70</v>
      </c>
      <c r="G3" s="1" t="s">
        <v>71</v>
      </c>
      <c r="H3" s="1" t="s">
        <v>48</v>
      </c>
      <c r="I3" s="1" t="s">
        <v>72</v>
      </c>
      <c r="J3" s="1" t="s">
        <v>73</v>
      </c>
      <c r="K3" s="1" t="s">
        <v>74</v>
      </c>
      <c r="L3" s="9">
        <v>34273.0</v>
      </c>
      <c r="M3" s="8">
        <v>0.08516203703703704</v>
      </c>
      <c r="N3" s="6">
        <v>23.76</v>
      </c>
      <c r="O3" s="6">
        <v>52.0</v>
      </c>
      <c r="P3" s="9">
        <v>42850.0</v>
      </c>
      <c r="Q3" s="1" t="s">
        <v>75</v>
      </c>
      <c r="R3" s="1" t="s">
        <v>76</v>
      </c>
      <c r="S3" s="6">
        <v>2017.0</v>
      </c>
      <c r="T3" s="6">
        <v>4.0</v>
      </c>
      <c r="U3" s="1" t="s">
        <v>77</v>
      </c>
      <c r="V3" s="1" t="s">
        <v>78</v>
      </c>
      <c r="W3" s="6">
        <v>25.0</v>
      </c>
      <c r="X3" s="1" t="s">
        <v>79</v>
      </c>
      <c r="Y3" s="1" t="s">
        <v>80</v>
      </c>
      <c r="Z3" s="6">
        <v>0.26</v>
      </c>
      <c r="AA3" s="6">
        <v>117991.0</v>
      </c>
      <c r="AB3" s="10">
        <v>0.14</v>
      </c>
      <c r="AC3" s="1" t="s">
        <v>81</v>
      </c>
      <c r="AD3" s="1" t="s">
        <v>82</v>
      </c>
      <c r="AE3" s="1" t="s">
        <v>83</v>
      </c>
      <c r="AF3" s="1" t="s">
        <v>84</v>
      </c>
      <c r="AG3" s="1" t="s">
        <v>83</v>
      </c>
      <c r="AH3" s="1" t="s">
        <v>85</v>
      </c>
      <c r="AI3" s="6">
        <v>49644.0</v>
      </c>
      <c r="AJ3" s="1" t="s">
        <v>86</v>
      </c>
      <c r="AK3" s="1" t="s">
        <v>87</v>
      </c>
      <c r="AL3" s="1" t="s">
        <v>88</v>
      </c>
      <c r="AM3" s="11" t="str">
        <f>VLOOKUP(N3,Sheet3!$B$4:$C$10,2,1)</f>
        <v>21-30</v>
      </c>
      <c r="AN3" s="13" t="str">
        <f>VLOOKUP(Z3,Sheet3!$F$4:$G$10,2,1)</f>
        <v>&lt; 5</v>
      </c>
      <c r="AO3" s="5" t="str">
        <f>VLOOKUP(AA3,Sheet3!$I$3:$J$16,2,1)</f>
        <v>100000-120000</v>
      </c>
      <c r="AP3" s="5" t="str">
        <f>VLOOKUP(AB3,Sheet3!$L$4:$M$14,2,1)</f>
        <v>11% - 15%</v>
      </c>
    </row>
    <row r="4">
      <c r="A4" s="6">
        <v>412317.0</v>
      </c>
      <c r="B4" s="1" t="s">
        <v>89</v>
      </c>
      <c r="C4" s="1" t="s">
        <v>90</v>
      </c>
      <c r="D4" s="1" t="s">
        <v>44</v>
      </c>
      <c r="E4" s="1" t="s">
        <v>91</v>
      </c>
      <c r="F4" s="1" t="s">
        <v>46</v>
      </c>
      <c r="G4" s="1" t="s">
        <v>92</v>
      </c>
      <c r="H4" s="1" t="s">
        <v>48</v>
      </c>
      <c r="I4" s="1" t="s">
        <v>93</v>
      </c>
      <c r="J4" s="1" t="s">
        <v>94</v>
      </c>
      <c r="K4" s="1" t="s">
        <v>95</v>
      </c>
      <c r="L4" s="9">
        <v>34664.0</v>
      </c>
      <c r="M4" s="8">
        <v>0.6586458333333334</v>
      </c>
      <c r="N4" s="6">
        <v>22.68</v>
      </c>
      <c r="O4" s="6">
        <v>42.0</v>
      </c>
      <c r="P4" s="9">
        <v>42821.0</v>
      </c>
      <c r="Q4" s="1" t="s">
        <v>96</v>
      </c>
      <c r="R4" s="1" t="s">
        <v>76</v>
      </c>
      <c r="S4" s="6">
        <v>2017.0</v>
      </c>
      <c r="T4" s="6">
        <v>3.0</v>
      </c>
      <c r="U4" s="1" t="s">
        <v>97</v>
      </c>
      <c r="V4" s="1" t="s">
        <v>98</v>
      </c>
      <c r="W4" s="6">
        <v>27.0</v>
      </c>
      <c r="X4" s="1" t="s">
        <v>99</v>
      </c>
      <c r="Y4" s="1" t="s">
        <v>100</v>
      </c>
      <c r="Z4" s="6">
        <v>0.34</v>
      </c>
      <c r="AA4" s="6">
        <v>161045.0</v>
      </c>
      <c r="AB4" s="10">
        <v>0.28</v>
      </c>
      <c r="AC4" s="1" t="s">
        <v>101</v>
      </c>
      <c r="AD4" s="1" t="s">
        <v>102</v>
      </c>
      <c r="AE4" s="1" t="s">
        <v>103</v>
      </c>
      <c r="AF4" s="1" t="s">
        <v>104</v>
      </c>
      <c r="AG4" s="1" t="s">
        <v>103</v>
      </c>
      <c r="AH4" s="1" t="s">
        <v>105</v>
      </c>
      <c r="AI4" s="6">
        <v>40501.0</v>
      </c>
      <c r="AJ4" s="1" t="s">
        <v>106</v>
      </c>
      <c r="AK4" s="1" t="s">
        <v>107</v>
      </c>
      <c r="AL4" s="1" t="s">
        <v>108</v>
      </c>
      <c r="AM4" s="11" t="str">
        <f>VLOOKUP(N4,Sheet3!$B$4:$C$10,2,1)</f>
        <v>21-30</v>
      </c>
      <c r="AN4" s="13" t="str">
        <f>VLOOKUP(Z4,Sheet3!$F$4:$G$10,2,1)</f>
        <v>&lt; 5</v>
      </c>
      <c r="AO4" s="5" t="str">
        <f>VLOOKUP(AA4,Sheet3!$I$3:$J$16,2,1)</f>
        <v>160000-180000</v>
      </c>
      <c r="AP4" s="5" t="str">
        <f>VLOOKUP(AB4,Sheet3!$L$4:$M$14,2,1)</f>
        <v>26% - 30%</v>
      </c>
    </row>
    <row r="5">
      <c r="A5" s="6">
        <v>621375.0</v>
      </c>
      <c r="B5" s="1" t="s">
        <v>109</v>
      </c>
      <c r="C5" s="1" t="s">
        <v>110</v>
      </c>
      <c r="D5" s="1" t="s">
        <v>111</v>
      </c>
      <c r="E5" s="1" t="s">
        <v>112</v>
      </c>
      <c r="F5" s="1" t="s">
        <v>46</v>
      </c>
      <c r="G5" s="1" t="s">
        <v>113</v>
      </c>
      <c r="H5" s="1" t="s">
        <v>48</v>
      </c>
      <c r="I5" s="1" t="s">
        <v>114</v>
      </c>
      <c r="J5" s="1" t="s">
        <v>115</v>
      </c>
      <c r="K5" s="1" t="s">
        <v>116</v>
      </c>
      <c r="L5" s="9">
        <v>27722.0</v>
      </c>
      <c r="M5" s="8">
        <v>0.9057407407407407</v>
      </c>
      <c r="N5" s="6">
        <v>41.7</v>
      </c>
      <c r="O5" s="6">
        <v>43.0</v>
      </c>
      <c r="P5" s="9">
        <v>37677.0</v>
      </c>
      <c r="Q5" s="1" t="s">
        <v>96</v>
      </c>
      <c r="R5" s="1" t="s">
        <v>76</v>
      </c>
      <c r="S5" s="6">
        <v>2003.0</v>
      </c>
      <c r="T5" s="6">
        <v>2.0</v>
      </c>
      <c r="U5" s="1" t="s">
        <v>117</v>
      </c>
      <c r="V5" s="1" t="s">
        <v>118</v>
      </c>
      <c r="W5" s="6">
        <v>25.0</v>
      </c>
      <c r="X5" s="1" t="s">
        <v>79</v>
      </c>
      <c r="Y5" s="1" t="s">
        <v>80</v>
      </c>
      <c r="Z5" s="6">
        <v>14.43</v>
      </c>
      <c r="AA5" s="6">
        <v>142616.0</v>
      </c>
      <c r="AB5" s="10">
        <v>0.16</v>
      </c>
      <c r="AC5" s="1" t="s">
        <v>119</v>
      </c>
      <c r="AD5" s="1" t="s">
        <v>120</v>
      </c>
      <c r="AE5" s="1" t="s">
        <v>121</v>
      </c>
      <c r="AF5" s="1" t="s">
        <v>84</v>
      </c>
      <c r="AG5" s="1" t="s">
        <v>121</v>
      </c>
      <c r="AH5" s="1" t="s">
        <v>122</v>
      </c>
      <c r="AI5" s="6">
        <v>46321.0</v>
      </c>
      <c r="AJ5" s="1" t="s">
        <v>86</v>
      </c>
      <c r="AK5" s="1" t="s">
        <v>123</v>
      </c>
      <c r="AL5" s="1" t="s">
        <v>124</v>
      </c>
      <c r="AM5" s="11" t="str">
        <f>VLOOKUP(N5,Sheet3!$B$4:$C$10,2,1)</f>
        <v>41-50</v>
      </c>
      <c r="AN5" s="12" t="str">
        <f>VLOOKUP(Z5,Sheet3!$F$4:$G$10,2,1)</f>
        <v>11-20</v>
      </c>
      <c r="AO5" s="5" t="str">
        <f>VLOOKUP(AA5,Sheet3!$I$3:$J$16,2,1)</f>
        <v>140000-160000</v>
      </c>
      <c r="AP5" s="5" t="str">
        <f>VLOOKUP(AB5,Sheet3!$L$4:$M$14,2,1)</f>
        <v>16% - 20%</v>
      </c>
    </row>
    <row r="6">
      <c r="A6" s="6">
        <v>787549.0</v>
      </c>
      <c r="B6" s="1" t="s">
        <v>125</v>
      </c>
      <c r="C6" s="1" t="s">
        <v>126</v>
      </c>
      <c r="D6" s="1" t="s">
        <v>127</v>
      </c>
      <c r="E6" s="1" t="s">
        <v>128</v>
      </c>
      <c r="F6" s="1" t="s">
        <v>46</v>
      </c>
      <c r="G6" s="1" t="s">
        <v>129</v>
      </c>
      <c r="H6" s="1" t="s">
        <v>48</v>
      </c>
      <c r="I6" s="1" t="s">
        <v>130</v>
      </c>
      <c r="J6" s="1" t="s">
        <v>131</v>
      </c>
      <c r="K6" s="1" t="s">
        <v>132</v>
      </c>
      <c r="L6" s="9">
        <v>34771.0</v>
      </c>
      <c r="M6" s="8">
        <v>0.8961574074074075</v>
      </c>
      <c r="N6" s="6">
        <v>22.39</v>
      </c>
      <c r="O6" s="6">
        <v>58.0</v>
      </c>
      <c r="P6" s="7">
        <v>42654.0</v>
      </c>
      <c r="Q6" s="1" t="s">
        <v>52</v>
      </c>
      <c r="R6" s="1" t="s">
        <v>53</v>
      </c>
      <c r="S6" s="6">
        <v>2016.0</v>
      </c>
      <c r="T6" s="6">
        <v>10.0</v>
      </c>
      <c r="U6" s="1" t="s">
        <v>133</v>
      </c>
      <c r="V6" s="1" t="s">
        <v>134</v>
      </c>
      <c r="W6" s="6">
        <v>11.0</v>
      </c>
      <c r="X6" s="1" t="s">
        <v>79</v>
      </c>
      <c r="Y6" s="1" t="s">
        <v>80</v>
      </c>
      <c r="Z6" s="6">
        <v>0.79</v>
      </c>
      <c r="AA6" s="6">
        <v>135706.0</v>
      </c>
      <c r="AB6" s="10">
        <v>0.11</v>
      </c>
      <c r="AC6" s="1" t="s">
        <v>135</v>
      </c>
      <c r="AD6" s="1" t="s">
        <v>136</v>
      </c>
      <c r="AE6" s="1" t="s">
        <v>137</v>
      </c>
      <c r="AF6" s="1" t="s">
        <v>138</v>
      </c>
      <c r="AG6" s="1" t="s">
        <v>137</v>
      </c>
      <c r="AH6" s="1" t="s">
        <v>139</v>
      </c>
      <c r="AI6" s="6">
        <v>99709.0</v>
      </c>
      <c r="AJ6" s="1" t="s">
        <v>63</v>
      </c>
      <c r="AK6" s="1" t="s">
        <v>140</v>
      </c>
      <c r="AL6" s="1" t="s">
        <v>141</v>
      </c>
      <c r="AM6" s="11" t="str">
        <f>VLOOKUP(N6,Sheet3!$B$4:$C$10,2,1)</f>
        <v>21-30</v>
      </c>
      <c r="AN6" s="13" t="str">
        <f>VLOOKUP(Z6,Sheet3!$F$4:$G$10,2,1)</f>
        <v>&lt; 5</v>
      </c>
      <c r="AO6" s="5" t="str">
        <f>VLOOKUP(AA6,Sheet3!$I$3:$J$16,2,1)</f>
        <v>120000-140000</v>
      </c>
      <c r="AP6" s="5" t="str">
        <f>VLOOKUP(AB6,Sheet3!$L$4:$M$14,2,1)</f>
        <v>11% - 15%</v>
      </c>
    </row>
    <row r="7">
      <c r="A7" s="6">
        <v>520092.0</v>
      </c>
      <c r="B7" s="1" t="s">
        <v>66</v>
      </c>
      <c r="C7" s="1" t="s">
        <v>142</v>
      </c>
      <c r="D7" s="1" t="s">
        <v>127</v>
      </c>
      <c r="E7" s="1" t="s">
        <v>143</v>
      </c>
      <c r="F7" s="1" t="s">
        <v>70</v>
      </c>
      <c r="G7" s="1" t="s">
        <v>144</v>
      </c>
      <c r="H7" s="1" t="s">
        <v>48</v>
      </c>
      <c r="I7" s="1" t="s">
        <v>145</v>
      </c>
      <c r="J7" s="1" t="s">
        <v>146</v>
      </c>
      <c r="K7" s="1" t="s">
        <v>147</v>
      </c>
      <c r="L7" s="9">
        <v>33524.0</v>
      </c>
      <c r="M7" s="8">
        <v>0.3053356481481482</v>
      </c>
      <c r="N7" s="6">
        <v>25.81</v>
      </c>
      <c r="O7" s="6">
        <v>59.0</v>
      </c>
      <c r="P7" s="9">
        <v>41970.0</v>
      </c>
      <c r="Q7" s="1" t="s">
        <v>52</v>
      </c>
      <c r="R7" s="1" t="s">
        <v>53</v>
      </c>
      <c r="S7" s="6">
        <v>2014.0</v>
      </c>
      <c r="T7" s="6">
        <v>11.0</v>
      </c>
      <c r="U7" s="1" t="s">
        <v>148</v>
      </c>
      <c r="V7" s="1" t="s">
        <v>149</v>
      </c>
      <c r="W7" s="6">
        <v>27.0</v>
      </c>
      <c r="X7" s="1" t="s">
        <v>150</v>
      </c>
      <c r="Y7" s="1" t="s">
        <v>151</v>
      </c>
      <c r="Z7" s="6">
        <v>2.67</v>
      </c>
      <c r="AA7" s="6">
        <v>173027.0</v>
      </c>
      <c r="AB7" s="10">
        <v>0.17</v>
      </c>
      <c r="AC7" s="1" t="s">
        <v>152</v>
      </c>
      <c r="AD7" s="1" t="s">
        <v>153</v>
      </c>
      <c r="AE7" s="1" t="s">
        <v>154</v>
      </c>
      <c r="AF7" s="1" t="s">
        <v>155</v>
      </c>
      <c r="AG7" s="1" t="s">
        <v>154</v>
      </c>
      <c r="AH7" s="1" t="s">
        <v>156</v>
      </c>
      <c r="AI7" s="6">
        <v>20134.0</v>
      </c>
      <c r="AJ7" s="1" t="s">
        <v>106</v>
      </c>
      <c r="AK7" s="1" t="s">
        <v>157</v>
      </c>
      <c r="AL7" s="1" t="s">
        <v>158</v>
      </c>
      <c r="AM7" s="11" t="str">
        <f>VLOOKUP(N7,Sheet3!$B$4:$C$10,2,1)</f>
        <v>21-30</v>
      </c>
      <c r="AN7" s="13" t="str">
        <f>VLOOKUP(Z7,Sheet3!$F$4:$G$10,2,1)</f>
        <v>&lt; 5</v>
      </c>
      <c r="AO7" s="5" t="str">
        <f>VLOOKUP(AA7,Sheet3!$I$3:$J$16,2,1)</f>
        <v>160000-180000</v>
      </c>
      <c r="AP7" s="5" t="str">
        <f>VLOOKUP(AB7,Sheet3!$L$4:$M$14,2,1)</f>
        <v>16% - 20%</v>
      </c>
    </row>
    <row r="8">
      <c r="A8" s="6">
        <v>795934.0</v>
      </c>
      <c r="B8" s="1" t="s">
        <v>42</v>
      </c>
      <c r="C8" s="1" t="s">
        <v>159</v>
      </c>
      <c r="D8" s="1" t="s">
        <v>127</v>
      </c>
      <c r="E8" s="1" t="s">
        <v>160</v>
      </c>
      <c r="F8" s="1" t="s">
        <v>46</v>
      </c>
      <c r="G8" s="1" t="s">
        <v>161</v>
      </c>
      <c r="H8" s="1" t="s">
        <v>48</v>
      </c>
      <c r="I8" s="1" t="s">
        <v>162</v>
      </c>
      <c r="J8" s="1" t="s">
        <v>163</v>
      </c>
      <c r="K8" s="1" t="s">
        <v>164</v>
      </c>
      <c r="L8" s="9">
        <v>30940.0</v>
      </c>
      <c r="M8" s="8">
        <v>0.563587962962963</v>
      </c>
      <c r="N8" s="6">
        <v>32.89</v>
      </c>
      <c r="O8" s="6">
        <v>55.0</v>
      </c>
      <c r="P8" s="9">
        <v>38678.0</v>
      </c>
      <c r="Q8" s="1" t="s">
        <v>52</v>
      </c>
      <c r="R8" s="1" t="s">
        <v>53</v>
      </c>
      <c r="S8" s="6">
        <v>2005.0</v>
      </c>
      <c r="T8" s="6">
        <v>11.0</v>
      </c>
      <c r="U8" s="1" t="s">
        <v>148</v>
      </c>
      <c r="V8" s="1" t="s">
        <v>149</v>
      </c>
      <c r="W8" s="6">
        <v>22.0</v>
      </c>
      <c r="X8" s="1" t="s">
        <v>79</v>
      </c>
      <c r="Y8" s="1" t="s">
        <v>80</v>
      </c>
      <c r="Z8" s="6">
        <v>11.69</v>
      </c>
      <c r="AA8" s="6">
        <v>41287.0</v>
      </c>
      <c r="AB8" s="10">
        <v>0.04</v>
      </c>
      <c r="AC8" s="1" t="s">
        <v>165</v>
      </c>
      <c r="AD8" s="1" t="s">
        <v>166</v>
      </c>
      <c r="AE8" s="1" t="s">
        <v>167</v>
      </c>
      <c r="AF8" s="1" t="s">
        <v>168</v>
      </c>
      <c r="AG8" s="1" t="s">
        <v>167</v>
      </c>
      <c r="AH8" s="1" t="s">
        <v>169</v>
      </c>
      <c r="AI8" s="6">
        <v>77661.0</v>
      </c>
      <c r="AJ8" s="1" t="s">
        <v>106</v>
      </c>
      <c r="AK8" s="1" t="s">
        <v>170</v>
      </c>
      <c r="AL8" s="1" t="s">
        <v>171</v>
      </c>
      <c r="AM8" s="11" t="str">
        <f>VLOOKUP(N8,Sheet3!$B$4:$C$10,2,1)</f>
        <v>31-40</v>
      </c>
      <c r="AN8" s="12" t="str">
        <f>VLOOKUP(Z8,Sheet3!$F$4:$G$10,2,1)</f>
        <v>11-20</v>
      </c>
      <c r="AO8" s="5" t="str">
        <f>VLOOKUP(AA8,Sheet3!$I$3:$J$16,2,1)</f>
        <v>40000-60000</v>
      </c>
      <c r="AP8" s="5" t="str">
        <f>VLOOKUP(AB8,Sheet3!$L$4:$M$14,2,1)</f>
        <v>&lt; 5%</v>
      </c>
    </row>
    <row r="9">
      <c r="A9" s="6">
        <v>159108.0</v>
      </c>
      <c r="B9" s="1" t="s">
        <v>109</v>
      </c>
      <c r="C9" s="1" t="s">
        <v>172</v>
      </c>
      <c r="D9" s="1" t="s">
        <v>173</v>
      </c>
      <c r="E9" s="1" t="s">
        <v>174</v>
      </c>
      <c r="F9" s="1" t="s">
        <v>46</v>
      </c>
      <c r="G9" s="1" t="s">
        <v>175</v>
      </c>
      <c r="H9" s="1" t="s">
        <v>48</v>
      </c>
      <c r="I9" s="1" t="s">
        <v>176</v>
      </c>
      <c r="J9" s="1" t="s">
        <v>177</v>
      </c>
      <c r="K9" s="1" t="s">
        <v>178</v>
      </c>
      <c r="L9" s="9">
        <v>21355.0</v>
      </c>
      <c r="M9" s="8">
        <v>0.5295601851851852</v>
      </c>
      <c r="N9" s="6">
        <v>59.15</v>
      </c>
      <c r="O9" s="6">
        <v>48.0</v>
      </c>
      <c r="P9" s="9">
        <v>36456.0</v>
      </c>
      <c r="Q9" s="1" t="s">
        <v>52</v>
      </c>
      <c r="R9" s="1" t="s">
        <v>53</v>
      </c>
      <c r="S9" s="6">
        <v>1999.0</v>
      </c>
      <c r="T9" s="6">
        <v>10.0</v>
      </c>
      <c r="U9" s="1" t="s">
        <v>133</v>
      </c>
      <c r="V9" s="1" t="s">
        <v>134</v>
      </c>
      <c r="W9" s="6">
        <v>23.0</v>
      </c>
      <c r="X9" s="1" t="s">
        <v>56</v>
      </c>
      <c r="Y9" s="1" t="s">
        <v>57</v>
      </c>
      <c r="Z9" s="6">
        <v>17.78</v>
      </c>
      <c r="AA9" s="6">
        <v>85833.0</v>
      </c>
      <c r="AB9" s="10">
        <v>0.13</v>
      </c>
      <c r="AC9" s="1" t="s">
        <v>179</v>
      </c>
      <c r="AD9" s="1" t="s">
        <v>180</v>
      </c>
      <c r="AE9" s="1" t="s">
        <v>181</v>
      </c>
      <c r="AF9" s="1" t="s">
        <v>182</v>
      </c>
      <c r="AG9" s="1" t="s">
        <v>181</v>
      </c>
      <c r="AH9" s="1" t="s">
        <v>156</v>
      </c>
      <c r="AI9" s="6">
        <v>20171.0</v>
      </c>
      <c r="AJ9" s="1" t="s">
        <v>106</v>
      </c>
      <c r="AK9" s="1" t="s">
        <v>183</v>
      </c>
      <c r="AL9" s="1" t="s">
        <v>184</v>
      </c>
      <c r="AM9" s="11" t="str">
        <f>VLOOKUP(N9,Sheet3!$B$4:$C$10,2,1)</f>
        <v>51-60</v>
      </c>
      <c r="AN9" s="12" t="str">
        <f>VLOOKUP(Z9,Sheet3!$F$4:$G$10,2,1)</f>
        <v>11-20</v>
      </c>
      <c r="AO9" s="5" t="str">
        <f>VLOOKUP(AA9,Sheet3!$I$3:$J$16,2,1)</f>
        <v>80000-100000</v>
      </c>
      <c r="AP9" s="5" t="str">
        <f>VLOOKUP(AB9,Sheet3!$L$4:$M$14,2,1)</f>
        <v>11% - 15%</v>
      </c>
    </row>
    <row r="10">
      <c r="A10" s="6">
        <v>330816.0</v>
      </c>
      <c r="B10" s="1" t="s">
        <v>42</v>
      </c>
      <c r="C10" s="1" t="s">
        <v>185</v>
      </c>
      <c r="D10" s="1" t="s">
        <v>186</v>
      </c>
      <c r="E10" s="1" t="s">
        <v>187</v>
      </c>
      <c r="F10" s="1" t="s">
        <v>46</v>
      </c>
      <c r="G10" s="1" t="s">
        <v>188</v>
      </c>
      <c r="H10" s="1" t="s">
        <v>48</v>
      </c>
      <c r="I10" s="1" t="s">
        <v>189</v>
      </c>
      <c r="J10" s="1" t="s">
        <v>190</v>
      </c>
      <c r="K10" s="1" t="s">
        <v>191</v>
      </c>
      <c r="L10" s="9">
        <v>22524.0</v>
      </c>
      <c r="M10" s="8">
        <v>0.2280787037037037</v>
      </c>
      <c r="N10" s="6">
        <v>55.95</v>
      </c>
      <c r="O10" s="6">
        <v>55.0</v>
      </c>
      <c r="P10" s="14">
        <v>30348.0</v>
      </c>
      <c r="Q10" s="1" t="s">
        <v>96</v>
      </c>
      <c r="R10" s="1" t="s">
        <v>76</v>
      </c>
      <c r="S10" s="6">
        <v>1983.0</v>
      </c>
      <c r="T10" s="6">
        <v>2.0</v>
      </c>
      <c r="U10" s="1" t="s">
        <v>117</v>
      </c>
      <c r="V10" s="1" t="s">
        <v>118</v>
      </c>
      <c r="W10" s="6">
        <v>1.0</v>
      </c>
      <c r="X10" s="1" t="s">
        <v>79</v>
      </c>
      <c r="Y10" s="1" t="s">
        <v>80</v>
      </c>
      <c r="Z10" s="6">
        <v>34.51</v>
      </c>
      <c r="AA10" s="6">
        <v>154216.0</v>
      </c>
      <c r="AB10" s="10">
        <v>0.01</v>
      </c>
      <c r="AC10" s="1" t="s">
        <v>192</v>
      </c>
      <c r="AD10" s="1" t="s">
        <v>193</v>
      </c>
      <c r="AE10" s="1" t="s">
        <v>194</v>
      </c>
      <c r="AF10" s="1" t="s">
        <v>195</v>
      </c>
      <c r="AG10" s="1" t="s">
        <v>194</v>
      </c>
      <c r="AH10" s="1" t="s">
        <v>196</v>
      </c>
      <c r="AI10" s="6">
        <v>37361.0</v>
      </c>
      <c r="AJ10" s="1" t="s">
        <v>106</v>
      </c>
      <c r="AK10" s="1" t="s">
        <v>197</v>
      </c>
      <c r="AL10" s="1" t="s">
        <v>198</v>
      </c>
      <c r="AM10" s="11" t="str">
        <f>VLOOKUP(N10,Sheet3!$B$4:$C$10,2,1)</f>
        <v>51-60</v>
      </c>
      <c r="AN10" s="13" t="str">
        <f>VLOOKUP(Z10,Sheet3!$F$4:$G$10,2,1)</f>
        <v>31-40</v>
      </c>
      <c r="AO10" s="5" t="str">
        <f>VLOOKUP(AA10,Sheet3!$I$3:$J$16,2,1)</f>
        <v>140000-160000</v>
      </c>
      <c r="AP10" s="5" t="str">
        <f>VLOOKUP(AB10,Sheet3!$L$4:$M$14,2,1)</f>
        <v>&lt; 5%</v>
      </c>
    </row>
    <row r="11">
      <c r="A11" s="6">
        <v>532002.0</v>
      </c>
      <c r="B11" s="1" t="s">
        <v>42</v>
      </c>
      <c r="C11" s="1" t="s">
        <v>199</v>
      </c>
      <c r="D11" s="1" t="s">
        <v>200</v>
      </c>
      <c r="E11" s="1" t="s">
        <v>201</v>
      </c>
      <c r="F11" s="1" t="s">
        <v>46</v>
      </c>
      <c r="G11" s="1" t="s">
        <v>202</v>
      </c>
      <c r="H11" s="1" t="s">
        <v>48</v>
      </c>
      <c r="I11" s="1" t="s">
        <v>203</v>
      </c>
      <c r="J11" s="1" t="s">
        <v>204</v>
      </c>
      <c r="K11" s="1" t="s">
        <v>205</v>
      </c>
      <c r="L11" s="14">
        <v>29861.0</v>
      </c>
      <c r="M11" s="8">
        <v>0.7146643518518518</v>
      </c>
      <c r="N11" s="6">
        <v>35.84</v>
      </c>
      <c r="O11" s="6">
        <v>58.0</v>
      </c>
      <c r="P11" s="9">
        <v>38820.0</v>
      </c>
      <c r="Q11" s="1" t="s">
        <v>75</v>
      </c>
      <c r="R11" s="1" t="s">
        <v>76</v>
      </c>
      <c r="S11" s="6">
        <v>2006.0</v>
      </c>
      <c r="T11" s="6">
        <v>4.0</v>
      </c>
      <c r="U11" s="1" t="s">
        <v>77</v>
      </c>
      <c r="V11" s="1" t="s">
        <v>78</v>
      </c>
      <c r="W11" s="6">
        <v>13.0</v>
      </c>
      <c r="X11" s="1" t="s">
        <v>150</v>
      </c>
      <c r="Y11" s="1" t="s">
        <v>151</v>
      </c>
      <c r="Z11" s="6">
        <v>11.3</v>
      </c>
      <c r="AA11" s="6">
        <v>133003.0</v>
      </c>
      <c r="AB11" s="10">
        <v>0.2</v>
      </c>
      <c r="AC11" s="1" t="s">
        <v>206</v>
      </c>
      <c r="AD11" s="1" t="s">
        <v>207</v>
      </c>
      <c r="AE11" s="1" t="s">
        <v>208</v>
      </c>
      <c r="AF11" s="1" t="s">
        <v>209</v>
      </c>
      <c r="AG11" s="1" t="s">
        <v>208</v>
      </c>
      <c r="AH11" s="1" t="s">
        <v>210</v>
      </c>
      <c r="AI11" s="6">
        <v>62712.0</v>
      </c>
      <c r="AJ11" s="1" t="s">
        <v>86</v>
      </c>
      <c r="AK11" s="1" t="s">
        <v>211</v>
      </c>
      <c r="AL11" s="1" t="s">
        <v>212</v>
      </c>
      <c r="AM11" s="11" t="str">
        <f>VLOOKUP(N11,Sheet3!$B$4:$C$10,2,1)</f>
        <v>31-40</v>
      </c>
      <c r="AN11" s="12" t="str">
        <f>VLOOKUP(Z11,Sheet3!$F$4:$G$10,2,1)</f>
        <v>11-20</v>
      </c>
      <c r="AO11" s="5" t="str">
        <f>VLOOKUP(AA11,Sheet3!$I$3:$J$16,2,1)</f>
        <v>120000-140000</v>
      </c>
      <c r="AP11" s="5" t="str">
        <f>VLOOKUP(AB11,Sheet3!$L$4:$M$14,2,1)</f>
        <v>16% - 20%</v>
      </c>
    </row>
    <row r="12">
      <c r="A12" s="6">
        <v>612850.0</v>
      </c>
      <c r="B12" s="1" t="s">
        <v>42</v>
      </c>
      <c r="C12" s="1" t="s">
        <v>213</v>
      </c>
      <c r="D12" s="1" t="s">
        <v>68</v>
      </c>
      <c r="E12" s="1" t="s">
        <v>214</v>
      </c>
      <c r="F12" s="1" t="s">
        <v>46</v>
      </c>
      <c r="G12" s="1" t="s">
        <v>215</v>
      </c>
      <c r="H12" s="1" t="s">
        <v>48</v>
      </c>
      <c r="I12" s="1" t="s">
        <v>216</v>
      </c>
      <c r="J12" s="1" t="s">
        <v>217</v>
      </c>
      <c r="K12" s="1" t="s">
        <v>218</v>
      </c>
      <c r="L12" s="14">
        <v>31686.0</v>
      </c>
      <c r="M12" s="8">
        <v>0.22385416666666666</v>
      </c>
      <c r="N12" s="6">
        <v>30.84</v>
      </c>
      <c r="O12" s="6">
        <v>48.0</v>
      </c>
      <c r="P12" s="9">
        <v>39557.0</v>
      </c>
      <c r="Q12" s="1" t="s">
        <v>75</v>
      </c>
      <c r="R12" s="1" t="s">
        <v>76</v>
      </c>
      <c r="S12" s="6">
        <v>2008.0</v>
      </c>
      <c r="T12" s="6">
        <v>4.0</v>
      </c>
      <c r="U12" s="1" t="s">
        <v>77</v>
      </c>
      <c r="V12" s="1" t="s">
        <v>78</v>
      </c>
      <c r="W12" s="6">
        <v>19.0</v>
      </c>
      <c r="X12" s="1" t="s">
        <v>56</v>
      </c>
      <c r="Y12" s="1" t="s">
        <v>57</v>
      </c>
      <c r="Z12" s="6">
        <v>9.28</v>
      </c>
      <c r="AA12" s="6">
        <v>154836.0</v>
      </c>
      <c r="AB12" s="10">
        <v>0.21</v>
      </c>
      <c r="AC12" s="1" t="s">
        <v>219</v>
      </c>
      <c r="AD12" s="1" t="s">
        <v>220</v>
      </c>
      <c r="AE12" s="1" t="s">
        <v>221</v>
      </c>
      <c r="AF12" s="1" t="s">
        <v>222</v>
      </c>
      <c r="AG12" s="1" t="s">
        <v>221</v>
      </c>
      <c r="AH12" s="1" t="s">
        <v>223</v>
      </c>
      <c r="AI12" s="6">
        <v>17752.0</v>
      </c>
      <c r="AJ12" s="1" t="s">
        <v>224</v>
      </c>
      <c r="AK12" s="1" t="s">
        <v>225</v>
      </c>
      <c r="AL12" s="1" t="s">
        <v>226</v>
      </c>
      <c r="AM12" s="11" t="str">
        <f>VLOOKUP(N12,Sheet3!$B$4:$C$10,2,1)</f>
        <v>21-30</v>
      </c>
      <c r="AN12" s="12" t="str">
        <f>VLOOKUP(Z12,Sheet3!$F$4:$G$10,2,1)</f>
        <v>5-10</v>
      </c>
      <c r="AO12" s="5" t="str">
        <f>VLOOKUP(AA12,Sheet3!$I$3:$J$16,2,1)</f>
        <v>140000-160000</v>
      </c>
      <c r="AP12" s="5" t="str">
        <f>VLOOKUP(AB12,Sheet3!$L$4:$M$14,2,1)</f>
        <v>21% - 25%</v>
      </c>
    </row>
    <row r="13">
      <c r="A13" s="6">
        <v>483751.0</v>
      </c>
      <c r="B13" s="1" t="s">
        <v>227</v>
      </c>
      <c r="C13" s="1" t="s">
        <v>228</v>
      </c>
      <c r="D13" s="1" t="s">
        <v>46</v>
      </c>
      <c r="E13" s="1" t="s">
        <v>229</v>
      </c>
      <c r="F13" s="1" t="s">
        <v>70</v>
      </c>
      <c r="G13" s="1" t="s">
        <v>230</v>
      </c>
      <c r="H13" s="1" t="s">
        <v>48</v>
      </c>
      <c r="I13" s="1" t="s">
        <v>231</v>
      </c>
      <c r="J13" s="1" t="s">
        <v>232</v>
      </c>
      <c r="K13" s="1" t="s">
        <v>233</v>
      </c>
      <c r="L13" s="9">
        <v>32528.0</v>
      </c>
      <c r="M13" s="8">
        <v>0.9857754629629629</v>
      </c>
      <c r="N13" s="6">
        <v>28.54</v>
      </c>
      <c r="O13" s="6">
        <v>78.0</v>
      </c>
      <c r="P13" s="14">
        <v>42833.0</v>
      </c>
      <c r="Q13" s="1" t="s">
        <v>75</v>
      </c>
      <c r="R13" s="1" t="s">
        <v>76</v>
      </c>
      <c r="S13" s="6">
        <v>2017.0</v>
      </c>
      <c r="T13" s="6">
        <v>4.0</v>
      </c>
      <c r="U13" s="1" t="s">
        <v>77</v>
      </c>
      <c r="V13" s="1" t="s">
        <v>78</v>
      </c>
      <c r="W13" s="6">
        <v>8.0</v>
      </c>
      <c r="X13" s="1" t="s">
        <v>56</v>
      </c>
      <c r="Y13" s="1" t="s">
        <v>57</v>
      </c>
      <c r="Z13" s="6">
        <v>0.3</v>
      </c>
      <c r="AA13" s="6">
        <v>124757.0</v>
      </c>
      <c r="AB13" s="10">
        <v>0.17</v>
      </c>
      <c r="AC13" s="1" t="s">
        <v>234</v>
      </c>
      <c r="AD13" s="1" t="s">
        <v>235</v>
      </c>
      <c r="AE13" s="1" t="s">
        <v>236</v>
      </c>
      <c r="AF13" s="1" t="s">
        <v>237</v>
      </c>
      <c r="AG13" s="1" t="s">
        <v>236</v>
      </c>
      <c r="AH13" s="1" t="s">
        <v>238</v>
      </c>
      <c r="AI13" s="6">
        <v>91331.0</v>
      </c>
      <c r="AJ13" s="1" t="s">
        <v>63</v>
      </c>
      <c r="AK13" s="1" t="s">
        <v>239</v>
      </c>
      <c r="AL13" s="1" t="s">
        <v>240</v>
      </c>
      <c r="AM13" s="11" t="str">
        <f>VLOOKUP(N13,Sheet3!$B$4:$C$10,2,1)</f>
        <v>21-30</v>
      </c>
      <c r="AN13" s="13" t="str">
        <f>VLOOKUP(Z13,Sheet3!$F$4:$G$10,2,1)</f>
        <v>&lt; 5</v>
      </c>
      <c r="AO13" s="5" t="str">
        <f>VLOOKUP(AA13,Sheet3!$I$3:$J$16,2,1)</f>
        <v>120000-140000</v>
      </c>
      <c r="AP13" s="5" t="str">
        <f>VLOOKUP(AB13,Sheet3!$L$4:$M$14,2,1)</f>
        <v>16% - 20%</v>
      </c>
    </row>
    <row r="14">
      <c r="A14" s="6">
        <v>252938.0</v>
      </c>
      <c r="B14" s="1" t="s">
        <v>125</v>
      </c>
      <c r="C14" s="1" t="s">
        <v>241</v>
      </c>
      <c r="D14" s="1" t="s">
        <v>242</v>
      </c>
      <c r="E14" s="1" t="s">
        <v>243</v>
      </c>
      <c r="F14" s="1" t="s">
        <v>70</v>
      </c>
      <c r="G14" s="1" t="s">
        <v>244</v>
      </c>
      <c r="H14" s="1" t="s">
        <v>48</v>
      </c>
      <c r="I14" s="1" t="s">
        <v>245</v>
      </c>
      <c r="J14" s="1" t="s">
        <v>246</v>
      </c>
      <c r="K14" s="1" t="s">
        <v>247</v>
      </c>
      <c r="L14" s="9">
        <v>35117.0</v>
      </c>
      <c r="M14" s="8">
        <v>0.7702662037037037</v>
      </c>
      <c r="N14" s="6">
        <v>21.44</v>
      </c>
      <c r="O14" s="6">
        <v>61.0</v>
      </c>
      <c r="P14" s="9">
        <v>42843.0</v>
      </c>
      <c r="Q14" s="1" t="s">
        <v>75</v>
      </c>
      <c r="R14" s="1" t="s">
        <v>76</v>
      </c>
      <c r="S14" s="6">
        <v>2017.0</v>
      </c>
      <c r="T14" s="6">
        <v>4.0</v>
      </c>
      <c r="U14" s="1" t="s">
        <v>77</v>
      </c>
      <c r="V14" s="1" t="s">
        <v>78</v>
      </c>
      <c r="W14" s="6">
        <v>18.0</v>
      </c>
      <c r="X14" s="1" t="s">
        <v>79</v>
      </c>
      <c r="Y14" s="1" t="s">
        <v>80</v>
      </c>
      <c r="Z14" s="6">
        <v>0.28</v>
      </c>
      <c r="AA14" s="6">
        <v>58733.0</v>
      </c>
      <c r="AB14" s="10">
        <v>0.24</v>
      </c>
      <c r="AC14" s="1" t="s">
        <v>248</v>
      </c>
      <c r="AD14" s="1" t="s">
        <v>249</v>
      </c>
      <c r="AE14" s="1" t="s">
        <v>250</v>
      </c>
      <c r="AF14" s="1" t="s">
        <v>251</v>
      </c>
      <c r="AG14" s="1" t="s">
        <v>250</v>
      </c>
      <c r="AH14" s="1" t="s">
        <v>252</v>
      </c>
      <c r="AI14" s="6">
        <v>97013.0</v>
      </c>
      <c r="AJ14" s="1" t="s">
        <v>63</v>
      </c>
      <c r="AK14" s="1" t="s">
        <v>253</v>
      </c>
      <c r="AL14" s="1" t="s">
        <v>254</v>
      </c>
      <c r="AM14" s="11" t="str">
        <f>VLOOKUP(N14,Sheet3!$B$4:$C$10,2,1)</f>
        <v>21-30</v>
      </c>
      <c r="AN14" s="13" t="str">
        <f>VLOOKUP(Z14,Sheet3!$F$4:$G$10,2,1)</f>
        <v>&lt; 5</v>
      </c>
      <c r="AO14" s="5" t="str">
        <f>VLOOKUP(AA14,Sheet3!$I$3:$J$16,2,1)</f>
        <v>40000-60000</v>
      </c>
      <c r="AP14" s="5" t="str">
        <f>VLOOKUP(AB14,Sheet3!$L$4:$M$14,2,1)</f>
        <v>21% - 25%</v>
      </c>
    </row>
    <row r="15">
      <c r="A15" s="6">
        <v>966375.0</v>
      </c>
      <c r="B15" s="1" t="s">
        <v>255</v>
      </c>
      <c r="C15" s="1" t="s">
        <v>256</v>
      </c>
      <c r="D15" s="1" t="s">
        <v>257</v>
      </c>
      <c r="E15" s="1" t="s">
        <v>258</v>
      </c>
      <c r="F15" s="1" t="s">
        <v>70</v>
      </c>
      <c r="G15" s="1" t="s">
        <v>259</v>
      </c>
      <c r="H15" s="1" t="s">
        <v>48</v>
      </c>
      <c r="I15" s="1" t="s">
        <v>260</v>
      </c>
      <c r="J15" s="1" t="s">
        <v>261</v>
      </c>
      <c r="K15" s="1" t="s">
        <v>262</v>
      </c>
      <c r="L15" s="14">
        <v>34885.0</v>
      </c>
      <c r="M15" s="8">
        <v>0.6421759259259259</v>
      </c>
      <c r="N15" s="6">
        <v>22.08</v>
      </c>
      <c r="O15" s="6">
        <v>89.0</v>
      </c>
      <c r="P15" s="7">
        <v>42685.0</v>
      </c>
      <c r="Q15" s="1" t="s">
        <v>52</v>
      </c>
      <c r="R15" s="1" t="s">
        <v>53</v>
      </c>
      <c r="S15" s="6">
        <v>2016.0</v>
      </c>
      <c r="T15" s="6">
        <v>11.0</v>
      </c>
      <c r="U15" s="1" t="s">
        <v>148</v>
      </c>
      <c r="V15" s="1" t="s">
        <v>149</v>
      </c>
      <c r="W15" s="6">
        <v>11.0</v>
      </c>
      <c r="X15" s="1" t="s">
        <v>263</v>
      </c>
      <c r="Y15" s="1" t="s">
        <v>264</v>
      </c>
      <c r="Z15" s="6">
        <v>0.71</v>
      </c>
      <c r="AA15" s="6">
        <v>75584.0</v>
      </c>
      <c r="AB15" s="10">
        <v>0.14</v>
      </c>
      <c r="AC15" s="1" t="s">
        <v>265</v>
      </c>
      <c r="AD15" s="1" t="s">
        <v>266</v>
      </c>
      <c r="AE15" s="1" t="s">
        <v>267</v>
      </c>
      <c r="AF15" s="1" t="s">
        <v>237</v>
      </c>
      <c r="AG15" s="1" t="s">
        <v>267</v>
      </c>
      <c r="AH15" s="1" t="s">
        <v>238</v>
      </c>
      <c r="AI15" s="6">
        <v>91404.0</v>
      </c>
      <c r="AJ15" s="1" t="s">
        <v>63</v>
      </c>
      <c r="AK15" s="1" t="s">
        <v>268</v>
      </c>
      <c r="AL15" s="1" t="s">
        <v>269</v>
      </c>
      <c r="AM15" s="11" t="str">
        <f>VLOOKUP(N15,Sheet3!$B$4:$C$10,2,1)</f>
        <v>21-30</v>
      </c>
      <c r="AN15" s="13" t="str">
        <f>VLOOKUP(Z15,Sheet3!$F$4:$G$10,2,1)</f>
        <v>&lt; 5</v>
      </c>
      <c r="AO15" s="5" t="str">
        <f>VLOOKUP(AA15,Sheet3!$I$3:$J$16,2,1)</f>
        <v>60000-80000</v>
      </c>
      <c r="AP15" s="5" t="str">
        <f>VLOOKUP(AB15,Sheet3!$L$4:$M$14,2,1)</f>
        <v>11% - 15%</v>
      </c>
    </row>
    <row r="16">
      <c r="A16" s="6">
        <v>707520.0</v>
      </c>
      <c r="B16" s="1" t="s">
        <v>66</v>
      </c>
      <c r="C16" s="1" t="s">
        <v>270</v>
      </c>
      <c r="D16" s="1" t="s">
        <v>127</v>
      </c>
      <c r="E16" s="1" t="s">
        <v>271</v>
      </c>
      <c r="F16" s="1" t="s">
        <v>70</v>
      </c>
      <c r="G16" s="1" t="s">
        <v>272</v>
      </c>
      <c r="H16" s="1" t="s">
        <v>48</v>
      </c>
      <c r="I16" s="1" t="s">
        <v>273</v>
      </c>
      <c r="J16" s="1" t="s">
        <v>274</v>
      </c>
      <c r="K16" s="1" t="s">
        <v>275</v>
      </c>
      <c r="L16" s="14">
        <v>27427.0</v>
      </c>
      <c r="M16" s="8">
        <v>0.9709027777777778</v>
      </c>
      <c r="N16" s="6">
        <v>42.51</v>
      </c>
      <c r="O16" s="6">
        <v>64.0</v>
      </c>
      <c r="P16" s="9">
        <v>38378.0</v>
      </c>
      <c r="Q16" s="1" t="s">
        <v>96</v>
      </c>
      <c r="R16" s="1" t="s">
        <v>76</v>
      </c>
      <c r="S16" s="6">
        <v>2005.0</v>
      </c>
      <c r="T16" s="6">
        <v>1.0</v>
      </c>
      <c r="U16" s="1" t="s">
        <v>276</v>
      </c>
      <c r="V16" s="1" t="s">
        <v>277</v>
      </c>
      <c r="W16" s="6">
        <v>26.0</v>
      </c>
      <c r="X16" s="1" t="s">
        <v>278</v>
      </c>
      <c r="Y16" s="1" t="s">
        <v>279</v>
      </c>
      <c r="Z16" s="6">
        <v>12.51</v>
      </c>
      <c r="AA16" s="6">
        <v>118693.0</v>
      </c>
      <c r="AB16" s="10">
        <v>0.15</v>
      </c>
      <c r="AC16" s="1" t="s">
        <v>280</v>
      </c>
      <c r="AD16" s="1" t="s">
        <v>281</v>
      </c>
      <c r="AE16" s="1" t="s">
        <v>282</v>
      </c>
      <c r="AF16" s="1" t="s">
        <v>283</v>
      </c>
      <c r="AG16" s="1" t="s">
        <v>282</v>
      </c>
      <c r="AH16" s="1" t="s">
        <v>284</v>
      </c>
      <c r="AI16" s="6">
        <v>50197.0</v>
      </c>
      <c r="AJ16" s="1" t="s">
        <v>86</v>
      </c>
      <c r="AK16" s="1" t="s">
        <v>285</v>
      </c>
      <c r="AL16" s="1" t="s">
        <v>286</v>
      </c>
      <c r="AM16" s="11" t="str">
        <f>VLOOKUP(N16,Sheet3!$B$4:$C$10,2,1)</f>
        <v>41-50</v>
      </c>
      <c r="AN16" s="12" t="str">
        <f>VLOOKUP(Z16,Sheet3!$F$4:$G$10,2,1)</f>
        <v>11-20</v>
      </c>
      <c r="AO16" s="5" t="str">
        <f>VLOOKUP(AA16,Sheet3!$I$3:$J$16,2,1)</f>
        <v>100000-120000</v>
      </c>
      <c r="AP16" s="5" t="str">
        <f>VLOOKUP(AB16,Sheet3!$L$4:$M$14,2,1)</f>
        <v>11% - 15%</v>
      </c>
    </row>
    <row r="17">
      <c r="A17" s="6">
        <v>673049.0</v>
      </c>
      <c r="B17" s="1" t="s">
        <v>255</v>
      </c>
      <c r="C17" s="1" t="s">
        <v>287</v>
      </c>
      <c r="D17" s="1" t="s">
        <v>288</v>
      </c>
      <c r="E17" s="1" t="s">
        <v>289</v>
      </c>
      <c r="F17" s="1" t="s">
        <v>70</v>
      </c>
      <c r="G17" s="1" t="s">
        <v>290</v>
      </c>
      <c r="H17" s="1" t="s">
        <v>48</v>
      </c>
      <c r="I17" s="1" t="s">
        <v>291</v>
      </c>
      <c r="J17" s="1" t="s">
        <v>292</v>
      </c>
      <c r="K17" s="1" t="s">
        <v>293</v>
      </c>
      <c r="L17" s="14">
        <v>32914.0</v>
      </c>
      <c r="M17" s="8">
        <v>0.8166782407407407</v>
      </c>
      <c r="N17" s="6">
        <v>27.48</v>
      </c>
      <c r="O17" s="6">
        <v>74.0</v>
      </c>
      <c r="P17" s="9">
        <v>40693.0</v>
      </c>
      <c r="Q17" s="1" t="s">
        <v>75</v>
      </c>
      <c r="R17" s="1" t="s">
        <v>76</v>
      </c>
      <c r="S17" s="6">
        <v>2011.0</v>
      </c>
      <c r="T17" s="6">
        <v>5.0</v>
      </c>
      <c r="U17" s="1" t="s">
        <v>294</v>
      </c>
      <c r="V17" s="1" t="s">
        <v>294</v>
      </c>
      <c r="W17" s="6">
        <v>30.0</v>
      </c>
      <c r="X17" s="1" t="s">
        <v>99</v>
      </c>
      <c r="Y17" s="1" t="s">
        <v>100</v>
      </c>
      <c r="Z17" s="6">
        <v>6.17</v>
      </c>
      <c r="AA17" s="6">
        <v>98381.0</v>
      </c>
      <c r="AB17" s="10">
        <v>0.22</v>
      </c>
      <c r="AC17" s="1" t="s">
        <v>295</v>
      </c>
      <c r="AD17" s="1" t="s">
        <v>296</v>
      </c>
      <c r="AE17" s="1" t="s">
        <v>297</v>
      </c>
      <c r="AF17" s="1" t="s">
        <v>298</v>
      </c>
      <c r="AG17" s="1" t="s">
        <v>297</v>
      </c>
      <c r="AH17" s="1" t="s">
        <v>299</v>
      </c>
      <c r="AI17" s="6">
        <v>73184.0</v>
      </c>
      <c r="AJ17" s="1" t="s">
        <v>106</v>
      </c>
      <c r="AK17" s="1" t="s">
        <v>300</v>
      </c>
      <c r="AL17" s="1" t="s">
        <v>301</v>
      </c>
      <c r="AM17" s="11" t="str">
        <f>VLOOKUP(N17,Sheet3!$B$4:$C$10,2,1)</f>
        <v>21-30</v>
      </c>
      <c r="AN17" s="12" t="str">
        <f>VLOOKUP(Z17,Sheet3!$F$4:$G$10,2,1)</f>
        <v>5-10</v>
      </c>
      <c r="AO17" s="5" t="str">
        <f>VLOOKUP(AA17,Sheet3!$I$3:$J$16,2,1)</f>
        <v>80000-100000</v>
      </c>
      <c r="AP17" s="5" t="str">
        <f>VLOOKUP(AB17,Sheet3!$L$4:$M$14,2,1)</f>
        <v>21% - 25%</v>
      </c>
    </row>
    <row r="18">
      <c r="A18" s="6">
        <v>265124.0</v>
      </c>
      <c r="B18" s="1" t="s">
        <v>42</v>
      </c>
      <c r="C18" s="1" t="s">
        <v>302</v>
      </c>
      <c r="D18" s="1" t="s">
        <v>186</v>
      </c>
      <c r="E18" s="1" t="s">
        <v>303</v>
      </c>
      <c r="F18" s="1" t="s">
        <v>46</v>
      </c>
      <c r="G18" s="1" t="s">
        <v>304</v>
      </c>
      <c r="H18" s="1" t="s">
        <v>48</v>
      </c>
      <c r="I18" s="1" t="s">
        <v>305</v>
      </c>
      <c r="J18" s="1" t="s">
        <v>306</v>
      </c>
      <c r="K18" s="1" t="s">
        <v>307</v>
      </c>
      <c r="L18" s="9">
        <v>31156.0</v>
      </c>
      <c r="M18" s="8">
        <v>0.9472453703703704</v>
      </c>
      <c r="N18" s="6">
        <v>32.3</v>
      </c>
      <c r="O18" s="6">
        <v>50.0</v>
      </c>
      <c r="P18" s="14">
        <v>41894.0</v>
      </c>
      <c r="Q18" s="1" t="s">
        <v>308</v>
      </c>
      <c r="R18" s="1" t="s">
        <v>53</v>
      </c>
      <c r="S18" s="6">
        <v>2014.0</v>
      </c>
      <c r="T18" s="6">
        <v>9.0</v>
      </c>
      <c r="U18" s="1" t="s">
        <v>309</v>
      </c>
      <c r="V18" s="1" t="s">
        <v>310</v>
      </c>
      <c r="W18" s="6">
        <v>12.0</v>
      </c>
      <c r="X18" s="1" t="s">
        <v>263</v>
      </c>
      <c r="Y18" s="1" t="s">
        <v>264</v>
      </c>
      <c r="Z18" s="6">
        <v>2.88</v>
      </c>
      <c r="AA18" s="6">
        <v>102274.0</v>
      </c>
      <c r="AB18" s="10">
        <v>0.19</v>
      </c>
      <c r="AC18" s="1" t="s">
        <v>311</v>
      </c>
      <c r="AD18" s="1" t="s">
        <v>312</v>
      </c>
      <c r="AE18" s="1" t="s">
        <v>313</v>
      </c>
      <c r="AF18" s="1" t="s">
        <v>314</v>
      </c>
      <c r="AG18" s="1" t="s">
        <v>313</v>
      </c>
      <c r="AH18" s="1" t="s">
        <v>238</v>
      </c>
      <c r="AI18" s="6">
        <v>93626.0</v>
      </c>
      <c r="AJ18" s="1" t="s">
        <v>63</v>
      </c>
      <c r="AK18" s="1" t="s">
        <v>315</v>
      </c>
      <c r="AL18" s="1" t="s">
        <v>316</v>
      </c>
      <c r="AM18" s="11" t="str">
        <f>VLOOKUP(N18,Sheet3!$B$4:$C$10,2,1)</f>
        <v>31-40</v>
      </c>
      <c r="AN18" s="13" t="str">
        <f>VLOOKUP(Z18,Sheet3!$F$4:$G$10,2,1)</f>
        <v>&lt; 5</v>
      </c>
      <c r="AO18" s="5" t="str">
        <f>VLOOKUP(AA18,Sheet3!$I$3:$J$16,2,1)</f>
        <v>100000-120000</v>
      </c>
      <c r="AP18" s="5" t="str">
        <f>VLOOKUP(AB18,Sheet3!$L$4:$M$14,2,1)</f>
        <v>16% - 20%</v>
      </c>
    </row>
    <row r="19">
      <c r="A19" s="6">
        <v>300693.0</v>
      </c>
      <c r="B19" s="1" t="s">
        <v>66</v>
      </c>
      <c r="C19" s="1" t="s">
        <v>317</v>
      </c>
      <c r="D19" s="1" t="s">
        <v>318</v>
      </c>
      <c r="E19" s="1" t="s">
        <v>319</v>
      </c>
      <c r="F19" s="1" t="s">
        <v>70</v>
      </c>
      <c r="G19" s="1" t="s">
        <v>320</v>
      </c>
      <c r="H19" s="1" t="s">
        <v>48</v>
      </c>
      <c r="I19" s="1" t="s">
        <v>321</v>
      </c>
      <c r="J19" s="1" t="s">
        <v>322</v>
      </c>
      <c r="K19" s="1" t="s">
        <v>323</v>
      </c>
      <c r="L19" s="9">
        <v>31949.0</v>
      </c>
      <c r="M19" s="8">
        <v>0.21582175925925925</v>
      </c>
      <c r="N19" s="6">
        <v>30.12</v>
      </c>
      <c r="O19" s="6">
        <v>76.0</v>
      </c>
      <c r="P19" s="14">
        <v>42160.0</v>
      </c>
      <c r="Q19" s="1" t="s">
        <v>75</v>
      </c>
      <c r="R19" s="1" t="s">
        <v>76</v>
      </c>
      <c r="S19" s="6">
        <v>2015.0</v>
      </c>
      <c r="T19" s="6">
        <v>6.0</v>
      </c>
      <c r="U19" s="1" t="s">
        <v>324</v>
      </c>
      <c r="V19" s="1" t="s">
        <v>325</v>
      </c>
      <c r="W19" s="6">
        <v>5.0</v>
      </c>
      <c r="X19" s="1" t="s">
        <v>263</v>
      </c>
      <c r="Y19" s="1" t="s">
        <v>264</v>
      </c>
      <c r="Z19" s="6">
        <v>2.15</v>
      </c>
      <c r="AA19" s="6">
        <v>91719.0</v>
      </c>
      <c r="AB19" s="10">
        <v>0.03</v>
      </c>
      <c r="AC19" s="1" t="s">
        <v>326</v>
      </c>
      <c r="AD19" s="1" t="s">
        <v>327</v>
      </c>
      <c r="AE19" s="1" t="s">
        <v>328</v>
      </c>
      <c r="AF19" s="1" t="s">
        <v>329</v>
      </c>
      <c r="AG19" s="1" t="s">
        <v>328</v>
      </c>
      <c r="AH19" s="1" t="s">
        <v>330</v>
      </c>
      <c r="AI19" s="6">
        <v>20670.0</v>
      </c>
      <c r="AJ19" s="1" t="s">
        <v>106</v>
      </c>
      <c r="AK19" s="1" t="s">
        <v>331</v>
      </c>
      <c r="AL19" s="1" t="s">
        <v>332</v>
      </c>
      <c r="AM19" s="11" t="str">
        <f>VLOOKUP(N19,Sheet3!$B$4:$C$10,2,1)</f>
        <v>21-30</v>
      </c>
      <c r="AN19" s="13" t="str">
        <f>VLOOKUP(Z19,Sheet3!$F$4:$G$10,2,1)</f>
        <v>&lt; 5</v>
      </c>
      <c r="AO19" s="5" t="str">
        <f>VLOOKUP(AA19,Sheet3!$I$3:$J$16,2,1)</f>
        <v>80000-100000</v>
      </c>
      <c r="AP19" s="5" t="str">
        <f>VLOOKUP(AB19,Sheet3!$L$4:$M$14,2,1)</f>
        <v>&lt; 5%</v>
      </c>
    </row>
    <row r="20">
      <c r="A20" s="6">
        <v>369712.0</v>
      </c>
      <c r="B20" s="1" t="s">
        <v>109</v>
      </c>
      <c r="C20" s="1" t="s">
        <v>333</v>
      </c>
      <c r="D20" s="1" t="s">
        <v>334</v>
      </c>
      <c r="E20" s="1" t="s">
        <v>335</v>
      </c>
      <c r="F20" s="1" t="s">
        <v>46</v>
      </c>
      <c r="G20" s="1" t="s">
        <v>336</v>
      </c>
      <c r="H20" s="1" t="s">
        <v>48</v>
      </c>
      <c r="I20" s="1" t="s">
        <v>337</v>
      </c>
      <c r="J20" s="1" t="s">
        <v>338</v>
      </c>
      <c r="K20" s="1" t="s">
        <v>339</v>
      </c>
      <c r="L20" s="9">
        <v>24926.0</v>
      </c>
      <c r="M20" s="8">
        <v>0.6838541666666667</v>
      </c>
      <c r="N20" s="6">
        <v>49.36</v>
      </c>
      <c r="O20" s="6">
        <v>41.0</v>
      </c>
      <c r="P20" s="14">
        <v>34396.0</v>
      </c>
      <c r="Q20" s="1" t="s">
        <v>96</v>
      </c>
      <c r="R20" s="1" t="s">
        <v>76</v>
      </c>
      <c r="S20" s="6">
        <v>1994.0</v>
      </c>
      <c r="T20" s="6">
        <v>3.0</v>
      </c>
      <c r="U20" s="1" t="s">
        <v>97</v>
      </c>
      <c r="V20" s="1" t="s">
        <v>98</v>
      </c>
      <c r="W20" s="6">
        <v>3.0</v>
      </c>
      <c r="X20" s="1" t="s">
        <v>150</v>
      </c>
      <c r="Y20" s="1" t="s">
        <v>151</v>
      </c>
      <c r="Z20" s="6">
        <v>23.42</v>
      </c>
      <c r="AA20" s="6">
        <v>150016.0</v>
      </c>
      <c r="AB20" s="10">
        <v>0.04</v>
      </c>
      <c r="AC20" s="1" t="s">
        <v>340</v>
      </c>
      <c r="AD20" s="1" t="s">
        <v>341</v>
      </c>
      <c r="AE20" s="1" t="s">
        <v>342</v>
      </c>
      <c r="AF20" s="1" t="s">
        <v>343</v>
      </c>
      <c r="AG20" s="1" t="s">
        <v>342</v>
      </c>
      <c r="AH20" s="1" t="s">
        <v>330</v>
      </c>
      <c r="AI20" s="6">
        <v>21136.0</v>
      </c>
      <c r="AJ20" s="1" t="s">
        <v>106</v>
      </c>
      <c r="AK20" s="1" t="s">
        <v>344</v>
      </c>
      <c r="AL20" s="1" t="s">
        <v>345</v>
      </c>
      <c r="AM20" s="11" t="str">
        <f>VLOOKUP(N20,Sheet3!$B$4:$C$10,2,1)</f>
        <v>41-50</v>
      </c>
      <c r="AN20" s="13" t="str">
        <f>VLOOKUP(Z20,Sheet3!$F$4:$G$10,2,1)</f>
        <v>21-30</v>
      </c>
      <c r="AO20" s="5" t="str">
        <f>VLOOKUP(AA20,Sheet3!$I$3:$J$16,2,1)</f>
        <v>140000-160000</v>
      </c>
      <c r="AP20" s="5" t="str">
        <f>VLOOKUP(AB20,Sheet3!$L$4:$M$14,2,1)</f>
        <v>&lt; 5%</v>
      </c>
    </row>
    <row r="21">
      <c r="A21" s="6">
        <v>913253.0</v>
      </c>
      <c r="B21" s="1" t="s">
        <v>66</v>
      </c>
      <c r="C21" s="1" t="s">
        <v>346</v>
      </c>
      <c r="D21" s="1" t="s">
        <v>334</v>
      </c>
      <c r="E21" s="1" t="s">
        <v>347</v>
      </c>
      <c r="F21" s="1" t="s">
        <v>70</v>
      </c>
      <c r="G21" s="1" t="s">
        <v>348</v>
      </c>
      <c r="H21" s="1" t="s">
        <v>48</v>
      </c>
      <c r="I21" s="1" t="s">
        <v>349</v>
      </c>
      <c r="J21" s="1" t="s">
        <v>350</v>
      </c>
      <c r="K21" s="1" t="s">
        <v>351</v>
      </c>
      <c r="L21" s="9">
        <v>26441.0</v>
      </c>
      <c r="M21" s="8">
        <v>0.6783912037037036</v>
      </c>
      <c r="N21" s="6">
        <v>45.21</v>
      </c>
      <c r="O21" s="6">
        <v>87.0</v>
      </c>
      <c r="P21" s="9">
        <v>38290.0</v>
      </c>
      <c r="Q21" s="1" t="s">
        <v>52</v>
      </c>
      <c r="R21" s="1" t="s">
        <v>53</v>
      </c>
      <c r="S21" s="6">
        <v>2004.0</v>
      </c>
      <c r="T21" s="6">
        <v>10.0</v>
      </c>
      <c r="U21" s="1" t="s">
        <v>133</v>
      </c>
      <c r="V21" s="1" t="s">
        <v>134</v>
      </c>
      <c r="W21" s="6">
        <v>30.0</v>
      </c>
      <c r="X21" s="1" t="s">
        <v>56</v>
      </c>
      <c r="Y21" s="1" t="s">
        <v>57</v>
      </c>
      <c r="Z21" s="6">
        <v>12.75</v>
      </c>
      <c r="AA21" s="6">
        <v>125232.0</v>
      </c>
      <c r="AB21" s="10">
        <v>0.05</v>
      </c>
      <c r="AC21" s="1" t="s">
        <v>352</v>
      </c>
      <c r="AD21" s="1" t="s">
        <v>353</v>
      </c>
      <c r="AE21" s="1" t="s">
        <v>354</v>
      </c>
      <c r="AF21" s="1" t="s">
        <v>355</v>
      </c>
      <c r="AG21" s="1" t="s">
        <v>354</v>
      </c>
      <c r="AH21" s="1" t="s">
        <v>356</v>
      </c>
      <c r="AI21" s="6">
        <v>12124.0</v>
      </c>
      <c r="AJ21" s="1" t="s">
        <v>224</v>
      </c>
      <c r="AK21" s="1" t="s">
        <v>357</v>
      </c>
      <c r="AL21" s="1" t="s">
        <v>358</v>
      </c>
      <c r="AM21" s="11" t="str">
        <f>VLOOKUP(N21,Sheet3!$B$4:$C$10,2,1)</f>
        <v>41-50</v>
      </c>
      <c r="AN21" s="12" t="str">
        <f>VLOOKUP(Z21,Sheet3!$F$4:$G$10,2,1)</f>
        <v>11-20</v>
      </c>
      <c r="AO21" s="5" t="str">
        <f>VLOOKUP(AA21,Sheet3!$I$3:$J$16,2,1)</f>
        <v>120000-140000</v>
      </c>
      <c r="AP21" s="5" t="str">
        <f>VLOOKUP(AB21,Sheet3!$L$4:$M$14,2,1)</f>
        <v>5% - 10%</v>
      </c>
    </row>
    <row r="22">
      <c r="A22" s="6">
        <v>308617.0</v>
      </c>
      <c r="B22" s="1" t="s">
        <v>109</v>
      </c>
      <c r="C22" s="1" t="s">
        <v>359</v>
      </c>
      <c r="D22" s="1" t="s">
        <v>360</v>
      </c>
      <c r="E22" s="1" t="s">
        <v>361</v>
      </c>
      <c r="F22" s="1" t="s">
        <v>46</v>
      </c>
      <c r="G22" s="1" t="s">
        <v>362</v>
      </c>
      <c r="H22" s="1" t="s">
        <v>48</v>
      </c>
      <c r="I22" s="1" t="s">
        <v>363</v>
      </c>
      <c r="J22" s="1" t="s">
        <v>364</v>
      </c>
      <c r="K22" s="1" t="s">
        <v>365</v>
      </c>
      <c r="L22" s="14">
        <v>31751.0</v>
      </c>
      <c r="M22" s="8">
        <v>0.4710300925925926</v>
      </c>
      <c r="N22" s="6">
        <v>30.67</v>
      </c>
      <c r="O22" s="6">
        <v>49.0</v>
      </c>
      <c r="P22" s="9">
        <v>40012.0</v>
      </c>
      <c r="Q22" s="1" t="s">
        <v>308</v>
      </c>
      <c r="R22" s="1" t="s">
        <v>53</v>
      </c>
      <c r="S22" s="6">
        <v>2009.0</v>
      </c>
      <c r="T22" s="6">
        <v>7.0</v>
      </c>
      <c r="U22" s="1" t="s">
        <v>366</v>
      </c>
      <c r="V22" s="1" t="s">
        <v>367</v>
      </c>
      <c r="W22" s="6">
        <v>18.0</v>
      </c>
      <c r="X22" s="1" t="s">
        <v>56</v>
      </c>
      <c r="Y22" s="1" t="s">
        <v>57</v>
      </c>
      <c r="Z22" s="6">
        <v>8.03</v>
      </c>
      <c r="AA22" s="6">
        <v>179264.0</v>
      </c>
      <c r="AB22" s="10">
        <v>0.13</v>
      </c>
      <c r="AC22" s="1" t="s">
        <v>368</v>
      </c>
      <c r="AD22" s="1" t="s">
        <v>369</v>
      </c>
      <c r="AE22" s="1" t="s">
        <v>370</v>
      </c>
      <c r="AF22" s="1" t="s">
        <v>371</v>
      </c>
      <c r="AG22" s="1" t="s">
        <v>370</v>
      </c>
      <c r="AH22" s="1" t="s">
        <v>372</v>
      </c>
      <c r="AI22" s="6">
        <v>68029.0</v>
      </c>
      <c r="AJ22" s="1" t="s">
        <v>86</v>
      </c>
      <c r="AK22" s="1" t="s">
        <v>373</v>
      </c>
      <c r="AL22" s="1" t="s">
        <v>374</v>
      </c>
      <c r="AM22" s="11" t="str">
        <f>VLOOKUP(N22,Sheet3!$B$4:$C$10,2,1)</f>
        <v>21-30</v>
      </c>
      <c r="AN22" s="12" t="str">
        <f>VLOOKUP(Z22,Sheet3!$F$4:$G$10,2,1)</f>
        <v>5-10</v>
      </c>
      <c r="AO22" s="5" t="str">
        <f>VLOOKUP(AA22,Sheet3!$I$3:$J$16,2,1)</f>
        <v>160000-180000</v>
      </c>
      <c r="AP22" s="5" t="str">
        <f>VLOOKUP(AB22,Sheet3!$L$4:$M$14,2,1)</f>
        <v>11% - 15%</v>
      </c>
    </row>
    <row r="23">
      <c r="A23" s="6">
        <v>766783.0</v>
      </c>
      <c r="B23" s="1" t="s">
        <v>109</v>
      </c>
      <c r="C23" s="1" t="s">
        <v>375</v>
      </c>
      <c r="D23" s="1" t="s">
        <v>318</v>
      </c>
      <c r="E23" s="1" t="s">
        <v>376</v>
      </c>
      <c r="F23" s="1" t="s">
        <v>46</v>
      </c>
      <c r="G23" s="1" t="s">
        <v>377</v>
      </c>
      <c r="H23" s="1" t="s">
        <v>48</v>
      </c>
      <c r="I23" s="1" t="s">
        <v>378</v>
      </c>
      <c r="J23" s="1" t="s">
        <v>379</v>
      </c>
      <c r="K23" s="1" t="s">
        <v>380</v>
      </c>
      <c r="L23" s="9">
        <v>25981.0</v>
      </c>
      <c r="M23" s="8">
        <v>0.3657060185185185</v>
      </c>
      <c r="N23" s="6">
        <v>46.47</v>
      </c>
      <c r="O23" s="6">
        <v>48.0</v>
      </c>
      <c r="P23" s="9">
        <v>42630.0</v>
      </c>
      <c r="Q23" s="1" t="s">
        <v>308</v>
      </c>
      <c r="R23" s="1" t="s">
        <v>53</v>
      </c>
      <c r="S23" s="6">
        <v>2016.0</v>
      </c>
      <c r="T23" s="6">
        <v>9.0</v>
      </c>
      <c r="U23" s="1" t="s">
        <v>309</v>
      </c>
      <c r="V23" s="1" t="s">
        <v>310</v>
      </c>
      <c r="W23" s="6">
        <v>17.0</v>
      </c>
      <c r="X23" s="1" t="s">
        <v>56</v>
      </c>
      <c r="Y23" s="1" t="s">
        <v>57</v>
      </c>
      <c r="Z23" s="6">
        <v>0.86</v>
      </c>
      <c r="AA23" s="6">
        <v>68134.0</v>
      </c>
      <c r="AB23" s="10">
        <v>0.14</v>
      </c>
      <c r="AC23" s="1" t="s">
        <v>381</v>
      </c>
      <c r="AD23" s="1" t="s">
        <v>382</v>
      </c>
      <c r="AE23" s="1" t="s">
        <v>383</v>
      </c>
      <c r="AF23" s="1" t="s">
        <v>384</v>
      </c>
      <c r="AG23" s="1" t="s">
        <v>383</v>
      </c>
      <c r="AH23" s="1" t="s">
        <v>385</v>
      </c>
      <c r="AI23" s="6">
        <v>98550.0</v>
      </c>
      <c r="AJ23" s="1" t="s">
        <v>63</v>
      </c>
      <c r="AK23" s="1" t="s">
        <v>386</v>
      </c>
      <c r="AL23" s="1" t="s">
        <v>387</v>
      </c>
      <c r="AM23" s="11" t="str">
        <f>VLOOKUP(N23,Sheet3!$B$4:$C$10,2,1)</f>
        <v>41-50</v>
      </c>
      <c r="AN23" s="13" t="str">
        <f>VLOOKUP(Z23,Sheet3!$F$4:$G$10,2,1)</f>
        <v>&lt; 5</v>
      </c>
      <c r="AO23" s="5" t="str">
        <f>VLOOKUP(AA23,Sheet3!$I$3:$J$16,2,1)</f>
        <v>60000-80000</v>
      </c>
      <c r="AP23" s="5" t="str">
        <f>VLOOKUP(AB23,Sheet3!$L$4:$M$14,2,1)</f>
        <v>11% - 15%</v>
      </c>
    </row>
    <row r="24">
      <c r="A24" s="6">
        <v>959506.0</v>
      </c>
      <c r="B24" s="1" t="s">
        <v>66</v>
      </c>
      <c r="C24" s="1" t="s">
        <v>388</v>
      </c>
      <c r="D24" s="1" t="s">
        <v>389</v>
      </c>
      <c r="E24" s="1" t="s">
        <v>390</v>
      </c>
      <c r="F24" s="1" t="s">
        <v>70</v>
      </c>
      <c r="G24" s="1" t="s">
        <v>391</v>
      </c>
      <c r="H24" s="1" t="s">
        <v>48</v>
      </c>
      <c r="I24" s="1" t="s">
        <v>392</v>
      </c>
      <c r="J24" s="1" t="s">
        <v>393</v>
      </c>
      <c r="K24" s="1" t="s">
        <v>394</v>
      </c>
      <c r="L24" s="9">
        <v>25832.0</v>
      </c>
      <c r="M24" s="8">
        <v>0.9984143518518519</v>
      </c>
      <c r="N24" s="6">
        <v>46.88</v>
      </c>
      <c r="O24" s="6">
        <v>65.0</v>
      </c>
      <c r="P24" s="9">
        <v>38013.0</v>
      </c>
      <c r="Q24" s="1" t="s">
        <v>96</v>
      </c>
      <c r="R24" s="1" t="s">
        <v>76</v>
      </c>
      <c r="S24" s="6">
        <v>2004.0</v>
      </c>
      <c r="T24" s="6">
        <v>1.0</v>
      </c>
      <c r="U24" s="1" t="s">
        <v>276</v>
      </c>
      <c r="V24" s="1" t="s">
        <v>277</v>
      </c>
      <c r="W24" s="6">
        <v>27.0</v>
      </c>
      <c r="X24" s="1" t="s">
        <v>79</v>
      </c>
      <c r="Y24" s="1" t="s">
        <v>80</v>
      </c>
      <c r="Z24" s="6">
        <v>13.51</v>
      </c>
      <c r="AA24" s="6">
        <v>118621.0</v>
      </c>
      <c r="AB24" s="10">
        <v>0.06</v>
      </c>
      <c r="AC24" s="1" t="s">
        <v>395</v>
      </c>
      <c r="AD24" s="1" t="s">
        <v>396</v>
      </c>
      <c r="AE24" s="1" t="s">
        <v>397</v>
      </c>
      <c r="AF24" s="1" t="s">
        <v>398</v>
      </c>
      <c r="AG24" s="1" t="s">
        <v>397</v>
      </c>
      <c r="AH24" s="1" t="s">
        <v>399</v>
      </c>
      <c r="AI24" s="6">
        <v>71422.0</v>
      </c>
      <c r="AJ24" s="1" t="s">
        <v>106</v>
      </c>
      <c r="AK24" s="1" t="s">
        <v>400</v>
      </c>
      <c r="AL24" s="1" t="s">
        <v>401</v>
      </c>
      <c r="AM24" s="11" t="str">
        <f>VLOOKUP(N24,Sheet3!$B$4:$C$10,2,1)</f>
        <v>41-50</v>
      </c>
      <c r="AN24" s="12" t="str">
        <f>VLOOKUP(Z24,Sheet3!$F$4:$G$10,2,1)</f>
        <v>11-20</v>
      </c>
      <c r="AO24" s="5" t="str">
        <f>VLOOKUP(AA24,Sheet3!$I$3:$J$16,2,1)</f>
        <v>100000-120000</v>
      </c>
      <c r="AP24" s="5" t="str">
        <f>VLOOKUP(AB24,Sheet3!$L$4:$M$14,2,1)</f>
        <v>5% - 10%</v>
      </c>
    </row>
    <row r="25">
      <c r="A25" s="6">
        <v>513011.0</v>
      </c>
      <c r="B25" s="1" t="s">
        <v>42</v>
      </c>
      <c r="C25" s="1" t="s">
        <v>402</v>
      </c>
      <c r="D25" s="1" t="s">
        <v>403</v>
      </c>
      <c r="E25" s="1" t="s">
        <v>404</v>
      </c>
      <c r="F25" s="1" t="s">
        <v>46</v>
      </c>
      <c r="G25" s="1" t="s">
        <v>405</v>
      </c>
      <c r="H25" s="1" t="s">
        <v>48</v>
      </c>
      <c r="I25" s="1" t="s">
        <v>406</v>
      </c>
      <c r="J25" s="1" t="s">
        <v>407</v>
      </c>
      <c r="K25" s="1" t="s">
        <v>408</v>
      </c>
      <c r="L25" s="9">
        <v>27937.0</v>
      </c>
      <c r="M25" s="8">
        <v>0.8247222222222222</v>
      </c>
      <c r="N25" s="6">
        <v>41.12</v>
      </c>
      <c r="O25" s="6">
        <v>55.0</v>
      </c>
      <c r="P25" s="9">
        <v>40080.0</v>
      </c>
      <c r="Q25" s="1" t="s">
        <v>308</v>
      </c>
      <c r="R25" s="1" t="s">
        <v>53</v>
      </c>
      <c r="S25" s="6">
        <v>2009.0</v>
      </c>
      <c r="T25" s="6">
        <v>9.0</v>
      </c>
      <c r="U25" s="1" t="s">
        <v>309</v>
      </c>
      <c r="V25" s="1" t="s">
        <v>310</v>
      </c>
      <c r="W25" s="6">
        <v>24.0</v>
      </c>
      <c r="X25" s="1" t="s">
        <v>150</v>
      </c>
      <c r="Y25" s="1" t="s">
        <v>151</v>
      </c>
      <c r="Z25" s="6">
        <v>7.85</v>
      </c>
      <c r="AA25" s="6">
        <v>85864.0</v>
      </c>
      <c r="AB25" s="10">
        <v>0.26</v>
      </c>
      <c r="AC25" s="1" t="s">
        <v>409</v>
      </c>
      <c r="AD25" s="1" t="s">
        <v>410</v>
      </c>
      <c r="AE25" s="1" t="s">
        <v>411</v>
      </c>
      <c r="AF25" s="1" t="s">
        <v>412</v>
      </c>
      <c r="AG25" s="1" t="s">
        <v>411</v>
      </c>
      <c r="AH25" s="1" t="s">
        <v>284</v>
      </c>
      <c r="AI25" s="6">
        <v>51201.0</v>
      </c>
      <c r="AJ25" s="1" t="s">
        <v>86</v>
      </c>
      <c r="AK25" s="1" t="s">
        <v>413</v>
      </c>
      <c r="AL25" s="1" t="s">
        <v>414</v>
      </c>
      <c r="AM25" s="11" t="str">
        <f>VLOOKUP(N25,Sheet3!$B$4:$C$10,2,1)</f>
        <v>41-50</v>
      </c>
      <c r="AN25" s="12" t="str">
        <f>VLOOKUP(Z25,Sheet3!$F$4:$G$10,2,1)</f>
        <v>5-10</v>
      </c>
      <c r="AO25" s="5" t="str">
        <f>VLOOKUP(AA25,Sheet3!$I$3:$J$16,2,1)</f>
        <v>80000-100000</v>
      </c>
      <c r="AP25" s="5" t="str">
        <f>VLOOKUP(AB25,Sheet3!$L$4:$M$14,2,1)</f>
        <v>26% - 30%</v>
      </c>
    </row>
    <row r="26">
      <c r="A26" s="6">
        <v>290808.0</v>
      </c>
      <c r="B26" s="1" t="s">
        <v>66</v>
      </c>
      <c r="C26" s="1" t="s">
        <v>415</v>
      </c>
      <c r="D26" s="1" t="s">
        <v>416</v>
      </c>
      <c r="E26" s="1" t="s">
        <v>417</v>
      </c>
      <c r="F26" s="1" t="s">
        <v>70</v>
      </c>
      <c r="G26" s="1" t="s">
        <v>418</v>
      </c>
      <c r="H26" s="1" t="s">
        <v>48</v>
      </c>
      <c r="I26" s="1" t="s">
        <v>419</v>
      </c>
      <c r="J26" s="1" t="s">
        <v>420</v>
      </c>
      <c r="K26" s="1" t="s">
        <v>421</v>
      </c>
      <c r="L26" s="9">
        <v>27986.0</v>
      </c>
      <c r="M26" s="8">
        <v>0.18666666666666668</v>
      </c>
      <c r="N26" s="6">
        <v>40.98</v>
      </c>
      <c r="O26" s="6">
        <v>73.0</v>
      </c>
      <c r="P26" s="9">
        <v>35851.0</v>
      </c>
      <c r="Q26" s="1" t="s">
        <v>96</v>
      </c>
      <c r="R26" s="1" t="s">
        <v>76</v>
      </c>
      <c r="S26" s="6">
        <v>1998.0</v>
      </c>
      <c r="T26" s="6">
        <v>2.0</v>
      </c>
      <c r="U26" s="1" t="s">
        <v>117</v>
      </c>
      <c r="V26" s="1" t="s">
        <v>118</v>
      </c>
      <c r="W26" s="6">
        <v>25.0</v>
      </c>
      <c r="X26" s="1" t="s">
        <v>278</v>
      </c>
      <c r="Y26" s="1" t="s">
        <v>279</v>
      </c>
      <c r="Z26" s="6">
        <v>19.43</v>
      </c>
      <c r="AA26" s="6">
        <v>98030.0</v>
      </c>
      <c r="AB26" s="10">
        <v>0.3</v>
      </c>
      <c r="AC26" s="1" t="s">
        <v>422</v>
      </c>
      <c r="AD26" s="1" t="s">
        <v>423</v>
      </c>
      <c r="AE26" s="1" t="s">
        <v>424</v>
      </c>
      <c r="AF26" s="1" t="s">
        <v>424</v>
      </c>
      <c r="AG26" s="1" t="s">
        <v>424</v>
      </c>
      <c r="AH26" s="1" t="s">
        <v>238</v>
      </c>
      <c r="AI26" s="6">
        <v>95830.0</v>
      </c>
      <c r="AJ26" s="1" t="s">
        <v>63</v>
      </c>
      <c r="AK26" s="1" t="s">
        <v>425</v>
      </c>
      <c r="AL26" s="1" t="s">
        <v>426</v>
      </c>
      <c r="AM26" s="11" t="str">
        <f>VLOOKUP(N26,Sheet3!$B$4:$C$10,2,1)</f>
        <v>31-40</v>
      </c>
      <c r="AN26" s="12" t="str">
        <f>VLOOKUP(Z26,Sheet3!$F$4:$G$10,2,1)</f>
        <v>11-20</v>
      </c>
      <c r="AO26" s="5" t="str">
        <f>VLOOKUP(AA26,Sheet3!$I$3:$J$16,2,1)</f>
        <v>80000-100000</v>
      </c>
      <c r="AP26" s="5" t="str">
        <f>VLOOKUP(AB26,Sheet3!$L$4:$M$14,2,1)</f>
        <v>26% - 30%</v>
      </c>
    </row>
    <row r="27">
      <c r="A27" s="6">
        <v>253588.0</v>
      </c>
      <c r="B27" s="1" t="s">
        <v>42</v>
      </c>
      <c r="C27" s="1" t="s">
        <v>427</v>
      </c>
      <c r="D27" s="1" t="s">
        <v>186</v>
      </c>
      <c r="E27" s="1" t="s">
        <v>428</v>
      </c>
      <c r="F27" s="1" t="s">
        <v>46</v>
      </c>
      <c r="G27" s="1" t="s">
        <v>429</v>
      </c>
      <c r="H27" s="1" t="s">
        <v>48</v>
      </c>
      <c r="I27" s="1" t="s">
        <v>430</v>
      </c>
      <c r="J27" s="1" t="s">
        <v>431</v>
      </c>
      <c r="K27" s="1" t="s">
        <v>432</v>
      </c>
      <c r="L27" s="14">
        <v>22131.0</v>
      </c>
      <c r="M27" s="8">
        <v>0.4685185185185185</v>
      </c>
      <c r="N27" s="6">
        <v>57.02</v>
      </c>
      <c r="O27" s="6">
        <v>58.0</v>
      </c>
      <c r="P27" s="14">
        <v>34555.0</v>
      </c>
      <c r="Q27" s="1" t="s">
        <v>308</v>
      </c>
      <c r="R27" s="1" t="s">
        <v>53</v>
      </c>
      <c r="S27" s="6">
        <v>1994.0</v>
      </c>
      <c r="T27" s="6">
        <v>8.0</v>
      </c>
      <c r="U27" s="1" t="s">
        <v>433</v>
      </c>
      <c r="V27" s="1" t="s">
        <v>434</v>
      </c>
      <c r="W27" s="6">
        <v>9.0</v>
      </c>
      <c r="X27" s="1" t="s">
        <v>79</v>
      </c>
      <c r="Y27" s="1" t="s">
        <v>80</v>
      </c>
      <c r="Z27" s="6">
        <v>22.98</v>
      </c>
      <c r="AA27" s="6">
        <v>149842.0</v>
      </c>
      <c r="AB27" s="10">
        <v>0.1</v>
      </c>
      <c r="AC27" s="1" t="s">
        <v>435</v>
      </c>
      <c r="AD27" s="1" t="s">
        <v>436</v>
      </c>
      <c r="AE27" s="1" t="s">
        <v>437</v>
      </c>
      <c r="AF27" s="1" t="s">
        <v>438</v>
      </c>
      <c r="AG27" s="1" t="s">
        <v>437</v>
      </c>
      <c r="AH27" s="1" t="s">
        <v>439</v>
      </c>
      <c r="AI27" s="6">
        <v>4547.0</v>
      </c>
      <c r="AJ27" s="1" t="s">
        <v>224</v>
      </c>
      <c r="AK27" s="1" t="s">
        <v>440</v>
      </c>
      <c r="AL27" s="1" t="s">
        <v>441</v>
      </c>
      <c r="AM27" s="11" t="str">
        <f>VLOOKUP(N27,Sheet3!$B$4:$C$10,2,1)</f>
        <v>51-60</v>
      </c>
      <c r="AN27" s="13" t="str">
        <f>VLOOKUP(Z27,Sheet3!$F$4:$G$10,2,1)</f>
        <v>21-30</v>
      </c>
      <c r="AO27" s="5" t="str">
        <f>VLOOKUP(AA27,Sheet3!$I$3:$J$16,2,1)</f>
        <v>140000-160000</v>
      </c>
      <c r="AP27" s="5" t="str">
        <f>VLOOKUP(AB27,Sheet3!$L$4:$M$14,2,1)</f>
        <v>5% - 10%</v>
      </c>
    </row>
    <row r="28">
      <c r="A28" s="6">
        <v>865628.0</v>
      </c>
      <c r="B28" s="1" t="s">
        <v>66</v>
      </c>
      <c r="C28" s="1" t="s">
        <v>442</v>
      </c>
      <c r="D28" s="1" t="s">
        <v>443</v>
      </c>
      <c r="E28" s="1" t="s">
        <v>444</v>
      </c>
      <c r="F28" s="1" t="s">
        <v>70</v>
      </c>
      <c r="G28" s="1" t="s">
        <v>445</v>
      </c>
      <c r="H28" s="1" t="s">
        <v>48</v>
      </c>
      <c r="I28" s="1" t="s">
        <v>446</v>
      </c>
      <c r="J28" s="1" t="s">
        <v>447</v>
      </c>
      <c r="K28" s="1" t="s">
        <v>448</v>
      </c>
      <c r="L28" s="14">
        <v>33794.0</v>
      </c>
      <c r="M28" s="8">
        <v>0.19375</v>
      </c>
      <c r="N28" s="6">
        <v>25.07</v>
      </c>
      <c r="O28" s="6">
        <v>58.0</v>
      </c>
      <c r="P28" s="14">
        <v>41548.0</v>
      </c>
      <c r="Q28" s="1" t="s">
        <v>52</v>
      </c>
      <c r="R28" s="1" t="s">
        <v>53</v>
      </c>
      <c r="S28" s="6">
        <v>2013.0</v>
      </c>
      <c r="T28" s="6">
        <v>10.0</v>
      </c>
      <c r="U28" s="1" t="s">
        <v>133</v>
      </c>
      <c r="V28" s="1" t="s">
        <v>134</v>
      </c>
      <c r="W28" s="6">
        <v>1.0</v>
      </c>
      <c r="X28" s="1" t="s">
        <v>79</v>
      </c>
      <c r="Y28" s="1" t="s">
        <v>80</v>
      </c>
      <c r="Z28" s="6">
        <v>3.82</v>
      </c>
      <c r="AA28" s="6">
        <v>79476.0</v>
      </c>
      <c r="AB28" s="10">
        <v>0.09</v>
      </c>
      <c r="AC28" s="1" t="s">
        <v>449</v>
      </c>
      <c r="AD28" s="1" t="s">
        <v>450</v>
      </c>
      <c r="AE28" s="1" t="s">
        <v>314</v>
      </c>
      <c r="AF28" s="1" t="s">
        <v>314</v>
      </c>
      <c r="AG28" s="1" t="s">
        <v>314</v>
      </c>
      <c r="AH28" s="1" t="s">
        <v>238</v>
      </c>
      <c r="AI28" s="6">
        <v>93888.0</v>
      </c>
      <c r="AJ28" s="1" t="s">
        <v>63</v>
      </c>
      <c r="AK28" s="1" t="s">
        <v>451</v>
      </c>
      <c r="AL28" s="1" t="s">
        <v>452</v>
      </c>
      <c r="AM28" s="11" t="str">
        <f>VLOOKUP(N28,Sheet3!$B$4:$C$10,2,1)</f>
        <v>21-30</v>
      </c>
      <c r="AN28" s="13" t="str">
        <f>VLOOKUP(Z28,Sheet3!$F$4:$G$10,2,1)</f>
        <v>&lt; 5</v>
      </c>
      <c r="AO28" s="5" t="str">
        <f>VLOOKUP(AA28,Sheet3!$I$3:$J$16,2,1)</f>
        <v>60000-80000</v>
      </c>
      <c r="AP28" s="5" t="str">
        <f>VLOOKUP(AB28,Sheet3!$L$4:$M$14,2,1)</f>
        <v>5% - 10%</v>
      </c>
    </row>
    <row r="29">
      <c r="A29" s="6">
        <v>583924.0</v>
      </c>
      <c r="B29" s="1" t="s">
        <v>109</v>
      </c>
      <c r="C29" s="1" t="s">
        <v>453</v>
      </c>
      <c r="D29" s="1" t="s">
        <v>242</v>
      </c>
      <c r="E29" s="1" t="s">
        <v>454</v>
      </c>
      <c r="F29" s="1" t="s">
        <v>46</v>
      </c>
      <c r="G29" s="1" t="s">
        <v>455</v>
      </c>
      <c r="H29" s="1" t="s">
        <v>48</v>
      </c>
      <c r="I29" s="1" t="s">
        <v>456</v>
      </c>
      <c r="J29" s="1" t="s">
        <v>457</v>
      </c>
      <c r="K29" s="1" t="s">
        <v>458</v>
      </c>
      <c r="L29" s="9">
        <v>27536.0</v>
      </c>
      <c r="M29" s="8">
        <v>0.48984953703703704</v>
      </c>
      <c r="N29" s="6">
        <v>42.21</v>
      </c>
      <c r="O29" s="6">
        <v>47.0</v>
      </c>
      <c r="P29" s="9">
        <v>35483.0</v>
      </c>
      <c r="Q29" s="1" t="s">
        <v>96</v>
      </c>
      <c r="R29" s="1" t="s">
        <v>76</v>
      </c>
      <c r="S29" s="6">
        <v>1997.0</v>
      </c>
      <c r="T29" s="6">
        <v>2.0</v>
      </c>
      <c r="U29" s="1" t="s">
        <v>117</v>
      </c>
      <c r="V29" s="1" t="s">
        <v>118</v>
      </c>
      <c r="W29" s="6">
        <v>22.0</v>
      </c>
      <c r="X29" s="1" t="s">
        <v>56</v>
      </c>
      <c r="Y29" s="1" t="s">
        <v>57</v>
      </c>
      <c r="Z29" s="6">
        <v>20.44</v>
      </c>
      <c r="AA29" s="6">
        <v>105366.0</v>
      </c>
      <c r="AB29" s="10">
        <v>0.25</v>
      </c>
      <c r="AC29" s="1" t="s">
        <v>459</v>
      </c>
      <c r="AD29" s="1" t="s">
        <v>460</v>
      </c>
      <c r="AE29" s="1" t="s">
        <v>461</v>
      </c>
      <c r="AF29" s="1" t="s">
        <v>462</v>
      </c>
      <c r="AG29" s="1" t="s">
        <v>461</v>
      </c>
      <c r="AH29" s="1" t="s">
        <v>238</v>
      </c>
      <c r="AI29" s="6">
        <v>94012.0</v>
      </c>
      <c r="AJ29" s="1" t="s">
        <v>63</v>
      </c>
      <c r="AK29" s="1" t="s">
        <v>463</v>
      </c>
      <c r="AL29" s="1" t="s">
        <v>464</v>
      </c>
      <c r="AM29" s="11" t="str">
        <f>VLOOKUP(N29,Sheet3!$B$4:$C$10,2,1)</f>
        <v>41-50</v>
      </c>
      <c r="AN29" s="12" t="str">
        <f>VLOOKUP(Z29,Sheet3!$F$4:$G$10,2,1)</f>
        <v>11-20</v>
      </c>
      <c r="AO29" s="5" t="str">
        <f>VLOOKUP(AA29,Sheet3!$I$3:$J$16,2,1)</f>
        <v>100000-120000</v>
      </c>
      <c r="AP29" s="5" t="str">
        <f>VLOOKUP(AB29,Sheet3!$L$4:$M$14,2,1)</f>
        <v>21% - 25%</v>
      </c>
    </row>
    <row r="30">
      <c r="A30" s="6">
        <v>932453.0</v>
      </c>
      <c r="B30" s="1" t="s">
        <v>109</v>
      </c>
      <c r="C30" s="1" t="s">
        <v>465</v>
      </c>
      <c r="D30" s="1" t="s">
        <v>466</v>
      </c>
      <c r="E30" s="1" t="s">
        <v>467</v>
      </c>
      <c r="F30" s="1" t="s">
        <v>46</v>
      </c>
      <c r="G30" s="1" t="s">
        <v>468</v>
      </c>
      <c r="H30" s="1" t="s">
        <v>48</v>
      </c>
      <c r="I30" s="1" t="s">
        <v>469</v>
      </c>
      <c r="J30" s="1" t="s">
        <v>470</v>
      </c>
      <c r="K30" s="1" t="s">
        <v>471</v>
      </c>
      <c r="L30" s="9">
        <v>30737.0</v>
      </c>
      <c r="M30" s="8">
        <v>0.5046412037037037</v>
      </c>
      <c r="N30" s="6">
        <v>33.44</v>
      </c>
      <c r="O30" s="6">
        <v>49.0</v>
      </c>
      <c r="P30" s="9">
        <v>40802.0</v>
      </c>
      <c r="Q30" s="1" t="s">
        <v>308</v>
      </c>
      <c r="R30" s="1" t="s">
        <v>53</v>
      </c>
      <c r="S30" s="6">
        <v>2011.0</v>
      </c>
      <c r="T30" s="6">
        <v>9.0</v>
      </c>
      <c r="U30" s="1" t="s">
        <v>309</v>
      </c>
      <c r="V30" s="1" t="s">
        <v>310</v>
      </c>
      <c r="W30" s="6">
        <v>16.0</v>
      </c>
      <c r="X30" s="1" t="s">
        <v>263</v>
      </c>
      <c r="Y30" s="1" t="s">
        <v>264</v>
      </c>
      <c r="Z30" s="6">
        <v>5.87</v>
      </c>
      <c r="AA30" s="6">
        <v>53311.0</v>
      </c>
      <c r="AB30" s="10">
        <v>0.18</v>
      </c>
      <c r="AC30" s="1" t="s">
        <v>472</v>
      </c>
      <c r="AD30" s="1" t="s">
        <v>473</v>
      </c>
      <c r="AE30" s="1" t="s">
        <v>474</v>
      </c>
      <c r="AF30" s="1" t="s">
        <v>84</v>
      </c>
      <c r="AG30" s="1" t="s">
        <v>474</v>
      </c>
      <c r="AH30" s="1" t="s">
        <v>475</v>
      </c>
      <c r="AI30" s="6">
        <v>59821.0</v>
      </c>
      <c r="AJ30" s="1" t="s">
        <v>63</v>
      </c>
      <c r="AK30" s="1" t="s">
        <v>476</v>
      </c>
      <c r="AL30" s="1" t="s">
        <v>477</v>
      </c>
      <c r="AM30" s="11" t="str">
        <f>VLOOKUP(N30,Sheet3!$B$4:$C$10,2,1)</f>
        <v>31-40</v>
      </c>
      <c r="AN30" s="12" t="str">
        <f>VLOOKUP(Z30,Sheet3!$F$4:$G$10,2,1)</f>
        <v>5-10</v>
      </c>
      <c r="AO30" s="5" t="str">
        <f>VLOOKUP(AA30,Sheet3!$I$3:$J$16,2,1)</f>
        <v>40000-60000</v>
      </c>
      <c r="AP30" s="5" t="str">
        <f>VLOOKUP(AB30,Sheet3!$L$4:$M$14,2,1)</f>
        <v>16% - 20%</v>
      </c>
    </row>
    <row r="31">
      <c r="A31" s="6">
        <v>432168.0</v>
      </c>
      <c r="B31" s="1" t="s">
        <v>125</v>
      </c>
      <c r="C31" s="1" t="s">
        <v>478</v>
      </c>
      <c r="D31" s="1" t="s">
        <v>416</v>
      </c>
      <c r="E31" s="1" t="s">
        <v>479</v>
      </c>
      <c r="F31" s="1" t="s">
        <v>70</v>
      </c>
      <c r="G31" s="1" t="s">
        <v>480</v>
      </c>
      <c r="H31" s="1" t="s">
        <v>48</v>
      </c>
      <c r="I31" s="1" t="s">
        <v>481</v>
      </c>
      <c r="J31" s="1" t="s">
        <v>482</v>
      </c>
      <c r="K31" s="1" t="s">
        <v>483</v>
      </c>
      <c r="L31" s="9">
        <v>32891.0</v>
      </c>
      <c r="M31" s="8">
        <v>0.20041666666666666</v>
      </c>
      <c r="N31" s="6">
        <v>27.54</v>
      </c>
      <c r="O31" s="6">
        <v>51.0</v>
      </c>
      <c r="P31" s="9">
        <v>42514.0</v>
      </c>
      <c r="Q31" s="1" t="s">
        <v>75</v>
      </c>
      <c r="R31" s="1" t="s">
        <v>76</v>
      </c>
      <c r="S31" s="6">
        <v>2016.0</v>
      </c>
      <c r="T31" s="6">
        <v>5.0</v>
      </c>
      <c r="U31" s="1" t="s">
        <v>294</v>
      </c>
      <c r="V31" s="1" t="s">
        <v>294</v>
      </c>
      <c r="W31" s="6">
        <v>24.0</v>
      </c>
      <c r="X31" s="1" t="s">
        <v>79</v>
      </c>
      <c r="Y31" s="1" t="s">
        <v>80</v>
      </c>
      <c r="Z31" s="6">
        <v>1.18</v>
      </c>
      <c r="AA31" s="6">
        <v>122631.0</v>
      </c>
      <c r="AB31" s="10">
        <v>0.05</v>
      </c>
      <c r="AC31" s="1" t="s">
        <v>484</v>
      </c>
      <c r="AD31" s="1" t="s">
        <v>485</v>
      </c>
      <c r="AE31" s="1" t="s">
        <v>486</v>
      </c>
      <c r="AF31" s="1" t="s">
        <v>487</v>
      </c>
      <c r="AG31" s="1" t="s">
        <v>486</v>
      </c>
      <c r="AH31" s="1" t="s">
        <v>488</v>
      </c>
      <c r="AI31" s="6">
        <v>32193.0</v>
      </c>
      <c r="AJ31" s="1" t="s">
        <v>106</v>
      </c>
      <c r="AK31" s="1" t="s">
        <v>489</v>
      </c>
      <c r="AL31" s="1" t="s">
        <v>490</v>
      </c>
      <c r="AM31" s="11" t="str">
        <f>VLOOKUP(N31,Sheet3!$B$4:$C$10,2,1)</f>
        <v>21-30</v>
      </c>
      <c r="AN31" s="13" t="str">
        <f>VLOOKUP(Z31,Sheet3!$F$4:$G$10,2,1)</f>
        <v>&lt; 5</v>
      </c>
      <c r="AO31" s="5" t="str">
        <f>VLOOKUP(AA31,Sheet3!$I$3:$J$16,2,1)</f>
        <v>120000-140000</v>
      </c>
      <c r="AP31" s="5" t="str">
        <f>VLOOKUP(AB31,Sheet3!$L$4:$M$14,2,1)</f>
        <v>5% - 10%</v>
      </c>
    </row>
    <row r="32">
      <c r="A32" s="6">
        <v>463784.0</v>
      </c>
      <c r="B32" s="1" t="s">
        <v>66</v>
      </c>
      <c r="C32" s="1" t="s">
        <v>491</v>
      </c>
      <c r="D32" s="1" t="s">
        <v>242</v>
      </c>
      <c r="E32" s="1" t="s">
        <v>492</v>
      </c>
      <c r="F32" s="1" t="s">
        <v>70</v>
      </c>
      <c r="G32" s="1" t="s">
        <v>493</v>
      </c>
      <c r="H32" s="1" t="s">
        <v>48</v>
      </c>
      <c r="I32" s="1" t="s">
        <v>494</v>
      </c>
      <c r="J32" s="1" t="s">
        <v>495</v>
      </c>
      <c r="K32" s="1" t="s">
        <v>496</v>
      </c>
      <c r="L32" s="9">
        <v>33109.0</v>
      </c>
      <c r="M32" s="8">
        <v>0.13515046296296296</v>
      </c>
      <c r="N32" s="6">
        <v>26.95</v>
      </c>
      <c r="O32" s="6">
        <v>84.0</v>
      </c>
      <c r="P32" s="9">
        <v>42360.0</v>
      </c>
      <c r="Q32" s="1" t="s">
        <v>52</v>
      </c>
      <c r="R32" s="1" t="s">
        <v>53</v>
      </c>
      <c r="S32" s="6">
        <v>2015.0</v>
      </c>
      <c r="T32" s="6">
        <v>12.0</v>
      </c>
      <c r="U32" s="1" t="s">
        <v>54</v>
      </c>
      <c r="V32" s="1" t="s">
        <v>55</v>
      </c>
      <c r="W32" s="6">
        <v>22.0</v>
      </c>
      <c r="X32" s="1" t="s">
        <v>79</v>
      </c>
      <c r="Y32" s="1" t="s">
        <v>80</v>
      </c>
      <c r="Z32" s="6">
        <v>1.6</v>
      </c>
      <c r="AA32" s="6">
        <v>45210.0</v>
      </c>
      <c r="AB32" s="10">
        <v>0.3</v>
      </c>
      <c r="AC32" s="1" t="s">
        <v>497</v>
      </c>
      <c r="AD32" s="1" t="s">
        <v>498</v>
      </c>
      <c r="AE32" s="1" t="s">
        <v>499</v>
      </c>
      <c r="AF32" s="1" t="s">
        <v>500</v>
      </c>
      <c r="AG32" s="1" t="s">
        <v>499</v>
      </c>
      <c r="AH32" s="1" t="s">
        <v>501</v>
      </c>
      <c r="AI32" s="6">
        <v>82322.0</v>
      </c>
      <c r="AJ32" s="1" t="s">
        <v>63</v>
      </c>
      <c r="AK32" s="1" t="s">
        <v>502</v>
      </c>
      <c r="AL32" s="1" t="s">
        <v>503</v>
      </c>
      <c r="AM32" s="11" t="str">
        <f>VLOOKUP(N32,Sheet3!$B$4:$C$10,2,1)</f>
        <v>21-30</v>
      </c>
      <c r="AN32" s="13" t="str">
        <f>VLOOKUP(Z32,Sheet3!$F$4:$G$10,2,1)</f>
        <v>&lt; 5</v>
      </c>
      <c r="AO32" s="5" t="str">
        <f>VLOOKUP(AA32,Sheet3!$I$3:$J$16,2,1)</f>
        <v>40000-60000</v>
      </c>
      <c r="AP32" s="5" t="str">
        <f>VLOOKUP(AB32,Sheet3!$L$4:$M$14,2,1)</f>
        <v>26% - 30%</v>
      </c>
    </row>
    <row r="33">
      <c r="A33" s="6">
        <v>721098.0</v>
      </c>
      <c r="B33" s="1" t="s">
        <v>42</v>
      </c>
      <c r="C33" s="1" t="s">
        <v>504</v>
      </c>
      <c r="D33" s="1" t="s">
        <v>389</v>
      </c>
      <c r="E33" s="1" t="s">
        <v>505</v>
      </c>
      <c r="F33" s="1" t="s">
        <v>46</v>
      </c>
      <c r="G33" s="1" t="s">
        <v>506</v>
      </c>
      <c r="H33" s="1" t="s">
        <v>48</v>
      </c>
      <c r="I33" s="1" t="s">
        <v>507</v>
      </c>
      <c r="J33" s="1" t="s">
        <v>508</v>
      </c>
      <c r="K33" s="1" t="s">
        <v>509</v>
      </c>
      <c r="L33" s="14">
        <v>26276.0</v>
      </c>
      <c r="M33" s="8">
        <v>0.22465277777777778</v>
      </c>
      <c r="N33" s="6">
        <v>45.67</v>
      </c>
      <c r="O33" s="6">
        <v>47.0</v>
      </c>
      <c r="P33" s="9">
        <v>34256.0</v>
      </c>
      <c r="Q33" s="1" t="s">
        <v>52</v>
      </c>
      <c r="R33" s="1" t="s">
        <v>53</v>
      </c>
      <c r="S33" s="6">
        <v>1993.0</v>
      </c>
      <c r="T33" s="6">
        <v>10.0</v>
      </c>
      <c r="U33" s="1" t="s">
        <v>133</v>
      </c>
      <c r="V33" s="1" t="s">
        <v>134</v>
      </c>
      <c r="W33" s="6">
        <v>14.0</v>
      </c>
      <c r="X33" s="1" t="s">
        <v>150</v>
      </c>
      <c r="Y33" s="1" t="s">
        <v>151</v>
      </c>
      <c r="Z33" s="6">
        <v>23.8</v>
      </c>
      <c r="AA33" s="6">
        <v>115858.0</v>
      </c>
      <c r="AB33" s="10">
        <v>0.05</v>
      </c>
      <c r="AC33" s="1" t="s">
        <v>510</v>
      </c>
      <c r="AD33" s="1" t="s">
        <v>511</v>
      </c>
      <c r="AE33" s="1" t="s">
        <v>512</v>
      </c>
      <c r="AF33" s="1" t="s">
        <v>513</v>
      </c>
      <c r="AG33" s="1" t="s">
        <v>512</v>
      </c>
      <c r="AH33" s="1" t="s">
        <v>299</v>
      </c>
      <c r="AI33" s="6">
        <v>74572.0</v>
      </c>
      <c r="AJ33" s="1" t="s">
        <v>106</v>
      </c>
      <c r="AK33" s="1" t="s">
        <v>514</v>
      </c>
      <c r="AL33" s="1" t="s">
        <v>515</v>
      </c>
      <c r="AM33" s="11" t="str">
        <f>VLOOKUP(N33,Sheet3!$B$4:$C$10,2,1)</f>
        <v>41-50</v>
      </c>
      <c r="AN33" s="13" t="str">
        <f>VLOOKUP(Z33,Sheet3!$F$4:$G$10,2,1)</f>
        <v>21-30</v>
      </c>
      <c r="AO33" s="5" t="str">
        <f>VLOOKUP(AA33,Sheet3!$I$3:$J$16,2,1)</f>
        <v>100000-120000</v>
      </c>
      <c r="AP33" s="5" t="str">
        <f>VLOOKUP(AB33,Sheet3!$L$4:$M$14,2,1)</f>
        <v>5% - 10%</v>
      </c>
    </row>
    <row r="34">
      <c r="A34" s="6">
        <v>392678.0</v>
      </c>
      <c r="B34" s="1" t="s">
        <v>66</v>
      </c>
      <c r="C34" s="1" t="s">
        <v>516</v>
      </c>
      <c r="D34" s="1" t="s">
        <v>403</v>
      </c>
      <c r="E34" s="1" t="s">
        <v>517</v>
      </c>
      <c r="F34" s="1" t="s">
        <v>70</v>
      </c>
      <c r="G34" s="1" t="s">
        <v>518</v>
      </c>
      <c r="H34" s="1" t="s">
        <v>48</v>
      </c>
      <c r="I34" s="1" t="s">
        <v>519</v>
      </c>
      <c r="J34" s="1" t="s">
        <v>520</v>
      </c>
      <c r="K34" s="1" t="s">
        <v>521</v>
      </c>
      <c r="L34" s="9">
        <v>35090.0</v>
      </c>
      <c r="M34" s="8">
        <v>0.9724074074074074</v>
      </c>
      <c r="N34" s="6">
        <v>21.52</v>
      </c>
      <c r="O34" s="6">
        <v>89.0</v>
      </c>
      <c r="P34" s="9">
        <v>42794.0</v>
      </c>
      <c r="Q34" s="1" t="s">
        <v>96</v>
      </c>
      <c r="R34" s="1" t="s">
        <v>76</v>
      </c>
      <c r="S34" s="6">
        <v>2017.0</v>
      </c>
      <c r="T34" s="6">
        <v>2.0</v>
      </c>
      <c r="U34" s="1" t="s">
        <v>117</v>
      </c>
      <c r="V34" s="1" t="s">
        <v>118</v>
      </c>
      <c r="W34" s="6">
        <v>28.0</v>
      </c>
      <c r="X34" s="1" t="s">
        <v>79</v>
      </c>
      <c r="Y34" s="1" t="s">
        <v>80</v>
      </c>
      <c r="Z34" s="6">
        <v>0.41</v>
      </c>
      <c r="AA34" s="6">
        <v>178750.0</v>
      </c>
      <c r="AB34" s="10">
        <v>0.19</v>
      </c>
      <c r="AC34" s="1" t="s">
        <v>522</v>
      </c>
      <c r="AD34" s="1" t="s">
        <v>523</v>
      </c>
      <c r="AE34" s="1" t="s">
        <v>524</v>
      </c>
      <c r="AF34" s="1" t="s">
        <v>524</v>
      </c>
      <c r="AG34" s="1" t="s">
        <v>524</v>
      </c>
      <c r="AH34" s="1" t="s">
        <v>525</v>
      </c>
      <c r="AI34" s="6">
        <v>72208.0</v>
      </c>
      <c r="AJ34" s="1" t="s">
        <v>106</v>
      </c>
      <c r="AK34" s="1" t="s">
        <v>526</v>
      </c>
      <c r="AL34" s="1" t="s">
        <v>527</v>
      </c>
      <c r="AM34" s="11" t="str">
        <f>VLOOKUP(N34,Sheet3!$B$4:$C$10,2,1)</f>
        <v>21-30</v>
      </c>
      <c r="AN34" s="13" t="str">
        <f>VLOOKUP(Z34,Sheet3!$F$4:$G$10,2,1)</f>
        <v>&lt; 5</v>
      </c>
      <c r="AO34" s="5" t="str">
        <f>VLOOKUP(AA34,Sheet3!$I$3:$J$16,2,1)</f>
        <v>160000-180000</v>
      </c>
      <c r="AP34" s="5" t="str">
        <f>VLOOKUP(AB34,Sheet3!$L$4:$M$14,2,1)</f>
        <v>16% - 20%</v>
      </c>
    </row>
    <row r="35">
      <c r="A35" s="6">
        <v>880704.0</v>
      </c>
      <c r="B35" s="1" t="s">
        <v>255</v>
      </c>
      <c r="C35" s="1" t="s">
        <v>528</v>
      </c>
      <c r="D35" s="1" t="s">
        <v>529</v>
      </c>
      <c r="E35" s="1" t="s">
        <v>530</v>
      </c>
      <c r="F35" s="1" t="s">
        <v>70</v>
      </c>
      <c r="G35" s="1" t="s">
        <v>531</v>
      </c>
      <c r="H35" s="1" t="s">
        <v>48</v>
      </c>
      <c r="I35" s="1" t="s">
        <v>532</v>
      </c>
      <c r="J35" s="1" t="s">
        <v>533</v>
      </c>
      <c r="K35" s="1" t="s">
        <v>174</v>
      </c>
      <c r="L35" s="9">
        <v>28266.0</v>
      </c>
      <c r="M35" s="8">
        <v>0.45327546296296295</v>
      </c>
      <c r="N35" s="6">
        <v>40.21</v>
      </c>
      <c r="O35" s="6">
        <v>53.0</v>
      </c>
      <c r="P35" s="14">
        <v>37052.0</v>
      </c>
      <c r="Q35" s="1" t="s">
        <v>75</v>
      </c>
      <c r="R35" s="1" t="s">
        <v>76</v>
      </c>
      <c r="S35" s="6">
        <v>2001.0</v>
      </c>
      <c r="T35" s="6">
        <v>6.0</v>
      </c>
      <c r="U35" s="1" t="s">
        <v>324</v>
      </c>
      <c r="V35" s="1" t="s">
        <v>325</v>
      </c>
      <c r="W35" s="6">
        <v>10.0</v>
      </c>
      <c r="X35" s="1" t="s">
        <v>534</v>
      </c>
      <c r="Y35" s="1" t="s">
        <v>535</v>
      </c>
      <c r="Z35" s="6">
        <v>16.14</v>
      </c>
      <c r="AA35" s="6">
        <v>115574.0</v>
      </c>
      <c r="AB35" s="10">
        <v>0.03</v>
      </c>
      <c r="AC35" s="1" t="s">
        <v>536</v>
      </c>
      <c r="AD35" s="1" t="s">
        <v>537</v>
      </c>
      <c r="AE35" s="1" t="s">
        <v>538</v>
      </c>
      <c r="AF35" s="1" t="s">
        <v>539</v>
      </c>
      <c r="AG35" s="1" t="s">
        <v>538</v>
      </c>
      <c r="AH35" s="1" t="s">
        <v>139</v>
      </c>
      <c r="AI35" s="6">
        <v>99773.0</v>
      </c>
      <c r="AJ35" s="1" t="s">
        <v>63</v>
      </c>
      <c r="AK35" s="1" t="s">
        <v>540</v>
      </c>
      <c r="AL35" s="1" t="s">
        <v>541</v>
      </c>
      <c r="AM35" s="11" t="str">
        <f>VLOOKUP(N35,Sheet3!$B$4:$C$10,2,1)</f>
        <v>31-40</v>
      </c>
      <c r="AN35" s="12" t="str">
        <f>VLOOKUP(Z35,Sheet3!$F$4:$G$10,2,1)</f>
        <v>11-20</v>
      </c>
      <c r="AO35" s="5" t="str">
        <f>VLOOKUP(AA35,Sheet3!$I$3:$J$16,2,1)</f>
        <v>100000-120000</v>
      </c>
      <c r="AP35" s="5" t="str">
        <f>VLOOKUP(AB35,Sheet3!$L$4:$M$14,2,1)</f>
        <v>&lt; 5%</v>
      </c>
    </row>
    <row r="36">
      <c r="A36" s="6">
        <v>186102.0</v>
      </c>
      <c r="B36" s="1" t="s">
        <v>89</v>
      </c>
      <c r="C36" s="1" t="s">
        <v>542</v>
      </c>
      <c r="D36" s="1" t="s">
        <v>318</v>
      </c>
      <c r="E36" s="1" t="s">
        <v>543</v>
      </c>
      <c r="F36" s="1" t="s">
        <v>46</v>
      </c>
      <c r="G36" s="1" t="s">
        <v>544</v>
      </c>
      <c r="H36" s="1" t="s">
        <v>48</v>
      </c>
      <c r="I36" s="1" t="s">
        <v>545</v>
      </c>
      <c r="J36" s="1" t="s">
        <v>546</v>
      </c>
      <c r="K36" s="1" t="s">
        <v>547</v>
      </c>
      <c r="L36" s="9">
        <v>24312.0</v>
      </c>
      <c r="M36" s="8">
        <v>0.5938310185185185</v>
      </c>
      <c r="N36" s="6">
        <v>51.05</v>
      </c>
      <c r="O36" s="6">
        <v>56.0</v>
      </c>
      <c r="P36" s="14">
        <v>41586.0</v>
      </c>
      <c r="Q36" s="1" t="s">
        <v>52</v>
      </c>
      <c r="R36" s="1" t="s">
        <v>53</v>
      </c>
      <c r="S36" s="6">
        <v>2013.0</v>
      </c>
      <c r="T36" s="6">
        <v>11.0</v>
      </c>
      <c r="U36" s="1" t="s">
        <v>148</v>
      </c>
      <c r="V36" s="1" t="s">
        <v>149</v>
      </c>
      <c r="W36" s="6">
        <v>8.0</v>
      </c>
      <c r="X36" s="1" t="s">
        <v>263</v>
      </c>
      <c r="Y36" s="1" t="s">
        <v>264</v>
      </c>
      <c r="Z36" s="6">
        <v>3.72</v>
      </c>
      <c r="AA36" s="6">
        <v>118607.0</v>
      </c>
      <c r="AB36" s="10">
        <v>0.06</v>
      </c>
      <c r="AC36" s="1" t="s">
        <v>548</v>
      </c>
      <c r="AD36" s="1" t="s">
        <v>549</v>
      </c>
      <c r="AE36" s="1" t="s">
        <v>550</v>
      </c>
      <c r="AF36" s="1" t="s">
        <v>550</v>
      </c>
      <c r="AG36" s="1" t="s">
        <v>550</v>
      </c>
      <c r="AH36" s="1" t="s">
        <v>169</v>
      </c>
      <c r="AI36" s="6">
        <v>77903.0</v>
      </c>
      <c r="AJ36" s="1" t="s">
        <v>106</v>
      </c>
      <c r="AK36" s="1" t="s">
        <v>551</v>
      </c>
      <c r="AL36" s="1" t="s">
        <v>552</v>
      </c>
      <c r="AM36" s="11" t="str">
        <f>VLOOKUP(N36,Sheet3!$B$4:$C$10,2,1)</f>
        <v>51-60</v>
      </c>
      <c r="AN36" s="13" t="str">
        <f>VLOOKUP(Z36,Sheet3!$F$4:$G$10,2,1)</f>
        <v>&lt; 5</v>
      </c>
      <c r="AO36" s="5" t="str">
        <f>VLOOKUP(AA36,Sheet3!$I$3:$J$16,2,1)</f>
        <v>100000-120000</v>
      </c>
      <c r="AP36" s="5" t="str">
        <f>VLOOKUP(AB36,Sheet3!$L$4:$M$14,2,1)</f>
        <v>5% - 10%</v>
      </c>
    </row>
    <row r="37">
      <c r="A37" s="6">
        <v>350367.0</v>
      </c>
      <c r="B37" s="1" t="s">
        <v>66</v>
      </c>
      <c r="C37" s="1" t="s">
        <v>553</v>
      </c>
      <c r="D37" s="1" t="s">
        <v>554</v>
      </c>
      <c r="E37" s="1" t="s">
        <v>218</v>
      </c>
      <c r="F37" s="1" t="s">
        <v>70</v>
      </c>
      <c r="G37" s="1" t="s">
        <v>555</v>
      </c>
      <c r="H37" s="1" t="s">
        <v>48</v>
      </c>
      <c r="I37" s="1" t="s">
        <v>556</v>
      </c>
      <c r="J37" s="1" t="s">
        <v>557</v>
      </c>
      <c r="K37" s="1" t="s">
        <v>558</v>
      </c>
      <c r="L37" s="9">
        <v>28973.0</v>
      </c>
      <c r="M37" s="8">
        <v>0.8359375</v>
      </c>
      <c r="N37" s="6">
        <v>38.28</v>
      </c>
      <c r="O37" s="6">
        <v>73.0</v>
      </c>
      <c r="P37" s="7">
        <v>37207.0</v>
      </c>
      <c r="Q37" s="1" t="s">
        <v>52</v>
      </c>
      <c r="R37" s="1" t="s">
        <v>53</v>
      </c>
      <c r="S37" s="6">
        <v>2001.0</v>
      </c>
      <c r="T37" s="6">
        <v>11.0</v>
      </c>
      <c r="U37" s="1" t="s">
        <v>148</v>
      </c>
      <c r="V37" s="1" t="s">
        <v>149</v>
      </c>
      <c r="W37" s="6">
        <v>12.0</v>
      </c>
      <c r="X37" s="1" t="s">
        <v>99</v>
      </c>
      <c r="Y37" s="1" t="s">
        <v>100</v>
      </c>
      <c r="Z37" s="6">
        <v>15.72</v>
      </c>
      <c r="AA37" s="6">
        <v>98990.0</v>
      </c>
      <c r="AB37" s="10">
        <v>0.26</v>
      </c>
      <c r="AC37" s="1" t="s">
        <v>559</v>
      </c>
      <c r="AD37" s="1" t="s">
        <v>560</v>
      </c>
      <c r="AE37" s="1" t="s">
        <v>561</v>
      </c>
      <c r="AF37" s="1" t="s">
        <v>562</v>
      </c>
      <c r="AG37" s="1" t="s">
        <v>561</v>
      </c>
      <c r="AH37" s="1" t="s">
        <v>563</v>
      </c>
      <c r="AI37" s="6">
        <v>26431.0</v>
      </c>
      <c r="AJ37" s="1" t="s">
        <v>106</v>
      </c>
      <c r="AK37" s="1" t="s">
        <v>564</v>
      </c>
      <c r="AL37" s="1" t="s">
        <v>565</v>
      </c>
      <c r="AM37" s="11" t="str">
        <f>VLOOKUP(N37,Sheet3!$B$4:$C$10,2,1)</f>
        <v>31-40</v>
      </c>
      <c r="AN37" s="12" t="str">
        <f>VLOOKUP(Z37,Sheet3!$F$4:$G$10,2,1)</f>
        <v>11-20</v>
      </c>
      <c r="AO37" s="5" t="str">
        <f>VLOOKUP(AA37,Sheet3!$I$3:$J$16,2,1)</f>
        <v>80000-100000</v>
      </c>
      <c r="AP37" s="5" t="str">
        <f>VLOOKUP(AB37,Sheet3!$L$4:$M$14,2,1)</f>
        <v>26% - 30%</v>
      </c>
    </row>
    <row r="38">
      <c r="A38" s="6">
        <v>893976.0</v>
      </c>
      <c r="B38" s="1" t="s">
        <v>42</v>
      </c>
      <c r="C38" s="1" t="s">
        <v>566</v>
      </c>
      <c r="D38" s="1" t="s">
        <v>466</v>
      </c>
      <c r="E38" s="1" t="s">
        <v>567</v>
      </c>
      <c r="F38" s="1" t="s">
        <v>46</v>
      </c>
      <c r="G38" s="1" t="s">
        <v>568</v>
      </c>
      <c r="H38" s="1" t="s">
        <v>48</v>
      </c>
      <c r="I38" s="1" t="s">
        <v>569</v>
      </c>
      <c r="J38" s="1" t="s">
        <v>570</v>
      </c>
      <c r="K38" s="1" t="s">
        <v>571</v>
      </c>
      <c r="L38" s="14">
        <v>27457.0</v>
      </c>
      <c r="M38" s="8">
        <v>0.14328703703703705</v>
      </c>
      <c r="N38" s="6">
        <v>42.43</v>
      </c>
      <c r="O38" s="6">
        <v>45.0</v>
      </c>
      <c r="P38" s="9">
        <v>38466.0</v>
      </c>
      <c r="Q38" s="1" t="s">
        <v>75</v>
      </c>
      <c r="R38" s="1" t="s">
        <v>76</v>
      </c>
      <c r="S38" s="6">
        <v>2005.0</v>
      </c>
      <c r="T38" s="6">
        <v>4.0</v>
      </c>
      <c r="U38" s="1" t="s">
        <v>77</v>
      </c>
      <c r="V38" s="1" t="s">
        <v>78</v>
      </c>
      <c r="W38" s="6">
        <v>24.0</v>
      </c>
      <c r="X38" s="1" t="s">
        <v>534</v>
      </c>
      <c r="Y38" s="1" t="s">
        <v>535</v>
      </c>
      <c r="Z38" s="6">
        <v>12.27</v>
      </c>
      <c r="AA38" s="6">
        <v>139394.0</v>
      </c>
      <c r="AB38" s="10">
        <v>0.21</v>
      </c>
      <c r="AC38" s="1" t="s">
        <v>572</v>
      </c>
      <c r="AD38" s="1" t="s">
        <v>573</v>
      </c>
      <c r="AE38" s="1" t="s">
        <v>574</v>
      </c>
      <c r="AF38" s="1" t="s">
        <v>575</v>
      </c>
      <c r="AG38" s="1" t="s">
        <v>574</v>
      </c>
      <c r="AH38" s="1" t="s">
        <v>210</v>
      </c>
      <c r="AI38" s="6">
        <v>60963.0</v>
      </c>
      <c r="AJ38" s="1" t="s">
        <v>86</v>
      </c>
      <c r="AK38" s="1" t="s">
        <v>576</v>
      </c>
      <c r="AL38" s="1" t="s">
        <v>577</v>
      </c>
      <c r="AM38" s="11" t="str">
        <f>VLOOKUP(N38,Sheet3!$B$4:$C$10,2,1)</f>
        <v>41-50</v>
      </c>
      <c r="AN38" s="12" t="str">
        <f>VLOOKUP(Z38,Sheet3!$F$4:$G$10,2,1)</f>
        <v>11-20</v>
      </c>
      <c r="AO38" s="5" t="str">
        <f>VLOOKUP(AA38,Sheet3!$I$3:$J$16,2,1)</f>
        <v>120000-140000</v>
      </c>
      <c r="AP38" s="5" t="str">
        <f>VLOOKUP(AB38,Sheet3!$L$4:$M$14,2,1)</f>
        <v>21% - 25%</v>
      </c>
    </row>
    <row r="39">
      <c r="A39" s="6">
        <v>542826.0</v>
      </c>
      <c r="B39" s="1" t="s">
        <v>66</v>
      </c>
      <c r="C39" s="1" t="s">
        <v>578</v>
      </c>
      <c r="D39" s="1" t="s">
        <v>360</v>
      </c>
      <c r="E39" s="1" t="s">
        <v>579</v>
      </c>
      <c r="F39" s="1" t="s">
        <v>70</v>
      </c>
      <c r="G39" s="1" t="s">
        <v>580</v>
      </c>
      <c r="H39" s="1" t="s">
        <v>48</v>
      </c>
      <c r="I39" s="1" t="s">
        <v>581</v>
      </c>
      <c r="J39" s="1" t="s">
        <v>582</v>
      </c>
      <c r="K39" s="1" t="s">
        <v>583</v>
      </c>
      <c r="L39" s="14">
        <v>28311.0</v>
      </c>
      <c r="M39" s="8">
        <v>0.7108449074074074</v>
      </c>
      <c r="N39" s="6">
        <v>40.09</v>
      </c>
      <c r="O39" s="6">
        <v>68.0</v>
      </c>
      <c r="P39" s="14">
        <v>40552.0</v>
      </c>
      <c r="Q39" s="1" t="s">
        <v>96</v>
      </c>
      <c r="R39" s="1" t="s">
        <v>76</v>
      </c>
      <c r="S39" s="6">
        <v>2011.0</v>
      </c>
      <c r="T39" s="6">
        <v>1.0</v>
      </c>
      <c r="U39" s="1" t="s">
        <v>276</v>
      </c>
      <c r="V39" s="1" t="s">
        <v>277</v>
      </c>
      <c r="W39" s="6">
        <v>9.0</v>
      </c>
      <c r="X39" s="1" t="s">
        <v>534</v>
      </c>
      <c r="Y39" s="1" t="s">
        <v>535</v>
      </c>
      <c r="Z39" s="6">
        <v>6.55</v>
      </c>
      <c r="AA39" s="6">
        <v>63525.0</v>
      </c>
      <c r="AB39" s="10">
        <v>0.24</v>
      </c>
      <c r="AC39" s="1" t="s">
        <v>584</v>
      </c>
      <c r="AD39" s="1" t="s">
        <v>585</v>
      </c>
      <c r="AE39" s="1" t="s">
        <v>586</v>
      </c>
      <c r="AF39" s="1" t="s">
        <v>587</v>
      </c>
      <c r="AG39" s="1" t="s">
        <v>586</v>
      </c>
      <c r="AH39" s="1" t="s">
        <v>356</v>
      </c>
      <c r="AI39" s="6">
        <v>11426.0</v>
      </c>
      <c r="AJ39" s="1" t="s">
        <v>224</v>
      </c>
      <c r="AK39" s="1" t="s">
        <v>588</v>
      </c>
      <c r="AL39" s="1" t="s">
        <v>589</v>
      </c>
      <c r="AM39" s="11" t="str">
        <f>VLOOKUP(N39,Sheet3!$B$4:$C$10,2,1)</f>
        <v>31-40</v>
      </c>
      <c r="AN39" s="12" t="str">
        <f>VLOOKUP(Z39,Sheet3!$F$4:$G$10,2,1)</f>
        <v>5-10</v>
      </c>
      <c r="AO39" s="5" t="str">
        <f>VLOOKUP(AA39,Sheet3!$I$3:$J$16,2,1)</f>
        <v>60000-80000</v>
      </c>
      <c r="AP39" s="5" t="str">
        <f>VLOOKUP(AB39,Sheet3!$L$4:$M$14,2,1)</f>
        <v>21% - 25%</v>
      </c>
    </row>
    <row r="40">
      <c r="A40" s="6">
        <v>590579.0</v>
      </c>
      <c r="B40" s="1" t="s">
        <v>42</v>
      </c>
      <c r="C40" s="1" t="s">
        <v>590</v>
      </c>
      <c r="D40" s="1" t="s">
        <v>68</v>
      </c>
      <c r="E40" s="1" t="s">
        <v>591</v>
      </c>
      <c r="F40" s="1" t="s">
        <v>46</v>
      </c>
      <c r="G40" s="1" t="s">
        <v>592</v>
      </c>
      <c r="H40" s="1" t="s">
        <v>48</v>
      </c>
      <c r="I40" s="1" t="s">
        <v>593</v>
      </c>
      <c r="J40" s="1" t="s">
        <v>594</v>
      </c>
      <c r="K40" s="1" t="s">
        <v>595</v>
      </c>
      <c r="L40" s="14">
        <v>31294.0</v>
      </c>
      <c r="M40" s="8">
        <v>0.3801851851851852</v>
      </c>
      <c r="N40" s="6">
        <v>31.92</v>
      </c>
      <c r="O40" s="6">
        <v>57.0</v>
      </c>
      <c r="P40" s="9">
        <v>42792.0</v>
      </c>
      <c r="Q40" s="1" t="s">
        <v>96</v>
      </c>
      <c r="R40" s="1" t="s">
        <v>76</v>
      </c>
      <c r="S40" s="6">
        <v>2017.0</v>
      </c>
      <c r="T40" s="6">
        <v>2.0</v>
      </c>
      <c r="U40" s="1" t="s">
        <v>117</v>
      </c>
      <c r="V40" s="1" t="s">
        <v>118</v>
      </c>
      <c r="W40" s="6">
        <v>26.0</v>
      </c>
      <c r="X40" s="1" t="s">
        <v>534</v>
      </c>
      <c r="Y40" s="1" t="s">
        <v>535</v>
      </c>
      <c r="Z40" s="6">
        <v>0.42</v>
      </c>
      <c r="AA40" s="6">
        <v>185105.0</v>
      </c>
      <c r="AB40" s="10">
        <v>0.25</v>
      </c>
      <c r="AC40" s="1" t="s">
        <v>596</v>
      </c>
      <c r="AD40" s="1" t="s">
        <v>597</v>
      </c>
      <c r="AE40" s="1" t="s">
        <v>598</v>
      </c>
      <c r="AF40" s="1" t="s">
        <v>599</v>
      </c>
      <c r="AG40" s="1" t="s">
        <v>598</v>
      </c>
      <c r="AH40" s="1" t="s">
        <v>85</v>
      </c>
      <c r="AI40" s="6">
        <v>48621.0</v>
      </c>
      <c r="AJ40" s="1" t="s">
        <v>86</v>
      </c>
      <c r="AK40" s="1" t="s">
        <v>600</v>
      </c>
      <c r="AL40" s="1" t="s">
        <v>601</v>
      </c>
      <c r="AM40" s="11" t="str">
        <f>VLOOKUP(N40,Sheet3!$B$4:$C$10,2,1)</f>
        <v>31-40</v>
      </c>
      <c r="AN40" s="13" t="str">
        <f>VLOOKUP(Z40,Sheet3!$F$4:$G$10,2,1)</f>
        <v>&lt; 5</v>
      </c>
      <c r="AO40" s="5" t="str">
        <f>VLOOKUP(AA40,Sheet3!$I$3:$J$16,2,1)</f>
        <v>180000-200000</v>
      </c>
      <c r="AP40" s="5" t="str">
        <f>VLOOKUP(AB40,Sheet3!$L$4:$M$14,2,1)</f>
        <v>21% - 25%</v>
      </c>
    </row>
    <row r="41">
      <c r="A41" s="6">
        <v>297741.0</v>
      </c>
      <c r="B41" s="1" t="s">
        <v>42</v>
      </c>
      <c r="C41" s="1" t="s">
        <v>602</v>
      </c>
      <c r="D41" s="1" t="s">
        <v>288</v>
      </c>
      <c r="E41" s="1" t="s">
        <v>509</v>
      </c>
      <c r="F41" s="1" t="s">
        <v>46</v>
      </c>
      <c r="G41" s="1" t="s">
        <v>603</v>
      </c>
      <c r="H41" s="1" t="s">
        <v>604</v>
      </c>
      <c r="I41" s="1" t="s">
        <v>605</v>
      </c>
      <c r="J41" s="1" t="s">
        <v>606</v>
      </c>
      <c r="K41" s="1" t="s">
        <v>607</v>
      </c>
      <c r="L41" s="9">
        <v>22872.0</v>
      </c>
      <c r="M41" s="8">
        <v>0.7919097222222222</v>
      </c>
      <c r="N41" s="6">
        <v>54.99</v>
      </c>
      <c r="O41" s="6">
        <v>40.0</v>
      </c>
      <c r="P41" s="14">
        <v>35377.0</v>
      </c>
      <c r="Q41" s="1" t="s">
        <v>52</v>
      </c>
      <c r="R41" s="1" t="s">
        <v>53</v>
      </c>
      <c r="S41" s="6">
        <v>1996.0</v>
      </c>
      <c r="T41" s="6">
        <v>11.0</v>
      </c>
      <c r="U41" s="1" t="s">
        <v>148</v>
      </c>
      <c r="V41" s="1" t="s">
        <v>149</v>
      </c>
      <c r="W41" s="6">
        <v>8.0</v>
      </c>
      <c r="X41" s="1" t="s">
        <v>263</v>
      </c>
      <c r="Y41" s="1" t="s">
        <v>264</v>
      </c>
      <c r="Z41" s="6">
        <v>20.73</v>
      </c>
      <c r="AA41" s="6">
        <v>48443.0</v>
      </c>
      <c r="AB41" s="10">
        <v>0.04</v>
      </c>
      <c r="AC41" s="1" t="s">
        <v>608</v>
      </c>
      <c r="AD41" s="1" t="s">
        <v>609</v>
      </c>
      <c r="AE41" s="1" t="s">
        <v>610</v>
      </c>
      <c r="AF41" s="1" t="s">
        <v>611</v>
      </c>
      <c r="AG41" s="1" t="s">
        <v>610</v>
      </c>
      <c r="AH41" s="1" t="s">
        <v>210</v>
      </c>
      <c r="AI41" s="6">
        <v>61426.0</v>
      </c>
      <c r="AJ41" s="1" t="s">
        <v>86</v>
      </c>
      <c r="AK41" s="1" t="s">
        <v>612</v>
      </c>
      <c r="AL41" s="1" t="s">
        <v>613</v>
      </c>
      <c r="AM41" s="11" t="str">
        <f>VLOOKUP(N41,Sheet3!$B$4:$C$10,2,1)</f>
        <v>51-60</v>
      </c>
      <c r="AN41" s="12" t="str">
        <f>VLOOKUP(Z41,Sheet3!$F$4:$G$10,2,1)</f>
        <v>11-20</v>
      </c>
      <c r="AO41" s="5" t="str">
        <f>VLOOKUP(AA41,Sheet3!$I$3:$J$16,2,1)</f>
        <v>40000-60000</v>
      </c>
      <c r="AP41" s="5" t="str">
        <f>VLOOKUP(AB41,Sheet3!$L$4:$M$14,2,1)</f>
        <v>&lt; 5%</v>
      </c>
    </row>
    <row r="42">
      <c r="A42" s="6">
        <v>458320.0</v>
      </c>
      <c r="B42" s="1" t="s">
        <v>42</v>
      </c>
      <c r="C42" s="1" t="s">
        <v>614</v>
      </c>
      <c r="D42" s="1" t="s">
        <v>360</v>
      </c>
      <c r="E42" s="1" t="s">
        <v>615</v>
      </c>
      <c r="F42" s="1" t="s">
        <v>46</v>
      </c>
      <c r="G42" s="1" t="s">
        <v>616</v>
      </c>
      <c r="H42" s="1" t="s">
        <v>604</v>
      </c>
      <c r="I42" s="1" t="s">
        <v>617</v>
      </c>
      <c r="J42" s="1" t="s">
        <v>618</v>
      </c>
      <c r="K42" s="1" t="s">
        <v>619</v>
      </c>
      <c r="L42" s="14">
        <v>21161.0</v>
      </c>
      <c r="M42" s="8">
        <v>0.7949189814814814</v>
      </c>
      <c r="N42" s="6">
        <v>59.68</v>
      </c>
      <c r="O42" s="6">
        <v>55.0</v>
      </c>
      <c r="P42" s="9">
        <v>41272.0</v>
      </c>
      <c r="Q42" s="1" t="s">
        <v>52</v>
      </c>
      <c r="R42" s="1" t="s">
        <v>53</v>
      </c>
      <c r="S42" s="6">
        <v>2012.0</v>
      </c>
      <c r="T42" s="6">
        <v>12.0</v>
      </c>
      <c r="U42" s="1" t="s">
        <v>54</v>
      </c>
      <c r="V42" s="1" t="s">
        <v>55</v>
      </c>
      <c r="W42" s="6">
        <v>29.0</v>
      </c>
      <c r="X42" s="1" t="s">
        <v>56</v>
      </c>
      <c r="Y42" s="1" t="s">
        <v>57</v>
      </c>
      <c r="Z42" s="6">
        <v>4.58</v>
      </c>
      <c r="AA42" s="6">
        <v>44198.0</v>
      </c>
      <c r="AB42" s="10">
        <v>0.17</v>
      </c>
      <c r="AC42" s="1" t="s">
        <v>620</v>
      </c>
      <c r="AD42" s="1" t="s">
        <v>621</v>
      </c>
      <c r="AE42" s="1" t="s">
        <v>622</v>
      </c>
      <c r="AF42" s="1" t="s">
        <v>623</v>
      </c>
      <c r="AG42" s="1" t="s">
        <v>622</v>
      </c>
      <c r="AH42" s="1" t="s">
        <v>284</v>
      </c>
      <c r="AI42" s="6">
        <v>50608.0</v>
      </c>
      <c r="AJ42" s="1" t="s">
        <v>86</v>
      </c>
      <c r="AK42" s="1" t="s">
        <v>624</v>
      </c>
      <c r="AL42" s="1" t="s">
        <v>625</v>
      </c>
      <c r="AM42" s="11" t="str">
        <f>VLOOKUP(N42,Sheet3!$B$4:$C$10,2,1)</f>
        <v>51-60</v>
      </c>
      <c r="AN42" s="13" t="str">
        <f>VLOOKUP(Z42,Sheet3!$F$4:$G$10,2,1)</f>
        <v>&lt; 5</v>
      </c>
      <c r="AO42" s="5" t="str">
        <f>VLOOKUP(AA42,Sheet3!$I$3:$J$16,2,1)</f>
        <v>40000-60000</v>
      </c>
      <c r="AP42" s="5" t="str">
        <f>VLOOKUP(AB42,Sheet3!$L$4:$M$14,2,1)</f>
        <v>16% - 20%</v>
      </c>
    </row>
    <row r="43">
      <c r="A43" s="6">
        <v>297059.0</v>
      </c>
      <c r="B43" s="1" t="s">
        <v>66</v>
      </c>
      <c r="C43" s="1" t="s">
        <v>626</v>
      </c>
      <c r="D43" s="1" t="s">
        <v>416</v>
      </c>
      <c r="E43" s="1" t="s">
        <v>627</v>
      </c>
      <c r="F43" s="1" t="s">
        <v>70</v>
      </c>
      <c r="G43" s="1" t="s">
        <v>628</v>
      </c>
      <c r="H43" s="1" t="s">
        <v>604</v>
      </c>
      <c r="I43" s="1" t="s">
        <v>629</v>
      </c>
      <c r="J43" s="1" t="s">
        <v>630</v>
      </c>
      <c r="K43" s="1" t="s">
        <v>631</v>
      </c>
      <c r="L43" s="9">
        <v>24831.0</v>
      </c>
      <c r="M43" s="8">
        <v>0.8132986111111111</v>
      </c>
      <c r="N43" s="6">
        <v>49.62</v>
      </c>
      <c r="O43" s="6">
        <v>83.0</v>
      </c>
      <c r="P43" s="14">
        <v>38108.0</v>
      </c>
      <c r="Q43" s="1" t="s">
        <v>75</v>
      </c>
      <c r="R43" s="1" t="s">
        <v>76</v>
      </c>
      <c r="S43" s="6">
        <v>2004.0</v>
      </c>
      <c r="T43" s="6">
        <v>5.0</v>
      </c>
      <c r="U43" s="1" t="s">
        <v>294</v>
      </c>
      <c r="V43" s="1" t="s">
        <v>294</v>
      </c>
      <c r="W43" s="6">
        <v>1.0</v>
      </c>
      <c r="X43" s="1" t="s">
        <v>56</v>
      </c>
      <c r="Y43" s="1" t="s">
        <v>57</v>
      </c>
      <c r="Z43" s="6">
        <v>13.25</v>
      </c>
      <c r="AA43" s="6">
        <v>169620.0</v>
      </c>
      <c r="AB43" s="10">
        <v>0.02</v>
      </c>
      <c r="AC43" s="1" t="s">
        <v>632</v>
      </c>
      <c r="AD43" s="1" t="s">
        <v>633</v>
      </c>
      <c r="AE43" s="1" t="s">
        <v>634</v>
      </c>
      <c r="AF43" s="1" t="s">
        <v>635</v>
      </c>
      <c r="AG43" s="1" t="s">
        <v>634</v>
      </c>
      <c r="AH43" s="1" t="s">
        <v>356</v>
      </c>
      <c r="AI43" s="6">
        <v>14410.0</v>
      </c>
      <c r="AJ43" s="1" t="s">
        <v>224</v>
      </c>
      <c r="AK43" s="1" t="s">
        <v>636</v>
      </c>
      <c r="AL43" s="1" t="s">
        <v>637</v>
      </c>
      <c r="AM43" s="11" t="str">
        <f>VLOOKUP(N43,Sheet3!$B$4:$C$10,2,1)</f>
        <v>41-50</v>
      </c>
      <c r="AN43" s="12" t="str">
        <f>VLOOKUP(Z43,Sheet3!$F$4:$G$10,2,1)</f>
        <v>11-20</v>
      </c>
      <c r="AO43" s="5" t="str">
        <f>VLOOKUP(AA43,Sheet3!$I$3:$J$16,2,1)</f>
        <v>160000-180000</v>
      </c>
      <c r="AP43" s="5" t="str">
        <f>VLOOKUP(AB43,Sheet3!$L$4:$M$14,2,1)</f>
        <v>&lt; 5%</v>
      </c>
    </row>
    <row r="44">
      <c r="A44" s="6">
        <v>874971.0</v>
      </c>
      <c r="B44" s="1" t="s">
        <v>66</v>
      </c>
      <c r="C44" s="1" t="s">
        <v>638</v>
      </c>
      <c r="D44" s="1" t="s">
        <v>443</v>
      </c>
      <c r="E44" s="1" t="s">
        <v>61</v>
      </c>
      <c r="F44" s="1" t="s">
        <v>70</v>
      </c>
      <c r="G44" s="1" t="s">
        <v>639</v>
      </c>
      <c r="H44" s="1" t="s">
        <v>604</v>
      </c>
      <c r="I44" s="1" t="s">
        <v>640</v>
      </c>
      <c r="J44" s="1" t="s">
        <v>641</v>
      </c>
      <c r="K44" s="1" t="s">
        <v>642</v>
      </c>
      <c r="L44" s="9">
        <v>23005.0</v>
      </c>
      <c r="M44" s="8">
        <v>0.6813888888888889</v>
      </c>
      <c r="N44" s="6">
        <v>54.63</v>
      </c>
      <c r="O44" s="6">
        <v>86.0</v>
      </c>
      <c r="P44" s="14">
        <v>31055.0</v>
      </c>
      <c r="Q44" s="1" t="s">
        <v>96</v>
      </c>
      <c r="R44" s="1" t="s">
        <v>76</v>
      </c>
      <c r="S44" s="6">
        <v>1985.0</v>
      </c>
      <c r="T44" s="6">
        <v>1.0</v>
      </c>
      <c r="U44" s="1" t="s">
        <v>276</v>
      </c>
      <c r="V44" s="1" t="s">
        <v>277</v>
      </c>
      <c r="W44" s="6">
        <v>8.0</v>
      </c>
      <c r="X44" s="1" t="s">
        <v>79</v>
      </c>
      <c r="Y44" s="1" t="s">
        <v>80</v>
      </c>
      <c r="Z44" s="6">
        <v>32.57</v>
      </c>
      <c r="AA44" s="6">
        <v>125299.0</v>
      </c>
      <c r="AB44" s="10">
        <v>0.13</v>
      </c>
      <c r="AC44" s="1" t="s">
        <v>643</v>
      </c>
      <c r="AD44" s="1" t="s">
        <v>644</v>
      </c>
      <c r="AE44" s="1" t="s">
        <v>645</v>
      </c>
      <c r="AF44" s="1" t="s">
        <v>112</v>
      </c>
      <c r="AG44" s="1" t="s">
        <v>645</v>
      </c>
      <c r="AH44" s="1" t="s">
        <v>223</v>
      </c>
      <c r="AI44" s="6">
        <v>17537.0</v>
      </c>
      <c r="AJ44" s="1" t="s">
        <v>224</v>
      </c>
      <c r="AK44" s="1" t="s">
        <v>646</v>
      </c>
      <c r="AL44" s="1" t="s">
        <v>647</v>
      </c>
      <c r="AM44" s="11" t="str">
        <f>VLOOKUP(N44,Sheet3!$B$4:$C$10,2,1)</f>
        <v>51-60</v>
      </c>
      <c r="AN44" s="13" t="str">
        <f>VLOOKUP(Z44,Sheet3!$F$4:$G$10,2,1)</f>
        <v>31-40</v>
      </c>
      <c r="AO44" s="5" t="str">
        <f>VLOOKUP(AA44,Sheet3!$I$3:$J$16,2,1)</f>
        <v>120000-140000</v>
      </c>
      <c r="AP44" s="5" t="str">
        <f>VLOOKUP(AB44,Sheet3!$L$4:$M$14,2,1)</f>
        <v>11% - 15%</v>
      </c>
    </row>
    <row r="45">
      <c r="A45" s="6">
        <v>136626.0</v>
      </c>
      <c r="B45" s="1" t="s">
        <v>42</v>
      </c>
      <c r="C45" s="1" t="s">
        <v>648</v>
      </c>
      <c r="D45" s="1" t="s">
        <v>360</v>
      </c>
      <c r="E45" s="1" t="s">
        <v>649</v>
      </c>
      <c r="F45" s="1" t="s">
        <v>46</v>
      </c>
      <c r="G45" s="1" t="s">
        <v>650</v>
      </c>
      <c r="H45" s="1" t="s">
        <v>604</v>
      </c>
      <c r="I45" s="1" t="s">
        <v>651</v>
      </c>
      <c r="J45" s="1" t="s">
        <v>652</v>
      </c>
      <c r="K45" s="1" t="s">
        <v>653</v>
      </c>
      <c r="L45" s="9">
        <v>27470.0</v>
      </c>
      <c r="M45" s="8">
        <v>0.9311805555555556</v>
      </c>
      <c r="N45" s="6">
        <v>42.39</v>
      </c>
      <c r="O45" s="6">
        <v>41.0</v>
      </c>
      <c r="P45" s="9">
        <v>37679.0</v>
      </c>
      <c r="Q45" s="1" t="s">
        <v>96</v>
      </c>
      <c r="R45" s="1" t="s">
        <v>76</v>
      </c>
      <c r="S45" s="6">
        <v>2003.0</v>
      </c>
      <c r="T45" s="6">
        <v>2.0</v>
      </c>
      <c r="U45" s="1" t="s">
        <v>117</v>
      </c>
      <c r="V45" s="1" t="s">
        <v>118</v>
      </c>
      <c r="W45" s="6">
        <v>27.0</v>
      </c>
      <c r="X45" s="1" t="s">
        <v>150</v>
      </c>
      <c r="Y45" s="1" t="s">
        <v>151</v>
      </c>
      <c r="Z45" s="6">
        <v>14.42</v>
      </c>
      <c r="AA45" s="6">
        <v>132431.0</v>
      </c>
      <c r="AB45" s="10">
        <v>0.01</v>
      </c>
      <c r="AC45" s="1" t="s">
        <v>654</v>
      </c>
      <c r="AD45" s="1" t="s">
        <v>655</v>
      </c>
      <c r="AE45" s="1" t="s">
        <v>656</v>
      </c>
      <c r="AF45" s="1" t="s">
        <v>657</v>
      </c>
      <c r="AG45" s="1" t="s">
        <v>656</v>
      </c>
      <c r="AH45" s="1" t="s">
        <v>488</v>
      </c>
      <c r="AI45" s="6">
        <v>32656.0</v>
      </c>
      <c r="AJ45" s="1" t="s">
        <v>106</v>
      </c>
      <c r="AK45" s="1" t="s">
        <v>658</v>
      </c>
      <c r="AL45" s="1" t="s">
        <v>659</v>
      </c>
      <c r="AM45" s="11" t="str">
        <f>VLOOKUP(N45,Sheet3!$B$4:$C$10,2,1)</f>
        <v>41-50</v>
      </c>
      <c r="AN45" s="12" t="str">
        <f>VLOOKUP(Z45,Sheet3!$F$4:$G$10,2,1)</f>
        <v>11-20</v>
      </c>
      <c r="AO45" s="5" t="str">
        <f>VLOOKUP(AA45,Sheet3!$I$3:$J$16,2,1)</f>
        <v>120000-140000</v>
      </c>
      <c r="AP45" s="5" t="str">
        <f>VLOOKUP(AB45,Sheet3!$L$4:$M$14,2,1)</f>
        <v>&lt; 5%</v>
      </c>
    </row>
    <row r="46">
      <c r="A46" s="6">
        <v>865495.0</v>
      </c>
      <c r="B46" s="1" t="s">
        <v>66</v>
      </c>
      <c r="C46" s="1" t="s">
        <v>660</v>
      </c>
      <c r="D46" s="1" t="s">
        <v>186</v>
      </c>
      <c r="E46" s="1" t="s">
        <v>661</v>
      </c>
      <c r="F46" s="1" t="s">
        <v>70</v>
      </c>
      <c r="G46" s="1" t="s">
        <v>662</v>
      </c>
      <c r="H46" s="1" t="s">
        <v>604</v>
      </c>
      <c r="I46" s="1" t="s">
        <v>663</v>
      </c>
      <c r="J46" s="1" t="s">
        <v>664</v>
      </c>
      <c r="K46" s="1" t="s">
        <v>665</v>
      </c>
      <c r="L46" s="9">
        <v>35091.0</v>
      </c>
      <c r="M46" s="8">
        <v>0.15188657407407408</v>
      </c>
      <c r="N46" s="6">
        <v>21.52</v>
      </c>
      <c r="O46" s="6">
        <v>90.0</v>
      </c>
      <c r="P46" s="14">
        <v>42772.0</v>
      </c>
      <c r="Q46" s="1" t="s">
        <v>96</v>
      </c>
      <c r="R46" s="1" t="s">
        <v>76</v>
      </c>
      <c r="S46" s="6">
        <v>2017.0</v>
      </c>
      <c r="T46" s="6">
        <v>2.0</v>
      </c>
      <c r="U46" s="1" t="s">
        <v>117</v>
      </c>
      <c r="V46" s="1" t="s">
        <v>118</v>
      </c>
      <c r="W46" s="6">
        <v>6.0</v>
      </c>
      <c r="X46" s="1" t="s">
        <v>99</v>
      </c>
      <c r="Y46" s="1" t="s">
        <v>100</v>
      </c>
      <c r="Z46" s="6">
        <v>0.47</v>
      </c>
      <c r="AA46" s="6">
        <v>118525.0</v>
      </c>
      <c r="AB46" s="10">
        <v>0.26</v>
      </c>
      <c r="AC46" s="1" t="s">
        <v>666</v>
      </c>
      <c r="AD46" s="1" t="s">
        <v>667</v>
      </c>
      <c r="AE46" s="1" t="s">
        <v>668</v>
      </c>
      <c r="AF46" s="1" t="s">
        <v>394</v>
      </c>
      <c r="AG46" s="1" t="s">
        <v>668</v>
      </c>
      <c r="AH46" s="1" t="s">
        <v>210</v>
      </c>
      <c r="AI46" s="6">
        <v>62928.0</v>
      </c>
      <c r="AJ46" s="1" t="s">
        <v>86</v>
      </c>
      <c r="AK46" s="1" t="s">
        <v>669</v>
      </c>
      <c r="AL46" s="1" t="s">
        <v>670</v>
      </c>
      <c r="AM46" s="11" t="str">
        <f>VLOOKUP(N46,Sheet3!$B$4:$C$10,2,1)</f>
        <v>21-30</v>
      </c>
      <c r="AN46" s="13" t="str">
        <f>VLOOKUP(Z46,Sheet3!$F$4:$G$10,2,1)</f>
        <v>&lt; 5</v>
      </c>
      <c r="AO46" s="5" t="str">
        <f>VLOOKUP(AA46,Sheet3!$I$3:$J$16,2,1)</f>
        <v>100000-120000</v>
      </c>
      <c r="AP46" s="5" t="str">
        <f>VLOOKUP(AB46,Sheet3!$L$4:$M$14,2,1)</f>
        <v>26% - 30%</v>
      </c>
    </row>
    <row r="47">
      <c r="A47" s="6">
        <v>415161.0</v>
      </c>
      <c r="B47" s="1" t="s">
        <v>255</v>
      </c>
      <c r="C47" s="1" t="s">
        <v>671</v>
      </c>
      <c r="D47" s="1" t="s">
        <v>200</v>
      </c>
      <c r="E47" s="1" t="s">
        <v>335</v>
      </c>
      <c r="F47" s="1" t="s">
        <v>70</v>
      </c>
      <c r="G47" s="1" t="s">
        <v>672</v>
      </c>
      <c r="H47" s="1" t="s">
        <v>604</v>
      </c>
      <c r="I47" s="1" t="s">
        <v>673</v>
      </c>
      <c r="J47" s="1" t="s">
        <v>674</v>
      </c>
      <c r="K47" s="1" t="s">
        <v>675</v>
      </c>
      <c r="L47" s="14">
        <v>31205.0</v>
      </c>
      <c r="M47" s="8">
        <v>0.15387731481481481</v>
      </c>
      <c r="N47" s="6">
        <v>32.16</v>
      </c>
      <c r="O47" s="6">
        <v>56.0</v>
      </c>
      <c r="P47" s="9">
        <v>40831.0</v>
      </c>
      <c r="Q47" s="1" t="s">
        <v>52</v>
      </c>
      <c r="R47" s="1" t="s">
        <v>53</v>
      </c>
      <c r="S47" s="6">
        <v>2011.0</v>
      </c>
      <c r="T47" s="6">
        <v>10.0</v>
      </c>
      <c r="U47" s="1" t="s">
        <v>133</v>
      </c>
      <c r="V47" s="1" t="s">
        <v>134</v>
      </c>
      <c r="W47" s="6">
        <v>15.0</v>
      </c>
      <c r="X47" s="1" t="s">
        <v>56</v>
      </c>
      <c r="Y47" s="1" t="s">
        <v>57</v>
      </c>
      <c r="Z47" s="6">
        <v>5.79</v>
      </c>
      <c r="AA47" s="6">
        <v>127772.0</v>
      </c>
      <c r="AB47" s="10">
        <v>0.16</v>
      </c>
      <c r="AC47" s="1" t="s">
        <v>676</v>
      </c>
      <c r="AD47" s="1" t="s">
        <v>677</v>
      </c>
      <c r="AE47" s="1" t="s">
        <v>678</v>
      </c>
      <c r="AF47" s="1" t="s">
        <v>679</v>
      </c>
      <c r="AG47" s="1" t="s">
        <v>678</v>
      </c>
      <c r="AH47" s="1" t="s">
        <v>223</v>
      </c>
      <c r="AI47" s="6">
        <v>15549.0</v>
      </c>
      <c r="AJ47" s="1" t="s">
        <v>224</v>
      </c>
      <c r="AK47" s="1" t="s">
        <v>680</v>
      </c>
      <c r="AL47" s="1" t="s">
        <v>681</v>
      </c>
      <c r="AM47" s="11" t="str">
        <f>VLOOKUP(N47,Sheet3!$B$4:$C$10,2,1)</f>
        <v>31-40</v>
      </c>
      <c r="AN47" s="12" t="str">
        <f>VLOOKUP(Z47,Sheet3!$F$4:$G$10,2,1)</f>
        <v>5-10</v>
      </c>
      <c r="AO47" s="5" t="str">
        <f>VLOOKUP(AA47,Sheet3!$I$3:$J$16,2,1)</f>
        <v>120000-140000</v>
      </c>
      <c r="AP47" s="5" t="str">
        <f>VLOOKUP(AB47,Sheet3!$L$4:$M$14,2,1)</f>
        <v>16% - 20%</v>
      </c>
    </row>
    <row r="48">
      <c r="A48" s="6">
        <v>279563.0</v>
      </c>
      <c r="B48" s="1" t="s">
        <v>66</v>
      </c>
      <c r="C48" s="1" t="s">
        <v>682</v>
      </c>
      <c r="D48" s="1" t="s">
        <v>683</v>
      </c>
      <c r="E48" s="1" t="s">
        <v>684</v>
      </c>
      <c r="F48" s="1" t="s">
        <v>70</v>
      </c>
      <c r="G48" s="1" t="s">
        <v>685</v>
      </c>
      <c r="H48" s="1" t="s">
        <v>604</v>
      </c>
      <c r="I48" s="1" t="s">
        <v>686</v>
      </c>
      <c r="J48" s="1" t="s">
        <v>687</v>
      </c>
      <c r="K48" s="1" t="s">
        <v>688</v>
      </c>
      <c r="L48" s="14">
        <v>34457.0</v>
      </c>
      <c r="M48" s="8">
        <v>0.34427083333333336</v>
      </c>
      <c r="N48" s="6">
        <v>23.25</v>
      </c>
      <c r="O48" s="6">
        <v>61.0</v>
      </c>
      <c r="P48" s="9">
        <v>42291.0</v>
      </c>
      <c r="Q48" s="1" t="s">
        <v>52</v>
      </c>
      <c r="R48" s="1" t="s">
        <v>53</v>
      </c>
      <c r="S48" s="6">
        <v>2015.0</v>
      </c>
      <c r="T48" s="6">
        <v>10.0</v>
      </c>
      <c r="U48" s="1" t="s">
        <v>133</v>
      </c>
      <c r="V48" s="1" t="s">
        <v>134</v>
      </c>
      <c r="W48" s="6">
        <v>14.0</v>
      </c>
      <c r="X48" s="1" t="s">
        <v>278</v>
      </c>
      <c r="Y48" s="1" t="s">
        <v>279</v>
      </c>
      <c r="Z48" s="6">
        <v>1.79</v>
      </c>
      <c r="AA48" s="6">
        <v>67442.0</v>
      </c>
      <c r="AB48" s="10">
        <v>0.15</v>
      </c>
      <c r="AC48" s="1" t="s">
        <v>689</v>
      </c>
      <c r="AD48" s="1" t="s">
        <v>690</v>
      </c>
      <c r="AE48" s="1" t="s">
        <v>691</v>
      </c>
      <c r="AF48" s="1" t="s">
        <v>692</v>
      </c>
      <c r="AG48" s="1" t="s">
        <v>691</v>
      </c>
      <c r="AH48" s="1" t="s">
        <v>210</v>
      </c>
      <c r="AI48" s="6">
        <v>60406.0</v>
      </c>
      <c r="AJ48" s="1" t="s">
        <v>86</v>
      </c>
      <c r="AK48" s="1" t="s">
        <v>693</v>
      </c>
      <c r="AL48" s="1" t="s">
        <v>694</v>
      </c>
      <c r="AM48" s="11" t="str">
        <f>VLOOKUP(N48,Sheet3!$B$4:$C$10,2,1)</f>
        <v>21-30</v>
      </c>
      <c r="AN48" s="13" t="str">
        <f>VLOOKUP(Z48,Sheet3!$F$4:$G$10,2,1)</f>
        <v>&lt; 5</v>
      </c>
      <c r="AO48" s="5" t="str">
        <f>VLOOKUP(AA48,Sheet3!$I$3:$J$16,2,1)</f>
        <v>60000-80000</v>
      </c>
      <c r="AP48" s="5" t="str">
        <f>VLOOKUP(AB48,Sheet3!$L$4:$M$14,2,1)</f>
        <v>11% - 15%</v>
      </c>
    </row>
    <row r="49">
      <c r="A49" s="6">
        <v>201710.0</v>
      </c>
      <c r="B49" s="1" t="s">
        <v>42</v>
      </c>
      <c r="C49" s="1" t="s">
        <v>695</v>
      </c>
      <c r="D49" s="1" t="s">
        <v>683</v>
      </c>
      <c r="E49" s="1" t="s">
        <v>365</v>
      </c>
      <c r="F49" s="1" t="s">
        <v>46</v>
      </c>
      <c r="G49" s="1" t="s">
        <v>696</v>
      </c>
      <c r="H49" s="1" t="s">
        <v>604</v>
      </c>
      <c r="I49" s="1" t="s">
        <v>697</v>
      </c>
      <c r="J49" s="1" t="s">
        <v>698</v>
      </c>
      <c r="K49" s="1" t="s">
        <v>699</v>
      </c>
      <c r="L49" s="9">
        <v>30458.0</v>
      </c>
      <c r="M49" s="8">
        <v>0.38663194444444443</v>
      </c>
      <c r="N49" s="6">
        <v>34.21</v>
      </c>
      <c r="O49" s="6">
        <v>44.0</v>
      </c>
      <c r="P49" s="9">
        <v>42904.0</v>
      </c>
      <c r="Q49" s="1" t="s">
        <v>75</v>
      </c>
      <c r="R49" s="1" t="s">
        <v>76</v>
      </c>
      <c r="S49" s="6">
        <v>2017.0</v>
      </c>
      <c r="T49" s="6">
        <v>6.0</v>
      </c>
      <c r="U49" s="1" t="s">
        <v>324</v>
      </c>
      <c r="V49" s="1" t="s">
        <v>325</v>
      </c>
      <c r="W49" s="6">
        <v>18.0</v>
      </c>
      <c r="X49" s="1" t="s">
        <v>534</v>
      </c>
      <c r="Y49" s="1" t="s">
        <v>535</v>
      </c>
      <c r="Z49" s="6">
        <v>0.11</v>
      </c>
      <c r="AA49" s="6">
        <v>96197.0</v>
      </c>
      <c r="AB49" s="10">
        <v>0.01</v>
      </c>
      <c r="AC49" s="1" t="s">
        <v>700</v>
      </c>
      <c r="AD49" s="1" t="s">
        <v>701</v>
      </c>
      <c r="AE49" s="1" t="s">
        <v>702</v>
      </c>
      <c r="AF49" s="1" t="s">
        <v>703</v>
      </c>
      <c r="AG49" s="1" t="s">
        <v>702</v>
      </c>
      <c r="AH49" s="1" t="s">
        <v>385</v>
      </c>
      <c r="AI49" s="6">
        <v>98811.0</v>
      </c>
      <c r="AJ49" s="1" t="s">
        <v>63</v>
      </c>
      <c r="AK49" s="1" t="s">
        <v>704</v>
      </c>
      <c r="AL49" s="1" t="s">
        <v>705</v>
      </c>
      <c r="AM49" s="11" t="str">
        <f>VLOOKUP(N49,Sheet3!$B$4:$C$10,2,1)</f>
        <v>31-40</v>
      </c>
      <c r="AN49" s="13" t="str">
        <f>VLOOKUP(Z49,Sheet3!$F$4:$G$10,2,1)</f>
        <v>&lt; 5</v>
      </c>
      <c r="AO49" s="5" t="str">
        <f>VLOOKUP(AA49,Sheet3!$I$3:$J$16,2,1)</f>
        <v>80000-100000</v>
      </c>
      <c r="AP49" s="5" t="str">
        <f>VLOOKUP(AB49,Sheet3!$L$4:$M$14,2,1)</f>
        <v>&lt; 5%</v>
      </c>
    </row>
    <row r="50">
      <c r="A50" s="6">
        <v>722543.0</v>
      </c>
      <c r="B50" s="1" t="s">
        <v>42</v>
      </c>
      <c r="C50" s="1" t="s">
        <v>706</v>
      </c>
      <c r="D50" s="1" t="s">
        <v>288</v>
      </c>
      <c r="E50" s="1" t="s">
        <v>707</v>
      </c>
      <c r="F50" s="1" t="s">
        <v>46</v>
      </c>
      <c r="G50" s="1" t="s">
        <v>708</v>
      </c>
      <c r="H50" s="1" t="s">
        <v>604</v>
      </c>
      <c r="I50" s="1" t="s">
        <v>709</v>
      </c>
      <c r="J50" s="1" t="s">
        <v>710</v>
      </c>
      <c r="K50" s="1" t="s">
        <v>711</v>
      </c>
      <c r="L50" s="9">
        <v>29630.0</v>
      </c>
      <c r="M50" s="8">
        <v>0.41707175925925927</v>
      </c>
      <c r="N50" s="6">
        <v>36.48</v>
      </c>
      <c r="O50" s="6">
        <v>59.0</v>
      </c>
      <c r="P50" s="14">
        <v>42372.0</v>
      </c>
      <c r="Q50" s="1" t="s">
        <v>96</v>
      </c>
      <c r="R50" s="1" t="s">
        <v>76</v>
      </c>
      <c r="S50" s="6">
        <v>2016.0</v>
      </c>
      <c r="T50" s="6">
        <v>1.0</v>
      </c>
      <c r="U50" s="1" t="s">
        <v>276</v>
      </c>
      <c r="V50" s="1" t="s">
        <v>277</v>
      </c>
      <c r="W50" s="6">
        <v>3.0</v>
      </c>
      <c r="X50" s="1" t="s">
        <v>534</v>
      </c>
      <c r="Y50" s="1" t="s">
        <v>535</v>
      </c>
      <c r="Z50" s="6">
        <v>1.57</v>
      </c>
      <c r="AA50" s="6">
        <v>96641.0</v>
      </c>
      <c r="AB50" s="10">
        <v>0.18</v>
      </c>
      <c r="AC50" s="1" t="s">
        <v>712</v>
      </c>
      <c r="AD50" s="1" t="s">
        <v>713</v>
      </c>
      <c r="AE50" s="1" t="s">
        <v>714</v>
      </c>
      <c r="AF50" s="1" t="s">
        <v>715</v>
      </c>
      <c r="AG50" s="1" t="s">
        <v>714</v>
      </c>
      <c r="AH50" s="1" t="s">
        <v>122</v>
      </c>
      <c r="AI50" s="6">
        <v>47807.0</v>
      </c>
      <c r="AJ50" s="1" t="s">
        <v>86</v>
      </c>
      <c r="AK50" s="1" t="s">
        <v>716</v>
      </c>
      <c r="AL50" s="1" t="s">
        <v>717</v>
      </c>
      <c r="AM50" s="11" t="str">
        <f>VLOOKUP(N50,Sheet3!$B$4:$C$10,2,1)</f>
        <v>31-40</v>
      </c>
      <c r="AN50" s="13" t="str">
        <f>VLOOKUP(Z50,Sheet3!$F$4:$G$10,2,1)</f>
        <v>&lt; 5</v>
      </c>
      <c r="AO50" s="5" t="str">
        <f>VLOOKUP(AA50,Sheet3!$I$3:$J$16,2,1)</f>
        <v>80000-100000</v>
      </c>
      <c r="AP50" s="5" t="str">
        <f>VLOOKUP(AB50,Sheet3!$L$4:$M$14,2,1)</f>
        <v>16% - 20%</v>
      </c>
    </row>
    <row r="51">
      <c r="A51" s="6">
        <v>909337.0</v>
      </c>
      <c r="B51" s="1" t="s">
        <v>66</v>
      </c>
      <c r="C51" s="1" t="s">
        <v>718</v>
      </c>
      <c r="D51" s="1" t="s">
        <v>70</v>
      </c>
      <c r="E51" s="1" t="s">
        <v>719</v>
      </c>
      <c r="F51" s="1" t="s">
        <v>70</v>
      </c>
      <c r="G51" s="1" t="s">
        <v>720</v>
      </c>
      <c r="H51" s="1" t="s">
        <v>604</v>
      </c>
      <c r="I51" s="1" t="s">
        <v>721</v>
      </c>
      <c r="J51" s="1" t="s">
        <v>722</v>
      </c>
      <c r="K51" s="1" t="s">
        <v>723</v>
      </c>
      <c r="L51" s="9">
        <v>32567.0</v>
      </c>
      <c r="M51" s="8">
        <v>0.45765046296296297</v>
      </c>
      <c r="N51" s="6">
        <v>28.43</v>
      </c>
      <c r="O51" s="6">
        <v>75.0</v>
      </c>
      <c r="P51" s="9">
        <v>40565.0</v>
      </c>
      <c r="Q51" s="1" t="s">
        <v>96</v>
      </c>
      <c r="R51" s="1" t="s">
        <v>76</v>
      </c>
      <c r="S51" s="6">
        <v>2011.0</v>
      </c>
      <c r="T51" s="6">
        <v>1.0</v>
      </c>
      <c r="U51" s="1" t="s">
        <v>276</v>
      </c>
      <c r="V51" s="1" t="s">
        <v>277</v>
      </c>
      <c r="W51" s="6">
        <v>22.0</v>
      </c>
      <c r="X51" s="1" t="s">
        <v>56</v>
      </c>
      <c r="Y51" s="1" t="s">
        <v>57</v>
      </c>
      <c r="Z51" s="6">
        <v>6.52</v>
      </c>
      <c r="AA51" s="6">
        <v>145181.0</v>
      </c>
      <c r="AB51" s="10">
        <v>0.08</v>
      </c>
      <c r="AC51" s="1" t="s">
        <v>724</v>
      </c>
      <c r="AD51" s="1" t="s">
        <v>725</v>
      </c>
      <c r="AE51" s="1" t="s">
        <v>726</v>
      </c>
      <c r="AF51" s="1" t="s">
        <v>727</v>
      </c>
      <c r="AG51" s="1" t="s">
        <v>726</v>
      </c>
      <c r="AH51" s="1" t="s">
        <v>105</v>
      </c>
      <c r="AI51" s="6">
        <v>41056.0</v>
      </c>
      <c r="AJ51" s="1" t="s">
        <v>106</v>
      </c>
      <c r="AK51" s="1" t="s">
        <v>728</v>
      </c>
      <c r="AL51" s="1" t="s">
        <v>729</v>
      </c>
      <c r="AM51" s="11" t="str">
        <f>VLOOKUP(N51,Sheet3!$B$4:$C$10,2,1)</f>
        <v>21-30</v>
      </c>
      <c r="AN51" s="12" t="str">
        <f>VLOOKUP(Z51,Sheet3!$F$4:$G$10,2,1)</f>
        <v>5-10</v>
      </c>
      <c r="AO51" s="5" t="str">
        <f>VLOOKUP(AA51,Sheet3!$I$3:$J$16,2,1)</f>
        <v>140000-160000</v>
      </c>
      <c r="AP51" s="5" t="str">
        <f>VLOOKUP(AB51,Sheet3!$L$4:$M$14,2,1)</f>
        <v>5% - 10%</v>
      </c>
    </row>
    <row r="52">
      <c r="A52" s="6">
        <v>601071.0</v>
      </c>
      <c r="B52" s="1" t="s">
        <v>42</v>
      </c>
      <c r="C52" s="1" t="s">
        <v>730</v>
      </c>
      <c r="D52" s="1" t="s">
        <v>242</v>
      </c>
      <c r="E52" s="1" t="s">
        <v>731</v>
      </c>
      <c r="F52" s="1" t="s">
        <v>46</v>
      </c>
      <c r="G52" s="1" t="s">
        <v>732</v>
      </c>
      <c r="H52" s="1" t="s">
        <v>604</v>
      </c>
      <c r="I52" s="1" t="s">
        <v>733</v>
      </c>
      <c r="J52" s="1" t="s">
        <v>734</v>
      </c>
      <c r="K52" s="1" t="s">
        <v>735</v>
      </c>
      <c r="L52" s="9">
        <v>31486.0</v>
      </c>
      <c r="M52" s="8">
        <v>0.7715625</v>
      </c>
      <c r="N52" s="6">
        <v>31.39</v>
      </c>
      <c r="O52" s="6">
        <v>50.0</v>
      </c>
      <c r="P52" s="9">
        <v>39858.0</v>
      </c>
      <c r="Q52" s="1" t="s">
        <v>96</v>
      </c>
      <c r="R52" s="1" t="s">
        <v>76</v>
      </c>
      <c r="S52" s="6">
        <v>2009.0</v>
      </c>
      <c r="T52" s="6">
        <v>2.0</v>
      </c>
      <c r="U52" s="1" t="s">
        <v>117</v>
      </c>
      <c r="V52" s="1" t="s">
        <v>118</v>
      </c>
      <c r="W52" s="6">
        <v>14.0</v>
      </c>
      <c r="X52" s="1" t="s">
        <v>56</v>
      </c>
      <c r="Y52" s="1" t="s">
        <v>57</v>
      </c>
      <c r="Z52" s="6">
        <v>8.45</v>
      </c>
      <c r="AA52" s="6">
        <v>199943.0</v>
      </c>
      <c r="AB52" s="10">
        <v>0.18</v>
      </c>
      <c r="AC52" s="1" t="s">
        <v>736</v>
      </c>
      <c r="AD52" s="1" t="s">
        <v>737</v>
      </c>
      <c r="AE52" s="1" t="s">
        <v>738</v>
      </c>
      <c r="AF52" s="1" t="s">
        <v>739</v>
      </c>
      <c r="AG52" s="1" t="s">
        <v>738</v>
      </c>
      <c r="AH52" s="1" t="s">
        <v>740</v>
      </c>
      <c r="AI52" s="6">
        <v>1002.0</v>
      </c>
      <c r="AJ52" s="1" t="s">
        <v>224</v>
      </c>
      <c r="AK52" s="1" t="s">
        <v>741</v>
      </c>
      <c r="AL52" s="1" t="s">
        <v>742</v>
      </c>
      <c r="AM52" s="11" t="str">
        <f>VLOOKUP(N52,Sheet3!$B$4:$C$10,2,1)</f>
        <v>31-40</v>
      </c>
      <c r="AN52" s="12" t="str">
        <f>VLOOKUP(Z52,Sheet3!$F$4:$G$10,2,1)</f>
        <v>5-10</v>
      </c>
      <c r="AO52" s="5" t="str">
        <f>VLOOKUP(AA52,Sheet3!$I$3:$J$16,2,1)</f>
        <v>180000-200000</v>
      </c>
      <c r="AP52" s="5" t="str">
        <f>VLOOKUP(AB52,Sheet3!$L$4:$M$14,2,1)</f>
        <v>16% - 20%</v>
      </c>
    </row>
    <row r="53">
      <c r="A53" s="6">
        <v>269523.0</v>
      </c>
      <c r="B53" s="1" t="s">
        <v>125</v>
      </c>
      <c r="C53" s="1" t="s">
        <v>743</v>
      </c>
      <c r="D53" s="1" t="s">
        <v>529</v>
      </c>
      <c r="E53" s="1" t="s">
        <v>744</v>
      </c>
      <c r="F53" s="1" t="s">
        <v>46</v>
      </c>
      <c r="G53" s="1" t="s">
        <v>745</v>
      </c>
      <c r="H53" s="1" t="s">
        <v>604</v>
      </c>
      <c r="I53" s="1" t="s">
        <v>746</v>
      </c>
      <c r="J53" s="1" t="s">
        <v>747</v>
      </c>
      <c r="K53" s="1" t="s">
        <v>748</v>
      </c>
      <c r="L53" s="9">
        <v>23306.0</v>
      </c>
      <c r="M53" s="8">
        <v>0.8579629629629629</v>
      </c>
      <c r="N53" s="6">
        <v>53.8</v>
      </c>
      <c r="O53" s="6">
        <v>47.0</v>
      </c>
      <c r="P53" s="9">
        <v>39171.0</v>
      </c>
      <c r="Q53" s="1" t="s">
        <v>96</v>
      </c>
      <c r="R53" s="1" t="s">
        <v>76</v>
      </c>
      <c r="S53" s="6">
        <v>2007.0</v>
      </c>
      <c r="T53" s="6">
        <v>3.0</v>
      </c>
      <c r="U53" s="1" t="s">
        <v>97</v>
      </c>
      <c r="V53" s="1" t="s">
        <v>98</v>
      </c>
      <c r="W53" s="6">
        <v>30.0</v>
      </c>
      <c r="X53" s="1" t="s">
        <v>263</v>
      </c>
      <c r="Y53" s="1" t="s">
        <v>264</v>
      </c>
      <c r="Z53" s="6">
        <v>10.34</v>
      </c>
      <c r="AA53" s="6">
        <v>144517.0</v>
      </c>
      <c r="AB53" s="10">
        <v>0.05</v>
      </c>
      <c r="AC53" s="1" t="s">
        <v>749</v>
      </c>
      <c r="AD53" s="1" t="s">
        <v>750</v>
      </c>
      <c r="AE53" s="1" t="s">
        <v>751</v>
      </c>
      <c r="AF53" s="1" t="s">
        <v>752</v>
      </c>
      <c r="AG53" s="1" t="s">
        <v>751</v>
      </c>
      <c r="AH53" s="1" t="s">
        <v>284</v>
      </c>
      <c r="AI53" s="6">
        <v>50609.0</v>
      </c>
      <c r="AJ53" s="1" t="s">
        <v>86</v>
      </c>
      <c r="AK53" s="1" t="s">
        <v>753</v>
      </c>
      <c r="AL53" s="1" t="s">
        <v>754</v>
      </c>
      <c r="AM53" s="11" t="str">
        <f>VLOOKUP(N53,Sheet3!$B$4:$C$10,2,1)</f>
        <v>51-60</v>
      </c>
      <c r="AN53" s="12" t="str">
        <f>VLOOKUP(Z53,Sheet3!$F$4:$G$10,2,1)</f>
        <v>5-10</v>
      </c>
      <c r="AO53" s="5" t="str">
        <f>VLOOKUP(AA53,Sheet3!$I$3:$J$16,2,1)</f>
        <v>140000-160000</v>
      </c>
      <c r="AP53" s="5" t="str">
        <f>VLOOKUP(AB53,Sheet3!$L$4:$M$14,2,1)</f>
        <v>5% - 10%</v>
      </c>
    </row>
    <row r="54">
      <c r="A54" s="6">
        <v>310986.0</v>
      </c>
      <c r="B54" s="1" t="s">
        <v>89</v>
      </c>
      <c r="C54" s="1" t="s">
        <v>755</v>
      </c>
      <c r="D54" s="1" t="s">
        <v>443</v>
      </c>
      <c r="E54" s="1" t="s">
        <v>756</v>
      </c>
      <c r="F54" s="1" t="s">
        <v>46</v>
      </c>
      <c r="G54" s="1" t="s">
        <v>757</v>
      </c>
      <c r="H54" s="1" t="s">
        <v>604</v>
      </c>
      <c r="I54" s="1" t="s">
        <v>758</v>
      </c>
      <c r="J54" s="1" t="s">
        <v>759</v>
      </c>
      <c r="K54" s="1" t="s">
        <v>760</v>
      </c>
      <c r="L54" s="14">
        <v>27670.0</v>
      </c>
      <c r="M54" s="8">
        <v>0.057847222222222223</v>
      </c>
      <c r="N54" s="6">
        <v>41.85</v>
      </c>
      <c r="O54" s="6">
        <v>53.0</v>
      </c>
      <c r="P54" s="9">
        <v>42839.0</v>
      </c>
      <c r="Q54" s="1" t="s">
        <v>75</v>
      </c>
      <c r="R54" s="1" t="s">
        <v>76</v>
      </c>
      <c r="S54" s="6">
        <v>2017.0</v>
      </c>
      <c r="T54" s="6">
        <v>4.0</v>
      </c>
      <c r="U54" s="1" t="s">
        <v>77</v>
      </c>
      <c r="V54" s="1" t="s">
        <v>78</v>
      </c>
      <c r="W54" s="6">
        <v>14.0</v>
      </c>
      <c r="X54" s="1" t="s">
        <v>263</v>
      </c>
      <c r="Y54" s="1" t="s">
        <v>264</v>
      </c>
      <c r="Z54" s="6">
        <v>0.29</v>
      </c>
      <c r="AA54" s="6">
        <v>94221.0</v>
      </c>
      <c r="AB54" s="10">
        <v>0.09</v>
      </c>
      <c r="AC54" s="1" t="s">
        <v>761</v>
      </c>
      <c r="AD54" s="1" t="s">
        <v>762</v>
      </c>
      <c r="AE54" s="1" t="s">
        <v>763</v>
      </c>
      <c r="AF54" s="1" t="s">
        <v>764</v>
      </c>
      <c r="AG54" s="1" t="s">
        <v>763</v>
      </c>
      <c r="AH54" s="1" t="s">
        <v>525</v>
      </c>
      <c r="AI54" s="6">
        <v>72473.0</v>
      </c>
      <c r="AJ54" s="1" t="s">
        <v>106</v>
      </c>
      <c r="AK54" s="1" t="s">
        <v>765</v>
      </c>
      <c r="AL54" s="1" t="s">
        <v>766</v>
      </c>
      <c r="AM54" s="11" t="str">
        <f>VLOOKUP(N54,Sheet3!$B$4:$C$10,2,1)</f>
        <v>41-50</v>
      </c>
      <c r="AN54" s="13" t="str">
        <f>VLOOKUP(Z54,Sheet3!$F$4:$G$10,2,1)</f>
        <v>&lt; 5</v>
      </c>
      <c r="AO54" s="5" t="str">
        <f>VLOOKUP(AA54,Sheet3!$I$3:$J$16,2,1)</f>
        <v>80000-100000</v>
      </c>
      <c r="AP54" s="5" t="str">
        <f>VLOOKUP(AB54,Sheet3!$L$4:$M$14,2,1)</f>
        <v>5% - 10%</v>
      </c>
    </row>
    <row r="55">
      <c r="A55" s="6">
        <v>323914.0</v>
      </c>
      <c r="B55" s="1" t="s">
        <v>66</v>
      </c>
      <c r="C55" s="1" t="s">
        <v>767</v>
      </c>
      <c r="D55" s="1" t="s">
        <v>70</v>
      </c>
      <c r="E55" s="1" t="s">
        <v>768</v>
      </c>
      <c r="F55" s="1" t="s">
        <v>70</v>
      </c>
      <c r="G55" s="1" t="s">
        <v>769</v>
      </c>
      <c r="H55" s="1" t="s">
        <v>604</v>
      </c>
      <c r="I55" s="1" t="s">
        <v>770</v>
      </c>
      <c r="J55" s="1" t="s">
        <v>771</v>
      </c>
      <c r="K55" s="1" t="s">
        <v>361</v>
      </c>
      <c r="L55" s="9">
        <v>21387.0</v>
      </c>
      <c r="M55" s="8">
        <v>0.4597685185185185</v>
      </c>
      <c r="N55" s="6">
        <v>59.06</v>
      </c>
      <c r="O55" s="6">
        <v>77.0</v>
      </c>
      <c r="P55" s="9">
        <v>36660.0</v>
      </c>
      <c r="Q55" s="1" t="s">
        <v>75</v>
      </c>
      <c r="R55" s="1" t="s">
        <v>76</v>
      </c>
      <c r="S55" s="6">
        <v>2000.0</v>
      </c>
      <c r="T55" s="6">
        <v>5.0</v>
      </c>
      <c r="U55" s="1" t="s">
        <v>294</v>
      </c>
      <c r="V55" s="1" t="s">
        <v>294</v>
      </c>
      <c r="W55" s="6">
        <v>14.0</v>
      </c>
      <c r="X55" s="1" t="s">
        <v>534</v>
      </c>
      <c r="Y55" s="1" t="s">
        <v>535</v>
      </c>
      <c r="Z55" s="6">
        <v>17.22</v>
      </c>
      <c r="AA55" s="6">
        <v>84824.0</v>
      </c>
      <c r="AB55" s="10">
        <v>0.06</v>
      </c>
      <c r="AC55" s="1" t="s">
        <v>772</v>
      </c>
      <c r="AD55" s="1" t="s">
        <v>773</v>
      </c>
      <c r="AE55" s="1" t="s">
        <v>774</v>
      </c>
      <c r="AF55" s="1" t="s">
        <v>775</v>
      </c>
      <c r="AG55" s="1" t="s">
        <v>774</v>
      </c>
      <c r="AH55" s="1" t="s">
        <v>85</v>
      </c>
      <c r="AI55" s="6">
        <v>48850.0</v>
      </c>
      <c r="AJ55" s="1" t="s">
        <v>86</v>
      </c>
      <c r="AK55" s="1" t="s">
        <v>776</v>
      </c>
      <c r="AL55" s="1" t="s">
        <v>777</v>
      </c>
      <c r="AM55" s="11" t="str">
        <f>VLOOKUP(N55,Sheet3!$B$4:$C$10,2,1)</f>
        <v>51-60</v>
      </c>
      <c r="AN55" s="12" t="str">
        <f>VLOOKUP(Z55,Sheet3!$F$4:$G$10,2,1)</f>
        <v>11-20</v>
      </c>
      <c r="AO55" s="5" t="str">
        <f>VLOOKUP(AA55,Sheet3!$I$3:$J$16,2,1)</f>
        <v>80000-100000</v>
      </c>
      <c r="AP55" s="5" t="str">
        <f>VLOOKUP(AB55,Sheet3!$L$4:$M$14,2,1)</f>
        <v>5% - 10%</v>
      </c>
    </row>
    <row r="56">
      <c r="A56" s="6">
        <v>928739.0</v>
      </c>
      <c r="B56" s="1" t="s">
        <v>125</v>
      </c>
      <c r="C56" s="1" t="s">
        <v>778</v>
      </c>
      <c r="D56" s="1" t="s">
        <v>683</v>
      </c>
      <c r="E56" s="1" t="s">
        <v>779</v>
      </c>
      <c r="F56" s="1" t="s">
        <v>70</v>
      </c>
      <c r="G56" s="1" t="s">
        <v>780</v>
      </c>
      <c r="H56" s="1" t="s">
        <v>604</v>
      </c>
      <c r="I56" s="1" t="s">
        <v>781</v>
      </c>
      <c r="J56" s="1" t="s">
        <v>782</v>
      </c>
      <c r="K56" s="1" t="s">
        <v>783</v>
      </c>
      <c r="L56" s="14">
        <v>31754.0</v>
      </c>
      <c r="M56" s="8">
        <v>0.853738425925926</v>
      </c>
      <c r="N56" s="6">
        <v>30.66</v>
      </c>
      <c r="O56" s="6">
        <v>62.0</v>
      </c>
      <c r="P56" s="9">
        <v>42062.0</v>
      </c>
      <c r="Q56" s="1" t="s">
        <v>96</v>
      </c>
      <c r="R56" s="1" t="s">
        <v>76</v>
      </c>
      <c r="S56" s="6">
        <v>2015.0</v>
      </c>
      <c r="T56" s="6">
        <v>2.0</v>
      </c>
      <c r="U56" s="1" t="s">
        <v>117</v>
      </c>
      <c r="V56" s="1" t="s">
        <v>118</v>
      </c>
      <c r="W56" s="6">
        <v>27.0</v>
      </c>
      <c r="X56" s="1" t="s">
        <v>263</v>
      </c>
      <c r="Y56" s="1" t="s">
        <v>264</v>
      </c>
      <c r="Z56" s="6">
        <v>2.42</v>
      </c>
      <c r="AA56" s="6">
        <v>143864.0</v>
      </c>
      <c r="AB56" s="10">
        <v>0.01</v>
      </c>
      <c r="AC56" s="1" t="s">
        <v>784</v>
      </c>
      <c r="AD56" s="1" t="s">
        <v>785</v>
      </c>
      <c r="AE56" s="1" t="s">
        <v>786</v>
      </c>
      <c r="AF56" s="1" t="s">
        <v>787</v>
      </c>
      <c r="AG56" s="1" t="s">
        <v>786</v>
      </c>
      <c r="AH56" s="1" t="s">
        <v>210</v>
      </c>
      <c r="AI56" s="6">
        <v>61312.0</v>
      </c>
      <c r="AJ56" s="1" t="s">
        <v>86</v>
      </c>
      <c r="AK56" s="1" t="s">
        <v>788</v>
      </c>
      <c r="AL56" s="1" t="s">
        <v>789</v>
      </c>
      <c r="AM56" s="11" t="str">
        <f>VLOOKUP(N56,Sheet3!$B$4:$C$10,2,1)</f>
        <v>21-30</v>
      </c>
      <c r="AN56" s="13" t="str">
        <f>VLOOKUP(Z56,Sheet3!$F$4:$G$10,2,1)</f>
        <v>&lt; 5</v>
      </c>
      <c r="AO56" s="5" t="str">
        <f>VLOOKUP(AA56,Sheet3!$I$3:$J$16,2,1)</f>
        <v>140000-160000</v>
      </c>
      <c r="AP56" s="5" t="str">
        <f>VLOOKUP(AB56,Sheet3!$L$4:$M$14,2,1)</f>
        <v>&lt; 5%</v>
      </c>
    </row>
    <row r="57">
      <c r="A57" s="6">
        <v>238992.0</v>
      </c>
      <c r="B57" s="1" t="s">
        <v>255</v>
      </c>
      <c r="C57" s="1" t="s">
        <v>790</v>
      </c>
      <c r="D57" s="1" t="s">
        <v>529</v>
      </c>
      <c r="E57" s="1" t="s">
        <v>791</v>
      </c>
      <c r="F57" s="1" t="s">
        <v>70</v>
      </c>
      <c r="G57" s="1" t="s">
        <v>792</v>
      </c>
      <c r="H57" s="1" t="s">
        <v>604</v>
      </c>
      <c r="I57" s="1" t="s">
        <v>793</v>
      </c>
      <c r="J57" s="1" t="s">
        <v>794</v>
      </c>
      <c r="K57" s="1" t="s">
        <v>795</v>
      </c>
      <c r="L57" s="14">
        <v>22621.0</v>
      </c>
      <c r="M57" s="8">
        <v>0.8484259259259259</v>
      </c>
      <c r="N57" s="6">
        <v>55.68</v>
      </c>
      <c r="O57" s="6">
        <v>70.0</v>
      </c>
      <c r="P57" s="9">
        <v>35425.0</v>
      </c>
      <c r="Q57" s="1" t="s">
        <v>52</v>
      </c>
      <c r="R57" s="1" t="s">
        <v>53</v>
      </c>
      <c r="S57" s="6">
        <v>1996.0</v>
      </c>
      <c r="T57" s="6">
        <v>12.0</v>
      </c>
      <c r="U57" s="1" t="s">
        <v>54</v>
      </c>
      <c r="V57" s="1" t="s">
        <v>55</v>
      </c>
      <c r="W57" s="6">
        <v>26.0</v>
      </c>
      <c r="X57" s="1" t="s">
        <v>150</v>
      </c>
      <c r="Y57" s="1" t="s">
        <v>151</v>
      </c>
      <c r="Z57" s="6">
        <v>20.6</v>
      </c>
      <c r="AA57" s="6">
        <v>104197.0</v>
      </c>
      <c r="AB57" s="10">
        <v>0.08</v>
      </c>
      <c r="AC57" s="1" t="s">
        <v>796</v>
      </c>
      <c r="AD57" s="1" t="s">
        <v>797</v>
      </c>
      <c r="AE57" s="1" t="s">
        <v>798</v>
      </c>
      <c r="AF57" s="1" t="s">
        <v>799</v>
      </c>
      <c r="AG57" s="1" t="s">
        <v>798</v>
      </c>
      <c r="AH57" s="1" t="s">
        <v>356</v>
      </c>
      <c r="AI57" s="6">
        <v>13088.0</v>
      </c>
      <c r="AJ57" s="1" t="s">
        <v>224</v>
      </c>
      <c r="AK57" s="1" t="s">
        <v>800</v>
      </c>
      <c r="AL57" s="1" t="s">
        <v>801</v>
      </c>
      <c r="AM57" s="11" t="str">
        <f>VLOOKUP(N57,Sheet3!$B$4:$C$10,2,1)</f>
        <v>51-60</v>
      </c>
      <c r="AN57" s="12" t="str">
        <f>VLOOKUP(Z57,Sheet3!$F$4:$G$10,2,1)</f>
        <v>11-20</v>
      </c>
      <c r="AO57" s="5" t="str">
        <f>VLOOKUP(AA57,Sheet3!$I$3:$J$16,2,1)</f>
        <v>100000-120000</v>
      </c>
      <c r="AP57" s="5" t="str">
        <f>VLOOKUP(AB57,Sheet3!$L$4:$M$14,2,1)</f>
        <v>5% - 10%</v>
      </c>
    </row>
    <row r="58">
      <c r="A58" s="6">
        <v>434046.0</v>
      </c>
      <c r="B58" s="1" t="s">
        <v>109</v>
      </c>
      <c r="C58" s="1" t="s">
        <v>802</v>
      </c>
      <c r="D58" s="1" t="s">
        <v>466</v>
      </c>
      <c r="E58" s="1" t="s">
        <v>803</v>
      </c>
      <c r="F58" s="1" t="s">
        <v>46</v>
      </c>
      <c r="G58" s="1" t="s">
        <v>804</v>
      </c>
      <c r="H58" s="1" t="s">
        <v>604</v>
      </c>
      <c r="I58" s="1" t="s">
        <v>805</v>
      </c>
      <c r="J58" s="1" t="s">
        <v>806</v>
      </c>
      <c r="K58" s="1" t="s">
        <v>807</v>
      </c>
      <c r="L58" s="14">
        <v>22070.0</v>
      </c>
      <c r="M58" s="8">
        <v>0.31407407407407406</v>
      </c>
      <c r="N58" s="6">
        <v>57.19</v>
      </c>
      <c r="O58" s="6">
        <v>50.0</v>
      </c>
      <c r="P58" s="9">
        <v>34438.0</v>
      </c>
      <c r="Q58" s="1" t="s">
        <v>75</v>
      </c>
      <c r="R58" s="1" t="s">
        <v>76</v>
      </c>
      <c r="S58" s="6">
        <v>1994.0</v>
      </c>
      <c r="T58" s="6">
        <v>4.0</v>
      </c>
      <c r="U58" s="1" t="s">
        <v>77</v>
      </c>
      <c r="V58" s="1" t="s">
        <v>78</v>
      </c>
      <c r="W58" s="6">
        <v>14.0</v>
      </c>
      <c r="X58" s="1" t="s">
        <v>150</v>
      </c>
      <c r="Y58" s="1" t="s">
        <v>151</v>
      </c>
      <c r="Z58" s="6">
        <v>23.3</v>
      </c>
      <c r="AA58" s="6">
        <v>80844.0</v>
      </c>
      <c r="AB58" s="10">
        <v>0.3</v>
      </c>
      <c r="AC58" s="1" t="s">
        <v>808</v>
      </c>
      <c r="AD58" s="1" t="s">
        <v>809</v>
      </c>
      <c r="AE58" s="1" t="s">
        <v>810</v>
      </c>
      <c r="AF58" s="1" t="s">
        <v>764</v>
      </c>
      <c r="AG58" s="1" t="s">
        <v>810</v>
      </c>
      <c r="AH58" s="1" t="s">
        <v>811</v>
      </c>
      <c r="AI58" s="6">
        <v>39552.0</v>
      </c>
      <c r="AJ58" s="1" t="s">
        <v>106</v>
      </c>
      <c r="AK58" s="1" t="s">
        <v>812</v>
      </c>
      <c r="AL58" s="1" t="s">
        <v>813</v>
      </c>
      <c r="AM58" s="11" t="str">
        <f>VLOOKUP(N58,Sheet3!$B$4:$C$10,2,1)</f>
        <v>51-60</v>
      </c>
      <c r="AN58" s="13" t="str">
        <f>VLOOKUP(Z58,Sheet3!$F$4:$G$10,2,1)</f>
        <v>21-30</v>
      </c>
      <c r="AO58" s="5" t="str">
        <f>VLOOKUP(AA58,Sheet3!$I$3:$J$16,2,1)</f>
        <v>80000-100000</v>
      </c>
      <c r="AP58" s="5" t="str">
        <f>VLOOKUP(AB58,Sheet3!$L$4:$M$14,2,1)</f>
        <v>26% - 30%</v>
      </c>
    </row>
    <row r="59">
      <c r="A59" s="6">
        <v>971444.0</v>
      </c>
      <c r="B59" s="1" t="s">
        <v>66</v>
      </c>
      <c r="C59" s="1" t="s">
        <v>814</v>
      </c>
      <c r="D59" s="1" t="s">
        <v>529</v>
      </c>
      <c r="E59" s="1" t="s">
        <v>815</v>
      </c>
      <c r="F59" s="1" t="s">
        <v>70</v>
      </c>
      <c r="G59" s="1" t="s">
        <v>816</v>
      </c>
      <c r="H59" s="1" t="s">
        <v>604</v>
      </c>
      <c r="I59" s="1" t="s">
        <v>817</v>
      </c>
      <c r="J59" s="1" t="s">
        <v>818</v>
      </c>
      <c r="K59" s="1" t="s">
        <v>819</v>
      </c>
      <c r="L59" s="9">
        <v>33067.0</v>
      </c>
      <c r="M59" s="8">
        <v>0.9991203703703704</v>
      </c>
      <c r="N59" s="6">
        <v>27.06</v>
      </c>
      <c r="O59" s="6">
        <v>50.0</v>
      </c>
      <c r="P59" s="14">
        <v>42492.0</v>
      </c>
      <c r="Q59" s="1" t="s">
        <v>75</v>
      </c>
      <c r="R59" s="1" t="s">
        <v>76</v>
      </c>
      <c r="S59" s="6">
        <v>2016.0</v>
      </c>
      <c r="T59" s="6">
        <v>5.0</v>
      </c>
      <c r="U59" s="1" t="s">
        <v>294</v>
      </c>
      <c r="V59" s="1" t="s">
        <v>294</v>
      </c>
      <c r="W59" s="6">
        <v>2.0</v>
      </c>
      <c r="X59" s="1" t="s">
        <v>99</v>
      </c>
      <c r="Y59" s="1" t="s">
        <v>100</v>
      </c>
      <c r="Z59" s="6">
        <v>1.24</v>
      </c>
      <c r="AA59" s="6">
        <v>87962.0</v>
      </c>
      <c r="AB59" s="10">
        <v>0.12</v>
      </c>
      <c r="AC59" s="1" t="s">
        <v>820</v>
      </c>
      <c r="AD59" s="1" t="s">
        <v>821</v>
      </c>
      <c r="AE59" s="1" t="s">
        <v>822</v>
      </c>
      <c r="AF59" s="1" t="s">
        <v>221</v>
      </c>
      <c r="AG59" s="1" t="s">
        <v>822</v>
      </c>
      <c r="AH59" s="1" t="s">
        <v>223</v>
      </c>
      <c r="AI59" s="6">
        <v>19456.0</v>
      </c>
      <c r="AJ59" s="1" t="s">
        <v>224</v>
      </c>
      <c r="AK59" s="1" t="s">
        <v>823</v>
      </c>
      <c r="AL59" s="1" t="s">
        <v>824</v>
      </c>
      <c r="AM59" s="11" t="str">
        <f>VLOOKUP(N59,Sheet3!$B$4:$C$10,2,1)</f>
        <v>21-30</v>
      </c>
      <c r="AN59" s="13" t="str">
        <f>VLOOKUP(Z59,Sheet3!$F$4:$G$10,2,1)</f>
        <v>&lt; 5</v>
      </c>
      <c r="AO59" s="5" t="str">
        <f>VLOOKUP(AA59,Sheet3!$I$3:$J$16,2,1)</f>
        <v>80000-100000</v>
      </c>
      <c r="AP59" s="5" t="str">
        <f>VLOOKUP(AB59,Sheet3!$L$4:$M$14,2,1)</f>
        <v>11% - 15%</v>
      </c>
    </row>
    <row r="60">
      <c r="A60" s="6">
        <v>602683.0</v>
      </c>
      <c r="B60" s="1" t="s">
        <v>42</v>
      </c>
      <c r="C60" s="1" t="s">
        <v>825</v>
      </c>
      <c r="D60" s="1" t="s">
        <v>683</v>
      </c>
      <c r="E60" s="1" t="s">
        <v>826</v>
      </c>
      <c r="F60" s="1" t="s">
        <v>46</v>
      </c>
      <c r="G60" s="1" t="s">
        <v>827</v>
      </c>
      <c r="H60" s="1" t="s">
        <v>604</v>
      </c>
      <c r="I60" s="1" t="s">
        <v>828</v>
      </c>
      <c r="J60" s="1" t="s">
        <v>829</v>
      </c>
      <c r="K60" s="1" t="s">
        <v>830</v>
      </c>
      <c r="L60" s="14">
        <v>26455.0</v>
      </c>
      <c r="M60" s="8">
        <v>0.13719907407407408</v>
      </c>
      <c r="N60" s="6">
        <v>45.18</v>
      </c>
      <c r="O60" s="6">
        <v>54.0</v>
      </c>
      <c r="P60" s="9">
        <v>36340.0</v>
      </c>
      <c r="Q60" s="1" t="s">
        <v>75</v>
      </c>
      <c r="R60" s="1" t="s">
        <v>76</v>
      </c>
      <c r="S60" s="6">
        <v>1999.0</v>
      </c>
      <c r="T60" s="6">
        <v>6.0</v>
      </c>
      <c r="U60" s="1" t="s">
        <v>324</v>
      </c>
      <c r="V60" s="1" t="s">
        <v>325</v>
      </c>
      <c r="W60" s="6">
        <v>29.0</v>
      </c>
      <c r="X60" s="1" t="s">
        <v>79</v>
      </c>
      <c r="Y60" s="1" t="s">
        <v>80</v>
      </c>
      <c r="Z60" s="6">
        <v>18.09</v>
      </c>
      <c r="AA60" s="6">
        <v>125428.0</v>
      </c>
      <c r="AB60" s="10">
        <v>0.22</v>
      </c>
      <c r="AC60" s="1" t="s">
        <v>831</v>
      </c>
      <c r="AD60" s="1" t="s">
        <v>832</v>
      </c>
      <c r="AE60" s="1" t="s">
        <v>833</v>
      </c>
      <c r="AF60" s="1" t="s">
        <v>635</v>
      </c>
      <c r="AG60" s="1" t="s">
        <v>833</v>
      </c>
      <c r="AH60" s="1" t="s">
        <v>356</v>
      </c>
      <c r="AI60" s="6">
        <v>14611.0</v>
      </c>
      <c r="AJ60" s="1" t="s">
        <v>224</v>
      </c>
      <c r="AK60" s="1" t="s">
        <v>834</v>
      </c>
      <c r="AL60" s="1" t="s">
        <v>835</v>
      </c>
      <c r="AM60" s="11" t="str">
        <f>VLOOKUP(N60,Sheet3!$B$4:$C$10,2,1)</f>
        <v>41-50</v>
      </c>
      <c r="AN60" s="12" t="str">
        <f>VLOOKUP(Z60,Sheet3!$F$4:$G$10,2,1)</f>
        <v>11-20</v>
      </c>
      <c r="AO60" s="5" t="str">
        <f>VLOOKUP(AA60,Sheet3!$I$3:$J$16,2,1)</f>
        <v>120000-140000</v>
      </c>
      <c r="AP60" s="5" t="str">
        <f>VLOOKUP(AB60,Sheet3!$L$4:$M$14,2,1)</f>
        <v>21% - 25%</v>
      </c>
    </row>
    <row r="61">
      <c r="A61" s="6">
        <v>145327.0</v>
      </c>
      <c r="B61" s="1" t="s">
        <v>66</v>
      </c>
      <c r="C61" s="1" t="s">
        <v>836</v>
      </c>
      <c r="D61" s="1" t="s">
        <v>70</v>
      </c>
      <c r="E61" s="1" t="s">
        <v>837</v>
      </c>
      <c r="F61" s="1" t="s">
        <v>70</v>
      </c>
      <c r="G61" s="1" t="s">
        <v>838</v>
      </c>
      <c r="H61" s="1" t="s">
        <v>604</v>
      </c>
      <c r="I61" s="1" t="s">
        <v>839</v>
      </c>
      <c r="J61" s="1" t="s">
        <v>840</v>
      </c>
      <c r="K61" s="1" t="s">
        <v>841</v>
      </c>
      <c r="L61" s="14">
        <v>34554.0</v>
      </c>
      <c r="M61" s="8">
        <v>0.45784722222222224</v>
      </c>
      <c r="N61" s="6">
        <v>22.99</v>
      </c>
      <c r="O61" s="6">
        <v>50.0</v>
      </c>
      <c r="P61" s="9">
        <v>42479.0</v>
      </c>
      <c r="Q61" s="1" t="s">
        <v>75</v>
      </c>
      <c r="R61" s="1" t="s">
        <v>76</v>
      </c>
      <c r="S61" s="6">
        <v>2016.0</v>
      </c>
      <c r="T61" s="6">
        <v>4.0</v>
      </c>
      <c r="U61" s="1" t="s">
        <v>77</v>
      </c>
      <c r="V61" s="1" t="s">
        <v>78</v>
      </c>
      <c r="W61" s="6">
        <v>19.0</v>
      </c>
      <c r="X61" s="1" t="s">
        <v>79</v>
      </c>
      <c r="Y61" s="1" t="s">
        <v>80</v>
      </c>
      <c r="Z61" s="6">
        <v>1.27</v>
      </c>
      <c r="AA61" s="6">
        <v>66575.0</v>
      </c>
      <c r="AB61" s="10">
        <v>0.14</v>
      </c>
      <c r="AC61" s="1" t="s">
        <v>842</v>
      </c>
      <c r="AD61" s="1" t="s">
        <v>843</v>
      </c>
      <c r="AE61" s="1" t="s">
        <v>844</v>
      </c>
      <c r="AF61" s="1" t="s">
        <v>104</v>
      </c>
      <c r="AG61" s="1" t="s">
        <v>844</v>
      </c>
      <c r="AH61" s="1" t="s">
        <v>223</v>
      </c>
      <c r="AI61" s="6">
        <v>15437.0</v>
      </c>
      <c r="AJ61" s="1" t="s">
        <v>224</v>
      </c>
      <c r="AK61" s="1" t="s">
        <v>845</v>
      </c>
      <c r="AL61" s="1" t="s">
        <v>846</v>
      </c>
      <c r="AM61" s="11" t="str">
        <f>VLOOKUP(N61,Sheet3!$B$4:$C$10,2,1)</f>
        <v>21-30</v>
      </c>
      <c r="AN61" s="13" t="str">
        <f>VLOOKUP(Z61,Sheet3!$F$4:$G$10,2,1)</f>
        <v>&lt; 5</v>
      </c>
      <c r="AO61" s="5" t="str">
        <f>VLOOKUP(AA61,Sheet3!$I$3:$J$16,2,1)</f>
        <v>60000-80000</v>
      </c>
      <c r="AP61" s="5" t="str">
        <f>VLOOKUP(AB61,Sheet3!$L$4:$M$14,2,1)</f>
        <v>11% - 15%</v>
      </c>
    </row>
    <row r="62">
      <c r="A62" s="6">
        <v>597202.0</v>
      </c>
      <c r="B62" s="1" t="s">
        <v>255</v>
      </c>
      <c r="C62" s="1" t="s">
        <v>847</v>
      </c>
      <c r="D62" s="1" t="s">
        <v>288</v>
      </c>
      <c r="E62" s="1" t="s">
        <v>848</v>
      </c>
      <c r="F62" s="1" t="s">
        <v>70</v>
      </c>
      <c r="G62" s="1" t="s">
        <v>849</v>
      </c>
      <c r="H62" s="1" t="s">
        <v>604</v>
      </c>
      <c r="I62" s="1" t="s">
        <v>850</v>
      </c>
      <c r="J62" s="1" t="s">
        <v>851</v>
      </c>
      <c r="K62" s="1" t="s">
        <v>852</v>
      </c>
      <c r="L62" s="9">
        <v>25491.0</v>
      </c>
      <c r="M62" s="8">
        <v>0.0076851851851851855</v>
      </c>
      <c r="N62" s="6">
        <v>47.82</v>
      </c>
      <c r="O62" s="6">
        <v>58.0</v>
      </c>
      <c r="P62" s="9">
        <v>41387.0</v>
      </c>
      <c r="Q62" s="1" t="s">
        <v>75</v>
      </c>
      <c r="R62" s="1" t="s">
        <v>76</v>
      </c>
      <c r="S62" s="6">
        <v>2013.0</v>
      </c>
      <c r="T62" s="6">
        <v>4.0</v>
      </c>
      <c r="U62" s="1" t="s">
        <v>77</v>
      </c>
      <c r="V62" s="1" t="s">
        <v>78</v>
      </c>
      <c r="W62" s="6">
        <v>23.0</v>
      </c>
      <c r="X62" s="1" t="s">
        <v>79</v>
      </c>
      <c r="Y62" s="1" t="s">
        <v>80</v>
      </c>
      <c r="Z62" s="6">
        <v>4.27</v>
      </c>
      <c r="AA62" s="6">
        <v>192498.0</v>
      </c>
      <c r="AB62" s="10">
        <v>0.26</v>
      </c>
      <c r="AC62" s="1" t="s">
        <v>853</v>
      </c>
      <c r="AD62" s="1" t="s">
        <v>854</v>
      </c>
      <c r="AE62" s="1" t="s">
        <v>855</v>
      </c>
      <c r="AF62" s="1" t="s">
        <v>856</v>
      </c>
      <c r="AG62" s="1" t="s">
        <v>855</v>
      </c>
      <c r="AH62" s="1" t="s">
        <v>857</v>
      </c>
      <c r="AI62" s="6">
        <v>65745.0</v>
      </c>
      <c r="AJ62" s="1" t="s">
        <v>86</v>
      </c>
      <c r="AK62" s="1" t="s">
        <v>858</v>
      </c>
      <c r="AL62" s="1" t="s">
        <v>859</v>
      </c>
      <c r="AM62" s="11" t="str">
        <f>VLOOKUP(N62,Sheet3!$B$4:$C$10,2,1)</f>
        <v>41-50</v>
      </c>
      <c r="AN62" s="13" t="str">
        <f>VLOOKUP(Z62,Sheet3!$F$4:$G$10,2,1)</f>
        <v>&lt; 5</v>
      </c>
      <c r="AO62" s="5" t="str">
        <f>VLOOKUP(AA62,Sheet3!$I$3:$J$16,2,1)</f>
        <v>180000-200000</v>
      </c>
      <c r="AP62" s="5" t="str">
        <f>VLOOKUP(AB62,Sheet3!$L$4:$M$14,2,1)</f>
        <v>26% - 30%</v>
      </c>
    </row>
    <row r="63">
      <c r="A63" s="6">
        <v>168824.0</v>
      </c>
      <c r="B63" s="1" t="s">
        <v>66</v>
      </c>
      <c r="C63" s="1" t="s">
        <v>860</v>
      </c>
      <c r="D63" s="1" t="s">
        <v>861</v>
      </c>
      <c r="E63" s="1" t="s">
        <v>862</v>
      </c>
      <c r="F63" s="1" t="s">
        <v>70</v>
      </c>
      <c r="G63" s="1" t="s">
        <v>863</v>
      </c>
      <c r="H63" s="1" t="s">
        <v>604</v>
      </c>
      <c r="I63" s="1" t="s">
        <v>864</v>
      </c>
      <c r="J63" s="1" t="s">
        <v>865</v>
      </c>
      <c r="K63" s="1" t="s">
        <v>417</v>
      </c>
      <c r="L63" s="14">
        <v>24936.0</v>
      </c>
      <c r="M63" s="8">
        <v>0.21087962962962964</v>
      </c>
      <c r="N63" s="6">
        <v>49.34</v>
      </c>
      <c r="O63" s="6">
        <v>72.0</v>
      </c>
      <c r="P63" s="14">
        <v>36317.0</v>
      </c>
      <c r="Q63" s="1" t="s">
        <v>75</v>
      </c>
      <c r="R63" s="1" t="s">
        <v>76</v>
      </c>
      <c r="S63" s="6">
        <v>1999.0</v>
      </c>
      <c r="T63" s="6">
        <v>6.0</v>
      </c>
      <c r="U63" s="1" t="s">
        <v>324</v>
      </c>
      <c r="V63" s="1" t="s">
        <v>325</v>
      </c>
      <c r="W63" s="6">
        <v>6.0</v>
      </c>
      <c r="X63" s="1" t="s">
        <v>534</v>
      </c>
      <c r="Y63" s="1" t="s">
        <v>535</v>
      </c>
      <c r="Z63" s="6">
        <v>18.16</v>
      </c>
      <c r="AA63" s="6">
        <v>116635.0</v>
      </c>
      <c r="AB63" s="10">
        <v>0.22</v>
      </c>
      <c r="AC63" s="1" t="s">
        <v>866</v>
      </c>
      <c r="AD63" s="1" t="s">
        <v>867</v>
      </c>
      <c r="AE63" s="1" t="s">
        <v>868</v>
      </c>
      <c r="AF63" s="1" t="s">
        <v>869</v>
      </c>
      <c r="AG63" s="1" t="s">
        <v>868</v>
      </c>
      <c r="AH63" s="1" t="s">
        <v>122</v>
      </c>
      <c r="AI63" s="6">
        <v>46360.0</v>
      </c>
      <c r="AJ63" s="1" t="s">
        <v>86</v>
      </c>
      <c r="AK63" s="1" t="s">
        <v>870</v>
      </c>
      <c r="AL63" s="1" t="s">
        <v>871</v>
      </c>
      <c r="AM63" s="11" t="str">
        <f>VLOOKUP(N63,Sheet3!$B$4:$C$10,2,1)</f>
        <v>41-50</v>
      </c>
      <c r="AN63" s="12" t="str">
        <f>VLOOKUP(Z63,Sheet3!$F$4:$G$10,2,1)</f>
        <v>11-20</v>
      </c>
      <c r="AO63" s="5" t="str">
        <f>VLOOKUP(AA63,Sheet3!$I$3:$J$16,2,1)</f>
        <v>100000-120000</v>
      </c>
      <c r="AP63" s="5" t="str">
        <f>VLOOKUP(AB63,Sheet3!$L$4:$M$14,2,1)</f>
        <v>21% - 25%</v>
      </c>
    </row>
    <row r="64">
      <c r="A64" s="6">
        <v>616665.0</v>
      </c>
      <c r="B64" s="1" t="s">
        <v>66</v>
      </c>
      <c r="C64" s="1" t="s">
        <v>872</v>
      </c>
      <c r="D64" s="1" t="s">
        <v>466</v>
      </c>
      <c r="E64" s="1" t="s">
        <v>873</v>
      </c>
      <c r="F64" s="1" t="s">
        <v>70</v>
      </c>
      <c r="G64" s="1" t="s">
        <v>874</v>
      </c>
      <c r="H64" s="1" t="s">
        <v>604</v>
      </c>
      <c r="I64" s="1" t="s">
        <v>875</v>
      </c>
      <c r="J64" s="1" t="s">
        <v>876</v>
      </c>
      <c r="K64" s="1" t="s">
        <v>877</v>
      </c>
      <c r="L64" s="14">
        <v>30137.0</v>
      </c>
      <c r="M64" s="8">
        <v>0.5174768518518519</v>
      </c>
      <c r="N64" s="6">
        <v>35.09</v>
      </c>
      <c r="O64" s="6">
        <v>86.0</v>
      </c>
      <c r="P64" s="14">
        <v>38453.0</v>
      </c>
      <c r="Q64" s="1" t="s">
        <v>75</v>
      </c>
      <c r="R64" s="1" t="s">
        <v>76</v>
      </c>
      <c r="S64" s="6">
        <v>2005.0</v>
      </c>
      <c r="T64" s="6">
        <v>4.0</v>
      </c>
      <c r="U64" s="1" t="s">
        <v>77</v>
      </c>
      <c r="V64" s="1" t="s">
        <v>78</v>
      </c>
      <c r="W64" s="6">
        <v>11.0</v>
      </c>
      <c r="X64" s="1" t="s">
        <v>99</v>
      </c>
      <c r="Y64" s="1" t="s">
        <v>100</v>
      </c>
      <c r="Z64" s="6">
        <v>12.3</v>
      </c>
      <c r="AA64" s="6">
        <v>108511.0</v>
      </c>
      <c r="AB64" s="10">
        <v>0.06</v>
      </c>
      <c r="AC64" s="1" t="s">
        <v>878</v>
      </c>
      <c r="AD64" s="1" t="s">
        <v>879</v>
      </c>
      <c r="AE64" s="1" t="s">
        <v>880</v>
      </c>
      <c r="AF64" s="1" t="s">
        <v>881</v>
      </c>
      <c r="AG64" s="1" t="s">
        <v>880</v>
      </c>
      <c r="AH64" s="1" t="s">
        <v>882</v>
      </c>
      <c r="AI64" s="6">
        <v>31203.0</v>
      </c>
      <c r="AJ64" s="1" t="s">
        <v>106</v>
      </c>
      <c r="AK64" s="1" t="s">
        <v>883</v>
      </c>
      <c r="AL64" s="1" t="s">
        <v>884</v>
      </c>
      <c r="AM64" s="11" t="str">
        <f>VLOOKUP(N64,Sheet3!$B$4:$C$10,2,1)</f>
        <v>31-40</v>
      </c>
      <c r="AN64" s="12" t="str">
        <f>VLOOKUP(Z64,Sheet3!$F$4:$G$10,2,1)</f>
        <v>11-20</v>
      </c>
      <c r="AO64" s="5" t="str">
        <f>VLOOKUP(AA64,Sheet3!$I$3:$J$16,2,1)</f>
        <v>100000-120000</v>
      </c>
      <c r="AP64" s="5" t="str">
        <f>VLOOKUP(AB64,Sheet3!$L$4:$M$14,2,1)</f>
        <v>5% - 10%</v>
      </c>
    </row>
    <row r="65">
      <c r="A65" s="6">
        <v>396135.0</v>
      </c>
      <c r="B65" s="1" t="s">
        <v>227</v>
      </c>
      <c r="C65" s="1" t="s">
        <v>767</v>
      </c>
      <c r="D65" s="1" t="s">
        <v>466</v>
      </c>
      <c r="E65" s="1" t="s">
        <v>885</v>
      </c>
      <c r="F65" s="1" t="s">
        <v>70</v>
      </c>
      <c r="G65" s="1" t="s">
        <v>886</v>
      </c>
      <c r="H65" s="1" t="s">
        <v>604</v>
      </c>
      <c r="I65" s="1" t="s">
        <v>887</v>
      </c>
      <c r="J65" s="1" t="s">
        <v>888</v>
      </c>
      <c r="K65" s="1" t="s">
        <v>509</v>
      </c>
      <c r="L65" s="9">
        <v>33448.0</v>
      </c>
      <c r="M65" s="8">
        <v>0.22591435185185185</v>
      </c>
      <c r="N65" s="6">
        <v>26.02</v>
      </c>
      <c r="O65" s="6">
        <v>66.0</v>
      </c>
      <c r="P65" s="9">
        <v>41936.0</v>
      </c>
      <c r="Q65" s="1" t="s">
        <v>52</v>
      </c>
      <c r="R65" s="1" t="s">
        <v>53</v>
      </c>
      <c r="S65" s="6">
        <v>2014.0</v>
      </c>
      <c r="T65" s="6">
        <v>10.0</v>
      </c>
      <c r="U65" s="1" t="s">
        <v>133</v>
      </c>
      <c r="V65" s="1" t="s">
        <v>134</v>
      </c>
      <c r="W65" s="6">
        <v>24.0</v>
      </c>
      <c r="X65" s="1" t="s">
        <v>263</v>
      </c>
      <c r="Y65" s="1" t="s">
        <v>264</v>
      </c>
      <c r="Z65" s="6">
        <v>2.76</v>
      </c>
      <c r="AA65" s="6">
        <v>110021.0</v>
      </c>
      <c r="AB65" s="10">
        <v>0.3</v>
      </c>
      <c r="AC65" s="1" t="s">
        <v>889</v>
      </c>
      <c r="AD65" s="1" t="s">
        <v>890</v>
      </c>
      <c r="AE65" s="1" t="s">
        <v>891</v>
      </c>
      <c r="AF65" s="1" t="s">
        <v>892</v>
      </c>
      <c r="AG65" s="1" t="s">
        <v>891</v>
      </c>
      <c r="AH65" s="1" t="s">
        <v>893</v>
      </c>
      <c r="AI65" s="6">
        <v>28105.0</v>
      </c>
      <c r="AJ65" s="1" t="s">
        <v>106</v>
      </c>
      <c r="AK65" s="1" t="s">
        <v>894</v>
      </c>
      <c r="AL65" s="1" t="s">
        <v>895</v>
      </c>
      <c r="AM65" s="11" t="str">
        <f>VLOOKUP(N65,Sheet3!$B$4:$C$10,2,1)</f>
        <v>21-30</v>
      </c>
      <c r="AN65" s="13" t="str">
        <f>VLOOKUP(Z65,Sheet3!$F$4:$G$10,2,1)</f>
        <v>&lt; 5</v>
      </c>
      <c r="AO65" s="5" t="str">
        <f>VLOOKUP(AA65,Sheet3!$I$3:$J$16,2,1)</f>
        <v>100000-120000</v>
      </c>
      <c r="AP65" s="5" t="str">
        <f>VLOOKUP(AB65,Sheet3!$L$4:$M$14,2,1)</f>
        <v>26% - 30%</v>
      </c>
    </row>
    <row r="66">
      <c r="A66" s="6">
        <v>966525.0</v>
      </c>
      <c r="B66" s="1" t="s">
        <v>66</v>
      </c>
      <c r="C66" s="1" t="s">
        <v>896</v>
      </c>
      <c r="D66" s="1" t="s">
        <v>173</v>
      </c>
      <c r="E66" s="1" t="s">
        <v>897</v>
      </c>
      <c r="F66" s="1" t="s">
        <v>70</v>
      </c>
      <c r="G66" s="1" t="s">
        <v>898</v>
      </c>
      <c r="H66" s="1" t="s">
        <v>604</v>
      </c>
      <c r="I66" s="1" t="s">
        <v>899</v>
      </c>
      <c r="J66" s="1" t="s">
        <v>900</v>
      </c>
      <c r="K66" s="1" t="s">
        <v>901</v>
      </c>
      <c r="L66" s="14">
        <v>34795.0</v>
      </c>
      <c r="M66" s="8">
        <v>0.8606365740740741</v>
      </c>
      <c r="N66" s="6">
        <v>22.33</v>
      </c>
      <c r="O66" s="6">
        <v>73.0</v>
      </c>
      <c r="P66" s="9">
        <v>42751.0</v>
      </c>
      <c r="Q66" s="1" t="s">
        <v>96</v>
      </c>
      <c r="R66" s="1" t="s">
        <v>76</v>
      </c>
      <c r="S66" s="6">
        <v>2017.0</v>
      </c>
      <c r="T66" s="6">
        <v>1.0</v>
      </c>
      <c r="U66" s="1" t="s">
        <v>276</v>
      </c>
      <c r="V66" s="1" t="s">
        <v>277</v>
      </c>
      <c r="W66" s="6">
        <v>16.0</v>
      </c>
      <c r="X66" s="1" t="s">
        <v>99</v>
      </c>
      <c r="Y66" s="1" t="s">
        <v>100</v>
      </c>
      <c r="Z66" s="6">
        <v>0.53</v>
      </c>
      <c r="AA66" s="6">
        <v>124074.0</v>
      </c>
      <c r="AB66" s="10">
        <v>0.26</v>
      </c>
      <c r="AC66" s="1" t="s">
        <v>902</v>
      </c>
      <c r="AD66" s="1" t="s">
        <v>903</v>
      </c>
      <c r="AE66" s="1" t="s">
        <v>904</v>
      </c>
      <c r="AF66" s="1" t="s">
        <v>905</v>
      </c>
      <c r="AG66" s="1" t="s">
        <v>904</v>
      </c>
      <c r="AH66" s="1" t="s">
        <v>906</v>
      </c>
      <c r="AI66" s="6">
        <v>7063.0</v>
      </c>
      <c r="AJ66" s="1" t="s">
        <v>224</v>
      </c>
      <c r="AK66" s="1" t="s">
        <v>907</v>
      </c>
      <c r="AL66" s="1" t="s">
        <v>908</v>
      </c>
      <c r="AM66" s="11" t="str">
        <f>VLOOKUP(N66,Sheet3!$B$4:$C$10,2,1)</f>
        <v>21-30</v>
      </c>
      <c r="AN66" s="13" t="str">
        <f>VLOOKUP(Z66,Sheet3!$F$4:$G$10,2,1)</f>
        <v>&lt; 5</v>
      </c>
      <c r="AO66" s="5" t="str">
        <f>VLOOKUP(AA66,Sheet3!$I$3:$J$16,2,1)</f>
        <v>120000-140000</v>
      </c>
      <c r="AP66" s="5" t="str">
        <f>VLOOKUP(AB66,Sheet3!$L$4:$M$14,2,1)</f>
        <v>26% - 30%</v>
      </c>
    </row>
    <row r="67">
      <c r="A67" s="6">
        <v>362287.0</v>
      </c>
      <c r="B67" s="1" t="s">
        <v>66</v>
      </c>
      <c r="C67" s="1" t="s">
        <v>909</v>
      </c>
      <c r="D67" s="1" t="s">
        <v>200</v>
      </c>
      <c r="E67" s="1" t="s">
        <v>910</v>
      </c>
      <c r="F67" s="1" t="s">
        <v>70</v>
      </c>
      <c r="G67" s="1" t="s">
        <v>911</v>
      </c>
      <c r="H67" s="1" t="s">
        <v>604</v>
      </c>
      <c r="I67" s="1" t="s">
        <v>912</v>
      </c>
      <c r="J67" s="1" t="s">
        <v>913</v>
      </c>
      <c r="K67" s="1" t="s">
        <v>914</v>
      </c>
      <c r="L67" s="14">
        <v>25721.0</v>
      </c>
      <c r="M67" s="8">
        <v>0.18994212962962964</v>
      </c>
      <c r="N67" s="6">
        <v>47.19</v>
      </c>
      <c r="O67" s="6">
        <v>70.0</v>
      </c>
      <c r="P67" s="9">
        <v>39929.0</v>
      </c>
      <c r="Q67" s="1" t="s">
        <v>75</v>
      </c>
      <c r="R67" s="1" t="s">
        <v>76</v>
      </c>
      <c r="S67" s="6">
        <v>2009.0</v>
      </c>
      <c r="T67" s="6">
        <v>4.0</v>
      </c>
      <c r="U67" s="1" t="s">
        <v>77</v>
      </c>
      <c r="V67" s="1" t="s">
        <v>78</v>
      </c>
      <c r="W67" s="6">
        <v>26.0</v>
      </c>
      <c r="X67" s="1" t="s">
        <v>534</v>
      </c>
      <c r="Y67" s="1" t="s">
        <v>535</v>
      </c>
      <c r="Z67" s="6">
        <v>8.26</v>
      </c>
      <c r="AA67" s="6">
        <v>176165.0</v>
      </c>
      <c r="AB67" s="10">
        <v>0.21</v>
      </c>
      <c r="AC67" s="1" t="s">
        <v>915</v>
      </c>
      <c r="AD67" s="1" t="s">
        <v>916</v>
      </c>
      <c r="AE67" s="1" t="s">
        <v>917</v>
      </c>
      <c r="AF67" s="1" t="s">
        <v>918</v>
      </c>
      <c r="AG67" s="1" t="s">
        <v>917</v>
      </c>
      <c r="AH67" s="1" t="s">
        <v>857</v>
      </c>
      <c r="AI67" s="6">
        <v>65042.0</v>
      </c>
      <c r="AJ67" s="1" t="s">
        <v>86</v>
      </c>
      <c r="AK67" s="1" t="s">
        <v>919</v>
      </c>
      <c r="AL67" s="1" t="s">
        <v>920</v>
      </c>
      <c r="AM67" s="11" t="str">
        <f>VLOOKUP(N67,Sheet3!$B$4:$C$10,2,1)</f>
        <v>41-50</v>
      </c>
      <c r="AN67" s="12" t="str">
        <f>VLOOKUP(Z67,Sheet3!$F$4:$G$10,2,1)</f>
        <v>5-10</v>
      </c>
      <c r="AO67" s="5" t="str">
        <f>VLOOKUP(AA67,Sheet3!$I$3:$J$16,2,1)</f>
        <v>160000-180000</v>
      </c>
      <c r="AP67" s="5" t="str">
        <f>VLOOKUP(AB67,Sheet3!$L$4:$M$14,2,1)</f>
        <v>21% - 25%</v>
      </c>
    </row>
    <row r="68">
      <c r="A68" s="6">
        <v>798646.0</v>
      </c>
      <c r="B68" s="1" t="s">
        <v>42</v>
      </c>
      <c r="C68" s="1" t="s">
        <v>921</v>
      </c>
      <c r="D68" s="1" t="s">
        <v>318</v>
      </c>
      <c r="E68" s="1" t="s">
        <v>922</v>
      </c>
      <c r="F68" s="1" t="s">
        <v>46</v>
      </c>
      <c r="G68" s="1" t="s">
        <v>923</v>
      </c>
      <c r="H68" s="1" t="s">
        <v>604</v>
      </c>
      <c r="I68" s="1" t="s">
        <v>924</v>
      </c>
      <c r="J68" s="1" t="s">
        <v>925</v>
      </c>
      <c r="K68" s="1" t="s">
        <v>926</v>
      </c>
      <c r="L68" s="9">
        <v>30878.0</v>
      </c>
      <c r="M68" s="8">
        <v>0.6925694444444445</v>
      </c>
      <c r="N68" s="6">
        <v>33.06</v>
      </c>
      <c r="O68" s="6">
        <v>49.0</v>
      </c>
      <c r="P68" s="14">
        <v>40246.0</v>
      </c>
      <c r="Q68" s="1" t="s">
        <v>96</v>
      </c>
      <c r="R68" s="1" t="s">
        <v>76</v>
      </c>
      <c r="S68" s="6">
        <v>2010.0</v>
      </c>
      <c r="T68" s="6">
        <v>3.0</v>
      </c>
      <c r="U68" s="1" t="s">
        <v>97</v>
      </c>
      <c r="V68" s="1" t="s">
        <v>98</v>
      </c>
      <c r="W68" s="6">
        <v>9.0</v>
      </c>
      <c r="X68" s="1" t="s">
        <v>79</v>
      </c>
      <c r="Y68" s="1" t="s">
        <v>80</v>
      </c>
      <c r="Z68" s="6">
        <v>7.39</v>
      </c>
      <c r="AA68" s="6">
        <v>87146.0</v>
      </c>
      <c r="AB68" s="10">
        <v>0.3</v>
      </c>
      <c r="AC68" s="1" t="s">
        <v>927</v>
      </c>
      <c r="AD68" s="1" t="s">
        <v>928</v>
      </c>
      <c r="AE68" s="1" t="s">
        <v>929</v>
      </c>
      <c r="AF68" s="1" t="s">
        <v>930</v>
      </c>
      <c r="AG68" s="1" t="s">
        <v>929</v>
      </c>
      <c r="AH68" s="1" t="s">
        <v>882</v>
      </c>
      <c r="AI68" s="6">
        <v>30304.0</v>
      </c>
      <c r="AJ68" s="1" t="s">
        <v>106</v>
      </c>
      <c r="AK68" s="1" t="s">
        <v>931</v>
      </c>
      <c r="AL68" s="1" t="s">
        <v>932</v>
      </c>
      <c r="AM68" s="11" t="str">
        <f>VLOOKUP(N68,Sheet3!$B$4:$C$10,2,1)</f>
        <v>31-40</v>
      </c>
      <c r="AN68" s="12" t="str">
        <f>VLOOKUP(Z68,Sheet3!$F$4:$G$10,2,1)</f>
        <v>5-10</v>
      </c>
      <c r="AO68" s="5" t="str">
        <f>VLOOKUP(AA68,Sheet3!$I$3:$J$16,2,1)</f>
        <v>80000-100000</v>
      </c>
      <c r="AP68" s="5" t="str">
        <f>VLOOKUP(AB68,Sheet3!$L$4:$M$14,2,1)</f>
        <v>26% - 30%</v>
      </c>
    </row>
    <row r="69">
      <c r="A69" s="6">
        <v>451972.0</v>
      </c>
      <c r="B69" s="1" t="s">
        <v>125</v>
      </c>
      <c r="C69" s="1" t="s">
        <v>933</v>
      </c>
      <c r="D69" s="1" t="s">
        <v>466</v>
      </c>
      <c r="E69" s="1" t="s">
        <v>934</v>
      </c>
      <c r="F69" s="1" t="s">
        <v>70</v>
      </c>
      <c r="G69" s="1" t="s">
        <v>935</v>
      </c>
      <c r="H69" s="1" t="s">
        <v>604</v>
      </c>
      <c r="I69" s="1" t="s">
        <v>936</v>
      </c>
      <c r="J69" s="1" t="s">
        <v>937</v>
      </c>
      <c r="K69" s="1" t="s">
        <v>938</v>
      </c>
      <c r="L69" s="9">
        <v>25901.0</v>
      </c>
      <c r="M69" s="8">
        <v>0.48256944444444444</v>
      </c>
      <c r="N69" s="6">
        <v>46.69</v>
      </c>
      <c r="O69" s="6">
        <v>71.0</v>
      </c>
      <c r="P69" s="9">
        <v>40961.0</v>
      </c>
      <c r="Q69" s="1" t="s">
        <v>96</v>
      </c>
      <c r="R69" s="1" t="s">
        <v>76</v>
      </c>
      <c r="S69" s="6">
        <v>2012.0</v>
      </c>
      <c r="T69" s="6">
        <v>2.0</v>
      </c>
      <c r="U69" s="1" t="s">
        <v>117</v>
      </c>
      <c r="V69" s="1" t="s">
        <v>118</v>
      </c>
      <c r="W69" s="6">
        <v>22.0</v>
      </c>
      <c r="X69" s="1" t="s">
        <v>278</v>
      </c>
      <c r="Y69" s="1" t="s">
        <v>279</v>
      </c>
      <c r="Z69" s="6">
        <v>5.43</v>
      </c>
      <c r="AA69" s="6">
        <v>62435.0</v>
      </c>
      <c r="AB69" s="10">
        <v>0.02</v>
      </c>
      <c r="AC69" s="1" t="s">
        <v>939</v>
      </c>
      <c r="AD69" s="1" t="s">
        <v>940</v>
      </c>
      <c r="AE69" s="1" t="s">
        <v>941</v>
      </c>
      <c r="AF69" s="1" t="s">
        <v>942</v>
      </c>
      <c r="AG69" s="1" t="s">
        <v>941</v>
      </c>
      <c r="AH69" s="1" t="s">
        <v>105</v>
      </c>
      <c r="AI69" s="6">
        <v>41776.0</v>
      </c>
      <c r="AJ69" s="1" t="s">
        <v>106</v>
      </c>
      <c r="AK69" s="1" t="s">
        <v>943</v>
      </c>
      <c r="AL69" s="1" t="s">
        <v>944</v>
      </c>
      <c r="AM69" s="11" t="str">
        <f>VLOOKUP(N69,Sheet3!$B$4:$C$10,2,1)</f>
        <v>41-50</v>
      </c>
      <c r="AN69" s="12" t="str">
        <f>VLOOKUP(Z69,Sheet3!$F$4:$G$10,2,1)</f>
        <v>5-10</v>
      </c>
      <c r="AO69" s="5" t="str">
        <f>VLOOKUP(AA69,Sheet3!$I$3:$J$16,2,1)</f>
        <v>60000-80000</v>
      </c>
      <c r="AP69" s="5" t="str">
        <f>VLOOKUP(AB69,Sheet3!$L$4:$M$14,2,1)</f>
        <v>&lt; 5%</v>
      </c>
    </row>
    <row r="70">
      <c r="A70" s="6">
        <v>993675.0</v>
      </c>
      <c r="B70" s="1" t="s">
        <v>125</v>
      </c>
      <c r="C70" s="1" t="s">
        <v>945</v>
      </c>
      <c r="D70" s="1" t="s">
        <v>68</v>
      </c>
      <c r="E70" s="1" t="s">
        <v>946</v>
      </c>
      <c r="F70" s="1" t="s">
        <v>70</v>
      </c>
      <c r="G70" s="1" t="s">
        <v>947</v>
      </c>
      <c r="H70" s="1" t="s">
        <v>604</v>
      </c>
      <c r="I70" s="1" t="s">
        <v>948</v>
      </c>
      <c r="J70" s="1" t="s">
        <v>949</v>
      </c>
      <c r="K70" s="1" t="s">
        <v>950</v>
      </c>
      <c r="L70" s="9">
        <v>23938.0</v>
      </c>
      <c r="M70" s="8">
        <v>0.7430902777777778</v>
      </c>
      <c r="N70" s="6">
        <v>52.07</v>
      </c>
      <c r="O70" s="6">
        <v>80.0</v>
      </c>
      <c r="P70" s="9">
        <v>38703.0</v>
      </c>
      <c r="Q70" s="1" t="s">
        <v>52</v>
      </c>
      <c r="R70" s="1" t="s">
        <v>53</v>
      </c>
      <c r="S70" s="6">
        <v>2005.0</v>
      </c>
      <c r="T70" s="6">
        <v>12.0</v>
      </c>
      <c r="U70" s="1" t="s">
        <v>54</v>
      </c>
      <c r="V70" s="1" t="s">
        <v>55</v>
      </c>
      <c r="W70" s="6">
        <v>17.0</v>
      </c>
      <c r="X70" s="1" t="s">
        <v>56</v>
      </c>
      <c r="Y70" s="1" t="s">
        <v>57</v>
      </c>
      <c r="Z70" s="6">
        <v>11.62</v>
      </c>
      <c r="AA70" s="6">
        <v>161871.0</v>
      </c>
      <c r="AB70" s="10">
        <v>0.17</v>
      </c>
      <c r="AC70" s="1" t="s">
        <v>951</v>
      </c>
      <c r="AD70" s="1" t="s">
        <v>952</v>
      </c>
      <c r="AE70" s="1" t="s">
        <v>953</v>
      </c>
      <c r="AF70" s="1" t="s">
        <v>953</v>
      </c>
      <c r="AG70" s="1" t="s">
        <v>953</v>
      </c>
      <c r="AH70" s="1" t="s">
        <v>563</v>
      </c>
      <c r="AI70" s="6">
        <v>26145.0</v>
      </c>
      <c r="AJ70" s="1" t="s">
        <v>106</v>
      </c>
      <c r="AK70" s="1" t="s">
        <v>954</v>
      </c>
      <c r="AL70" s="1" t="s">
        <v>955</v>
      </c>
      <c r="AM70" s="11" t="str">
        <f>VLOOKUP(N70,Sheet3!$B$4:$C$10,2,1)</f>
        <v>51-60</v>
      </c>
      <c r="AN70" s="12" t="str">
        <f>VLOOKUP(Z70,Sheet3!$F$4:$G$10,2,1)</f>
        <v>11-20</v>
      </c>
      <c r="AO70" s="5" t="str">
        <f>VLOOKUP(AA70,Sheet3!$I$3:$J$16,2,1)</f>
        <v>160000-180000</v>
      </c>
      <c r="AP70" s="5" t="str">
        <f>VLOOKUP(AB70,Sheet3!$L$4:$M$14,2,1)</f>
        <v>16% - 20%</v>
      </c>
    </row>
    <row r="71">
      <c r="A71" s="6">
        <v>807964.0</v>
      </c>
      <c r="B71" s="1" t="s">
        <v>66</v>
      </c>
      <c r="C71" s="1" t="s">
        <v>956</v>
      </c>
      <c r="D71" s="1" t="s">
        <v>403</v>
      </c>
      <c r="E71" s="1" t="s">
        <v>684</v>
      </c>
      <c r="F71" s="1" t="s">
        <v>70</v>
      </c>
      <c r="G71" s="1" t="s">
        <v>957</v>
      </c>
      <c r="H71" s="1" t="s">
        <v>604</v>
      </c>
      <c r="I71" s="1" t="s">
        <v>958</v>
      </c>
      <c r="J71" s="1" t="s">
        <v>959</v>
      </c>
      <c r="K71" s="1" t="s">
        <v>960</v>
      </c>
      <c r="L71" s="9">
        <v>28785.0</v>
      </c>
      <c r="M71" s="8">
        <v>0.910150462962963</v>
      </c>
      <c r="N71" s="6">
        <v>38.79</v>
      </c>
      <c r="O71" s="6">
        <v>62.0</v>
      </c>
      <c r="P71" s="9">
        <v>40803.0</v>
      </c>
      <c r="Q71" s="1" t="s">
        <v>308</v>
      </c>
      <c r="R71" s="1" t="s">
        <v>53</v>
      </c>
      <c r="S71" s="6">
        <v>2011.0</v>
      </c>
      <c r="T71" s="6">
        <v>9.0</v>
      </c>
      <c r="U71" s="1" t="s">
        <v>309</v>
      </c>
      <c r="V71" s="1" t="s">
        <v>310</v>
      </c>
      <c r="W71" s="6">
        <v>17.0</v>
      </c>
      <c r="X71" s="1" t="s">
        <v>56</v>
      </c>
      <c r="Y71" s="1" t="s">
        <v>57</v>
      </c>
      <c r="Z71" s="6">
        <v>5.87</v>
      </c>
      <c r="AA71" s="6">
        <v>97656.0</v>
      </c>
      <c r="AB71" s="10">
        <v>0.18</v>
      </c>
      <c r="AC71" s="1" t="s">
        <v>961</v>
      </c>
      <c r="AD71" s="1" t="s">
        <v>962</v>
      </c>
      <c r="AE71" s="1" t="s">
        <v>963</v>
      </c>
      <c r="AF71" s="1" t="s">
        <v>649</v>
      </c>
      <c r="AG71" s="1" t="s">
        <v>963</v>
      </c>
      <c r="AH71" s="1" t="s">
        <v>488</v>
      </c>
      <c r="AI71" s="6">
        <v>32344.0</v>
      </c>
      <c r="AJ71" s="1" t="s">
        <v>106</v>
      </c>
      <c r="AK71" s="1" t="s">
        <v>964</v>
      </c>
      <c r="AL71" s="1" t="s">
        <v>965</v>
      </c>
      <c r="AM71" s="11" t="str">
        <f>VLOOKUP(N71,Sheet3!$B$4:$C$10,2,1)</f>
        <v>31-40</v>
      </c>
      <c r="AN71" s="12" t="str">
        <f>VLOOKUP(Z71,Sheet3!$F$4:$G$10,2,1)</f>
        <v>5-10</v>
      </c>
      <c r="AO71" s="5" t="str">
        <f>VLOOKUP(AA71,Sheet3!$I$3:$J$16,2,1)</f>
        <v>80000-100000</v>
      </c>
      <c r="AP71" s="5" t="str">
        <f>VLOOKUP(AB71,Sheet3!$L$4:$M$14,2,1)</f>
        <v>16% - 20%</v>
      </c>
    </row>
    <row r="72">
      <c r="A72" s="6">
        <v>769123.0</v>
      </c>
      <c r="B72" s="1" t="s">
        <v>66</v>
      </c>
      <c r="C72" s="1" t="s">
        <v>966</v>
      </c>
      <c r="D72" s="1" t="s">
        <v>318</v>
      </c>
      <c r="E72" s="1" t="s">
        <v>891</v>
      </c>
      <c r="F72" s="1" t="s">
        <v>70</v>
      </c>
      <c r="G72" s="1" t="s">
        <v>967</v>
      </c>
      <c r="H72" s="1" t="s">
        <v>604</v>
      </c>
      <c r="I72" s="1" t="s">
        <v>968</v>
      </c>
      <c r="J72" s="1" t="s">
        <v>969</v>
      </c>
      <c r="K72" s="1" t="s">
        <v>970</v>
      </c>
      <c r="L72" s="14">
        <v>25878.0</v>
      </c>
      <c r="M72" s="8">
        <v>0.3258912037037037</v>
      </c>
      <c r="N72" s="6">
        <v>46.76</v>
      </c>
      <c r="O72" s="6">
        <v>53.0</v>
      </c>
      <c r="P72" s="9">
        <v>34695.0</v>
      </c>
      <c r="Q72" s="1" t="s">
        <v>52</v>
      </c>
      <c r="R72" s="1" t="s">
        <v>53</v>
      </c>
      <c r="S72" s="6">
        <v>1994.0</v>
      </c>
      <c r="T72" s="6">
        <v>12.0</v>
      </c>
      <c r="U72" s="1" t="s">
        <v>54</v>
      </c>
      <c r="V72" s="1" t="s">
        <v>55</v>
      </c>
      <c r="W72" s="6">
        <v>27.0</v>
      </c>
      <c r="X72" s="1" t="s">
        <v>79</v>
      </c>
      <c r="Y72" s="1" t="s">
        <v>80</v>
      </c>
      <c r="Z72" s="6">
        <v>22.6</v>
      </c>
      <c r="AA72" s="6">
        <v>98023.0</v>
      </c>
      <c r="AB72" s="10">
        <v>0.02</v>
      </c>
      <c r="AC72" s="1" t="s">
        <v>971</v>
      </c>
      <c r="AD72" s="1" t="s">
        <v>972</v>
      </c>
      <c r="AE72" s="1" t="s">
        <v>973</v>
      </c>
      <c r="AF72" s="1" t="s">
        <v>283</v>
      </c>
      <c r="AG72" s="1" t="s">
        <v>973</v>
      </c>
      <c r="AH72" s="1" t="s">
        <v>974</v>
      </c>
      <c r="AI72" s="6">
        <v>43322.0</v>
      </c>
      <c r="AJ72" s="1" t="s">
        <v>86</v>
      </c>
      <c r="AK72" s="1" t="s">
        <v>975</v>
      </c>
      <c r="AL72" s="1" t="s">
        <v>976</v>
      </c>
      <c r="AM72" s="11" t="str">
        <f>VLOOKUP(N72,Sheet3!$B$4:$C$10,2,1)</f>
        <v>41-50</v>
      </c>
      <c r="AN72" s="13" t="str">
        <f>VLOOKUP(Z72,Sheet3!$F$4:$G$10,2,1)</f>
        <v>21-30</v>
      </c>
      <c r="AO72" s="5" t="str">
        <f>VLOOKUP(AA72,Sheet3!$I$3:$J$16,2,1)</f>
        <v>80000-100000</v>
      </c>
      <c r="AP72" s="5" t="str">
        <f>VLOOKUP(AB72,Sheet3!$L$4:$M$14,2,1)</f>
        <v>&lt; 5%</v>
      </c>
    </row>
    <row r="73">
      <c r="A73" s="6">
        <v>395792.0</v>
      </c>
      <c r="B73" s="1" t="s">
        <v>125</v>
      </c>
      <c r="C73" s="1" t="s">
        <v>977</v>
      </c>
      <c r="D73" s="1" t="s">
        <v>44</v>
      </c>
      <c r="E73" s="1" t="s">
        <v>978</v>
      </c>
      <c r="F73" s="1" t="s">
        <v>70</v>
      </c>
      <c r="G73" s="1" t="s">
        <v>979</v>
      </c>
      <c r="H73" s="1" t="s">
        <v>604</v>
      </c>
      <c r="I73" s="1" t="s">
        <v>980</v>
      </c>
      <c r="J73" s="1" t="s">
        <v>981</v>
      </c>
      <c r="K73" s="1" t="s">
        <v>982</v>
      </c>
      <c r="L73" s="14">
        <v>29408.0</v>
      </c>
      <c r="M73" s="8">
        <v>0.5062037037037037</v>
      </c>
      <c r="N73" s="6">
        <v>37.08</v>
      </c>
      <c r="O73" s="6">
        <v>67.0</v>
      </c>
      <c r="P73" s="14">
        <v>38180.0</v>
      </c>
      <c r="Q73" s="1" t="s">
        <v>308</v>
      </c>
      <c r="R73" s="1" t="s">
        <v>53</v>
      </c>
      <c r="S73" s="6">
        <v>2004.0</v>
      </c>
      <c r="T73" s="6">
        <v>7.0</v>
      </c>
      <c r="U73" s="1" t="s">
        <v>366</v>
      </c>
      <c r="V73" s="1" t="s">
        <v>367</v>
      </c>
      <c r="W73" s="6">
        <v>12.0</v>
      </c>
      <c r="X73" s="1" t="s">
        <v>99</v>
      </c>
      <c r="Y73" s="1" t="s">
        <v>100</v>
      </c>
      <c r="Z73" s="6">
        <v>13.05</v>
      </c>
      <c r="AA73" s="6">
        <v>103749.0</v>
      </c>
      <c r="AB73" s="10">
        <v>0.13</v>
      </c>
      <c r="AC73" s="1" t="s">
        <v>983</v>
      </c>
      <c r="AD73" s="1" t="s">
        <v>984</v>
      </c>
      <c r="AE73" s="1" t="s">
        <v>985</v>
      </c>
      <c r="AF73" s="1" t="s">
        <v>985</v>
      </c>
      <c r="AG73" s="1" t="s">
        <v>985</v>
      </c>
      <c r="AH73" s="1" t="s">
        <v>299</v>
      </c>
      <c r="AI73" s="6">
        <v>73750.0</v>
      </c>
      <c r="AJ73" s="1" t="s">
        <v>106</v>
      </c>
      <c r="AK73" s="1" t="s">
        <v>986</v>
      </c>
      <c r="AL73" s="1" t="s">
        <v>987</v>
      </c>
      <c r="AM73" s="11" t="str">
        <f>VLOOKUP(N73,Sheet3!$B$4:$C$10,2,1)</f>
        <v>31-40</v>
      </c>
      <c r="AN73" s="12" t="str">
        <f>VLOOKUP(Z73,Sheet3!$F$4:$G$10,2,1)</f>
        <v>11-20</v>
      </c>
      <c r="AO73" s="5" t="str">
        <f>VLOOKUP(AA73,Sheet3!$I$3:$J$16,2,1)</f>
        <v>100000-120000</v>
      </c>
      <c r="AP73" s="5" t="str">
        <f>VLOOKUP(AB73,Sheet3!$L$4:$M$14,2,1)</f>
        <v>11% - 15%</v>
      </c>
    </row>
    <row r="74">
      <c r="A74" s="6">
        <v>929791.0</v>
      </c>
      <c r="B74" s="1" t="s">
        <v>42</v>
      </c>
      <c r="C74" s="1" t="s">
        <v>988</v>
      </c>
      <c r="D74" s="1" t="s">
        <v>288</v>
      </c>
      <c r="E74" s="1" t="s">
        <v>989</v>
      </c>
      <c r="F74" s="1" t="s">
        <v>46</v>
      </c>
      <c r="G74" s="1" t="s">
        <v>990</v>
      </c>
      <c r="H74" s="1" t="s">
        <v>604</v>
      </c>
      <c r="I74" s="1" t="s">
        <v>991</v>
      </c>
      <c r="J74" s="1" t="s">
        <v>992</v>
      </c>
      <c r="K74" s="1" t="s">
        <v>993</v>
      </c>
      <c r="L74" s="7">
        <v>22260.0</v>
      </c>
      <c r="M74" s="8">
        <v>0.18268518518518517</v>
      </c>
      <c r="N74" s="6">
        <v>56.67</v>
      </c>
      <c r="O74" s="6">
        <v>42.0</v>
      </c>
      <c r="P74" s="9">
        <v>32946.0</v>
      </c>
      <c r="Q74" s="1" t="s">
        <v>96</v>
      </c>
      <c r="R74" s="1" t="s">
        <v>76</v>
      </c>
      <c r="S74" s="6">
        <v>1990.0</v>
      </c>
      <c r="T74" s="6">
        <v>3.0</v>
      </c>
      <c r="U74" s="1" t="s">
        <v>97</v>
      </c>
      <c r="V74" s="1" t="s">
        <v>98</v>
      </c>
      <c r="W74" s="6">
        <v>14.0</v>
      </c>
      <c r="X74" s="1" t="s">
        <v>278</v>
      </c>
      <c r="Y74" s="1" t="s">
        <v>279</v>
      </c>
      <c r="Z74" s="6">
        <v>27.39</v>
      </c>
      <c r="AA74" s="6">
        <v>176095.0</v>
      </c>
      <c r="AB74" s="10">
        <v>0.2</v>
      </c>
      <c r="AC74" s="1" t="s">
        <v>994</v>
      </c>
      <c r="AD74" s="1" t="s">
        <v>995</v>
      </c>
      <c r="AE74" s="1" t="s">
        <v>103</v>
      </c>
      <c r="AF74" s="1" t="s">
        <v>996</v>
      </c>
      <c r="AG74" s="1" t="s">
        <v>103</v>
      </c>
      <c r="AH74" s="1" t="s">
        <v>156</v>
      </c>
      <c r="AI74" s="6">
        <v>24450.0</v>
      </c>
      <c r="AJ74" s="1" t="s">
        <v>106</v>
      </c>
      <c r="AK74" s="1" t="s">
        <v>997</v>
      </c>
      <c r="AL74" s="1" t="s">
        <v>998</v>
      </c>
      <c r="AM74" s="11" t="str">
        <f>VLOOKUP(N74,Sheet3!$B$4:$C$10,2,1)</f>
        <v>51-60</v>
      </c>
      <c r="AN74" s="13" t="str">
        <f>VLOOKUP(Z74,Sheet3!$F$4:$G$10,2,1)</f>
        <v>21-30</v>
      </c>
      <c r="AO74" s="5" t="str">
        <f>VLOOKUP(AA74,Sheet3!$I$3:$J$16,2,1)</f>
        <v>160000-180000</v>
      </c>
      <c r="AP74" s="5" t="str">
        <f>VLOOKUP(AB74,Sheet3!$L$4:$M$14,2,1)</f>
        <v>16% - 20%</v>
      </c>
    </row>
    <row r="75">
      <c r="A75" s="6">
        <v>141326.0</v>
      </c>
      <c r="B75" s="1" t="s">
        <v>125</v>
      </c>
      <c r="C75" s="1" t="s">
        <v>999</v>
      </c>
      <c r="D75" s="1" t="s">
        <v>111</v>
      </c>
      <c r="E75" s="1" t="s">
        <v>1000</v>
      </c>
      <c r="F75" s="1" t="s">
        <v>46</v>
      </c>
      <c r="G75" s="1" t="s">
        <v>1001</v>
      </c>
      <c r="H75" s="1" t="s">
        <v>604</v>
      </c>
      <c r="I75" s="1" t="s">
        <v>1002</v>
      </c>
      <c r="J75" s="1" t="s">
        <v>1003</v>
      </c>
      <c r="K75" s="1" t="s">
        <v>1004</v>
      </c>
      <c r="L75" s="9">
        <v>27711.0</v>
      </c>
      <c r="M75" s="8">
        <v>0.6978472222222222</v>
      </c>
      <c r="N75" s="6">
        <v>41.73</v>
      </c>
      <c r="O75" s="6">
        <v>53.0</v>
      </c>
      <c r="P75" s="14">
        <v>36651.0</v>
      </c>
      <c r="Q75" s="1" t="s">
        <v>75</v>
      </c>
      <c r="R75" s="1" t="s">
        <v>76</v>
      </c>
      <c r="S75" s="6">
        <v>2000.0</v>
      </c>
      <c r="T75" s="6">
        <v>5.0</v>
      </c>
      <c r="U75" s="1" t="s">
        <v>294</v>
      </c>
      <c r="V75" s="1" t="s">
        <v>294</v>
      </c>
      <c r="W75" s="6">
        <v>5.0</v>
      </c>
      <c r="X75" s="1" t="s">
        <v>263</v>
      </c>
      <c r="Y75" s="1" t="s">
        <v>264</v>
      </c>
      <c r="Z75" s="6">
        <v>17.24</v>
      </c>
      <c r="AA75" s="6">
        <v>160494.0</v>
      </c>
      <c r="AB75" s="10">
        <v>0.0</v>
      </c>
      <c r="AC75" s="1" t="s">
        <v>1005</v>
      </c>
      <c r="AD75" s="1" t="s">
        <v>1006</v>
      </c>
      <c r="AE75" s="1" t="s">
        <v>1007</v>
      </c>
      <c r="AF75" s="1" t="s">
        <v>1008</v>
      </c>
      <c r="AG75" s="1" t="s">
        <v>1007</v>
      </c>
      <c r="AH75" s="1" t="s">
        <v>330</v>
      </c>
      <c r="AI75" s="6">
        <v>21601.0</v>
      </c>
      <c r="AJ75" s="1" t="s">
        <v>106</v>
      </c>
      <c r="AK75" s="1" t="s">
        <v>1009</v>
      </c>
      <c r="AL75" s="1" t="s">
        <v>1010</v>
      </c>
      <c r="AM75" s="11" t="str">
        <f>VLOOKUP(N75,Sheet3!$B$4:$C$10,2,1)</f>
        <v>41-50</v>
      </c>
      <c r="AN75" s="12" t="str">
        <f>VLOOKUP(Z75,Sheet3!$F$4:$G$10,2,1)</f>
        <v>11-20</v>
      </c>
      <c r="AO75" s="5" t="str">
        <f>VLOOKUP(AA75,Sheet3!$I$3:$J$16,2,1)</f>
        <v>160000-180000</v>
      </c>
      <c r="AP75" s="5" t="str">
        <f>VLOOKUP(AB75,Sheet3!$L$4:$M$14,2,1)</f>
        <v>&lt; 5%</v>
      </c>
    </row>
    <row r="76">
      <c r="A76" s="6">
        <v>232794.0</v>
      </c>
      <c r="B76" s="1" t="s">
        <v>255</v>
      </c>
      <c r="C76" s="1" t="s">
        <v>1011</v>
      </c>
      <c r="D76" s="1" t="s">
        <v>334</v>
      </c>
      <c r="E76" s="1" t="s">
        <v>1012</v>
      </c>
      <c r="F76" s="1" t="s">
        <v>70</v>
      </c>
      <c r="G76" s="1" t="s">
        <v>1013</v>
      </c>
      <c r="H76" s="1" t="s">
        <v>604</v>
      </c>
      <c r="I76" s="1" t="s">
        <v>1014</v>
      </c>
      <c r="J76" s="1" t="s">
        <v>1015</v>
      </c>
      <c r="K76" s="1" t="s">
        <v>719</v>
      </c>
      <c r="L76" s="9">
        <v>28574.0</v>
      </c>
      <c r="M76" s="8">
        <v>0.18677083333333333</v>
      </c>
      <c r="N76" s="6">
        <v>39.37</v>
      </c>
      <c r="O76" s="6">
        <v>84.0</v>
      </c>
      <c r="P76" s="14">
        <v>36255.0</v>
      </c>
      <c r="Q76" s="1" t="s">
        <v>75</v>
      </c>
      <c r="R76" s="1" t="s">
        <v>76</v>
      </c>
      <c r="S76" s="6">
        <v>1999.0</v>
      </c>
      <c r="T76" s="6">
        <v>4.0</v>
      </c>
      <c r="U76" s="1" t="s">
        <v>77</v>
      </c>
      <c r="V76" s="1" t="s">
        <v>78</v>
      </c>
      <c r="W76" s="6">
        <v>5.0</v>
      </c>
      <c r="X76" s="1" t="s">
        <v>99</v>
      </c>
      <c r="Y76" s="1" t="s">
        <v>100</v>
      </c>
      <c r="Z76" s="6">
        <v>18.33</v>
      </c>
      <c r="AA76" s="6">
        <v>112988.0</v>
      </c>
      <c r="AB76" s="10">
        <v>0.29</v>
      </c>
      <c r="AC76" s="1" t="s">
        <v>1016</v>
      </c>
      <c r="AD76" s="1" t="s">
        <v>1017</v>
      </c>
      <c r="AE76" s="1" t="s">
        <v>1018</v>
      </c>
      <c r="AF76" s="1" t="s">
        <v>1019</v>
      </c>
      <c r="AG76" s="1" t="s">
        <v>1018</v>
      </c>
      <c r="AH76" s="1" t="s">
        <v>488</v>
      </c>
      <c r="AI76" s="6">
        <v>32059.0</v>
      </c>
      <c r="AJ76" s="1" t="s">
        <v>106</v>
      </c>
      <c r="AK76" s="1" t="s">
        <v>1020</v>
      </c>
      <c r="AL76" s="1" t="s">
        <v>1021</v>
      </c>
      <c r="AM76" s="11" t="str">
        <f>VLOOKUP(N76,Sheet3!$B$4:$C$10,2,1)</f>
        <v>31-40</v>
      </c>
      <c r="AN76" s="12" t="str">
        <f>VLOOKUP(Z76,Sheet3!$F$4:$G$10,2,1)</f>
        <v>11-20</v>
      </c>
      <c r="AO76" s="5" t="str">
        <f>VLOOKUP(AA76,Sheet3!$I$3:$J$16,2,1)</f>
        <v>100000-120000</v>
      </c>
      <c r="AP76" s="5" t="str">
        <f>VLOOKUP(AB76,Sheet3!$L$4:$M$14,2,1)</f>
        <v>26% - 30%</v>
      </c>
    </row>
    <row r="77">
      <c r="A77" s="6">
        <v>946835.0</v>
      </c>
      <c r="B77" s="1" t="s">
        <v>125</v>
      </c>
      <c r="C77" s="1" t="s">
        <v>1022</v>
      </c>
      <c r="D77" s="1" t="s">
        <v>186</v>
      </c>
      <c r="E77" s="1" t="s">
        <v>1023</v>
      </c>
      <c r="F77" s="1" t="s">
        <v>46</v>
      </c>
      <c r="G77" s="1" t="s">
        <v>1024</v>
      </c>
      <c r="H77" s="1" t="s">
        <v>604</v>
      </c>
      <c r="I77" s="1" t="s">
        <v>1025</v>
      </c>
      <c r="J77" s="1" t="s">
        <v>1026</v>
      </c>
      <c r="K77" s="1" t="s">
        <v>1027</v>
      </c>
      <c r="L77" s="9">
        <v>22538.0</v>
      </c>
      <c r="M77" s="8">
        <v>0.438912037037037</v>
      </c>
      <c r="N77" s="6">
        <v>55.91</v>
      </c>
      <c r="O77" s="6">
        <v>49.0</v>
      </c>
      <c r="P77" s="14">
        <v>38688.0</v>
      </c>
      <c r="Q77" s="1" t="s">
        <v>52</v>
      </c>
      <c r="R77" s="1" t="s">
        <v>53</v>
      </c>
      <c r="S77" s="6">
        <v>2005.0</v>
      </c>
      <c r="T77" s="6">
        <v>12.0</v>
      </c>
      <c r="U77" s="1" t="s">
        <v>54</v>
      </c>
      <c r="V77" s="1" t="s">
        <v>55</v>
      </c>
      <c r="W77" s="6">
        <v>2.0</v>
      </c>
      <c r="X77" s="1" t="s">
        <v>263</v>
      </c>
      <c r="Y77" s="1" t="s">
        <v>264</v>
      </c>
      <c r="Z77" s="6">
        <v>11.66</v>
      </c>
      <c r="AA77" s="6">
        <v>128425.0</v>
      </c>
      <c r="AB77" s="10">
        <v>0.18</v>
      </c>
      <c r="AC77" s="1" t="s">
        <v>1028</v>
      </c>
      <c r="AD77" s="1" t="s">
        <v>1029</v>
      </c>
      <c r="AE77" s="1" t="s">
        <v>1030</v>
      </c>
      <c r="AF77" s="1" t="s">
        <v>1031</v>
      </c>
      <c r="AG77" s="1" t="s">
        <v>1030</v>
      </c>
      <c r="AH77" s="1" t="s">
        <v>1032</v>
      </c>
      <c r="AI77" s="6">
        <v>66006.0</v>
      </c>
      <c r="AJ77" s="1" t="s">
        <v>86</v>
      </c>
      <c r="AK77" s="1" t="s">
        <v>1033</v>
      </c>
      <c r="AL77" s="1" t="s">
        <v>1034</v>
      </c>
      <c r="AM77" s="11" t="str">
        <f>VLOOKUP(N77,Sheet3!$B$4:$C$10,2,1)</f>
        <v>51-60</v>
      </c>
      <c r="AN77" s="12" t="str">
        <f>VLOOKUP(Z77,Sheet3!$F$4:$G$10,2,1)</f>
        <v>11-20</v>
      </c>
      <c r="AO77" s="5" t="str">
        <f>VLOOKUP(AA77,Sheet3!$I$3:$J$16,2,1)</f>
        <v>120000-140000</v>
      </c>
      <c r="AP77" s="5" t="str">
        <f>VLOOKUP(AB77,Sheet3!$L$4:$M$14,2,1)</f>
        <v>16% - 20%</v>
      </c>
    </row>
    <row r="78">
      <c r="A78" s="6">
        <v>894936.0</v>
      </c>
      <c r="B78" s="1" t="s">
        <v>42</v>
      </c>
      <c r="C78" s="1" t="s">
        <v>1035</v>
      </c>
      <c r="D78" s="1" t="s">
        <v>861</v>
      </c>
      <c r="E78" s="1" t="s">
        <v>1036</v>
      </c>
      <c r="F78" s="1" t="s">
        <v>46</v>
      </c>
      <c r="G78" s="1" t="s">
        <v>1037</v>
      </c>
      <c r="H78" s="1" t="s">
        <v>604</v>
      </c>
      <c r="I78" s="1" t="s">
        <v>1038</v>
      </c>
      <c r="J78" s="1" t="s">
        <v>1039</v>
      </c>
      <c r="K78" s="1" t="s">
        <v>1040</v>
      </c>
      <c r="L78" s="14">
        <v>21955.0</v>
      </c>
      <c r="M78" s="8">
        <v>0.543587962962963</v>
      </c>
      <c r="N78" s="6">
        <v>57.5</v>
      </c>
      <c r="O78" s="6">
        <v>46.0</v>
      </c>
      <c r="P78" s="14">
        <v>37140.0</v>
      </c>
      <c r="Q78" s="1" t="s">
        <v>308</v>
      </c>
      <c r="R78" s="1" t="s">
        <v>53</v>
      </c>
      <c r="S78" s="6">
        <v>2001.0</v>
      </c>
      <c r="T78" s="6">
        <v>9.0</v>
      </c>
      <c r="U78" s="1" t="s">
        <v>309</v>
      </c>
      <c r="V78" s="1" t="s">
        <v>310</v>
      </c>
      <c r="W78" s="6">
        <v>6.0</v>
      </c>
      <c r="X78" s="1" t="s">
        <v>150</v>
      </c>
      <c r="Y78" s="1" t="s">
        <v>151</v>
      </c>
      <c r="Z78" s="6">
        <v>15.9</v>
      </c>
      <c r="AA78" s="6">
        <v>93355.0</v>
      </c>
      <c r="AB78" s="10">
        <v>0.02</v>
      </c>
      <c r="AC78" s="1" t="s">
        <v>1041</v>
      </c>
      <c r="AD78" s="1" t="s">
        <v>1042</v>
      </c>
      <c r="AE78" s="1" t="s">
        <v>1043</v>
      </c>
      <c r="AF78" s="1" t="s">
        <v>1044</v>
      </c>
      <c r="AG78" s="1" t="s">
        <v>1043</v>
      </c>
      <c r="AH78" s="1" t="s">
        <v>156</v>
      </c>
      <c r="AI78" s="6">
        <v>23943.0</v>
      </c>
      <c r="AJ78" s="1" t="s">
        <v>106</v>
      </c>
      <c r="AK78" s="1" t="s">
        <v>1045</v>
      </c>
      <c r="AL78" s="1" t="s">
        <v>1046</v>
      </c>
      <c r="AM78" s="11" t="str">
        <f>VLOOKUP(N78,Sheet3!$B$4:$C$10,2,1)</f>
        <v>51-60</v>
      </c>
      <c r="AN78" s="12" t="str">
        <f>VLOOKUP(Z78,Sheet3!$F$4:$G$10,2,1)</f>
        <v>11-20</v>
      </c>
      <c r="AO78" s="5" t="str">
        <f>VLOOKUP(AA78,Sheet3!$I$3:$J$16,2,1)</f>
        <v>80000-100000</v>
      </c>
      <c r="AP78" s="5" t="str">
        <f>VLOOKUP(AB78,Sheet3!$L$4:$M$14,2,1)</f>
        <v>&lt; 5%</v>
      </c>
    </row>
    <row r="79">
      <c r="A79" s="6">
        <v>946630.0</v>
      </c>
      <c r="B79" s="1" t="s">
        <v>66</v>
      </c>
      <c r="C79" s="1" t="s">
        <v>1047</v>
      </c>
      <c r="D79" s="1" t="s">
        <v>127</v>
      </c>
      <c r="E79" s="1" t="s">
        <v>1048</v>
      </c>
      <c r="F79" s="1" t="s">
        <v>70</v>
      </c>
      <c r="G79" s="1" t="s">
        <v>1049</v>
      </c>
      <c r="H79" s="1" t="s">
        <v>604</v>
      </c>
      <c r="I79" s="1" t="s">
        <v>1050</v>
      </c>
      <c r="J79" s="1" t="s">
        <v>1051</v>
      </c>
      <c r="K79" s="1" t="s">
        <v>1052</v>
      </c>
      <c r="L79" s="9">
        <v>23424.0</v>
      </c>
      <c r="M79" s="8">
        <v>0.29802083333333335</v>
      </c>
      <c r="N79" s="6">
        <v>53.48</v>
      </c>
      <c r="O79" s="6">
        <v>69.0</v>
      </c>
      <c r="P79" s="14">
        <v>36832.0</v>
      </c>
      <c r="Q79" s="1" t="s">
        <v>52</v>
      </c>
      <c r="R79" s="1" t="s">
        <v>53</v>
      </c>
      <c r="S79" s="6">
        <v>2000.0</v>
      </c>
      <c r="T79" s="6">
        <v>11.0</v>
      </c>
      <c r="U79" s="1" t="s">
        <v>148</v>
      </c>
      <c r="V79" s="1" t="s">
        <v>149</v>
      </c>
      <c r="W79" s="6">
        <v>2.0</v>
      </c>
      <c r="X79" s="1" t="s">
        <v>150</v>
      </c>
      <c r="Y79" s="1" t="s">
        <v>151</v>
      </c>
      <c r="Z79" s="6">
        <v>16.75</v>
      </c>
      <c r="AA79" s="6">
        <v>154843.0</v>
      </c>
      <c r="AB79" s="10">
        <v>0.11</v>
      </c>
      <c r="AC79" s="1" t="s">
        <v>1053</v>
      </c>
      <c r="AD79" s="1" t="s">
        <v>1054</v>
      </c>
      <c r="AE79" s="1" t="s">
        <v>1055</v>
      </c>
      <c r="AF79" s="1" t="s">
        <v>1056</v>
      </c>
      <c r="AG79" s="1" t="s">
        <v>1055</v>
      </c>
      <c r="AH79" s="1" t="s">
        <v>488</v>
      </c>
      <c r="AI79" s="6">
        <v>33420.0</v>
      </c>
      <c r="AJ79" s="1" t="s">
        <v>106</v>
      </c>
      <c r="AK79" s="1" t="s">
        <v>1057</v>
      </c>
      <c r="AL79" s="1" t="s">
        <v>1058</v>
      </c>
      <c r="AM79" s="11" t="str">
        <f>VLOOKUP(N79,Sheet3!$B$4:$C$10,2,1)</f>
        <v>51-60</v>
      </c>
      <c r="AN79" s="12" t="str">
        <f>VLOOKUP(Z79,Sheet3!$F$4:$G$10,2,1)</f>
        <v>11-20</v>
      </c>
      <c r="AO79" s="5" t="str">
        <f>VLOOKUP(AA79,Sheet3!$I$3:$J$16,2,1)</f>
        <v>140000-160000</v>
      </c>
      <c r="AP79" s="5" t="str">
        <f>VLOOKUP(AB79,Sheet3!$L$4:$M$14,2,1)</f>
        <v>11% - 15%</v>
      </c>
    </row>
    <row r="80">
      <c r="A80" s="6">
        <v>381338.0</v>
      </c>
      <c r="B80" s="1" t="s">
        <v>42</v>
      </c>
      <c r="C80" s="1" t="s">
        <v>1059</v>
      </c>
      <c r="D80" s="1" t="s">
        <v>683</v>
      </c>
      <c r="E80" s="1" t="s">
        <v>926</v>
      </c>
      <c r="F80" s="1" t="s">
        <v>46</v>
      </c>
      <c r="G80" s="1" t="s">
        <v>1060</v>
      </c>
      <c r="H80" s="1" t="s">
        <v>604</v>
      </c>
      <c r="I80" s="1" t="s">
        <v>1061</v>
      </c>
      <c r="J80" s="1" t="s">
        <v>1062</v>
      </c>
      <c r="K80" s="1" t="s">
        <v>1063</v>
      </c>
      <c r="L80" s="9">
        <v>33049.0</v>
      </c>
      <c r="M80" s="8">
        <v>0.8811226851851852</v>
      </c>
      <c r="N80" s="6">
        <v>27.11</v>
      </c>
      <c r="O80" s="6">
        <v>59.0</v>
      </c>
      <c r="P80" s="14">
        <v>42437.0</v>
      </c>
      <c r="Q80" s="1" t="s">
        <v>96</v>
      </c>
      <c r="R80" s="1" t="s">
        <v>76</v>
      </c>
      <c r="S80" s="6">
        <v>2016.0</v>
      </c>
      <c r="T80" s="6">
        <v>3.0</v>
      </c>
      <c r="U80" s="1" t="s">
        <v>97</v>
      </c>
      <c r="V80" s="1" t="s">
        <v>98</v>
      </c>
      <c r="W80" s="6">
        <v>8.0</v>
      </c>
      <c r="X80" s="1" t="s">
        <v>79</v>
      </c>
      <c r="Y80" s="1" t="s">
        <v>80</v>
      </c>
      <c r="Z80" s="6">
        <v>1.39</v>
      </c>
      <c r="AA80" s="6">
        <v>131543.0</v>
      </c>
      <c r="AB80" s="10">
        <v>0.14</v>
      </c>
      <c r="AC80" s="1" t="s">
        <v>1064</v>
      </c>
      <c r="AD80" s="1" t="s">
        <v>1065</v>
      </c>
      <c r="AE80" s="1" t="s">
        <v>1066</v>
      </c>
      <c r="AF80" s="1" t="s">
        <v>1067</v>
      </c>
      <c r="AG80" s="1" t="s">
        <v>1066</v>
      </c>
      <c r="AH80" s="1" t="s">
        <v>169</v>
      </c>
      <c r="AI80" s="6">
        <v>76825.0</v>
      </c>
      <c r="AJ80" s="1" t="s">
        <v>106</v>
      </c>
      <c r="AK80" s="1" t="s">
        <v>1068</v>
      </c>
      <c r="AL80" s="1" t="s">
        <v>1069</v>
      </c>
      <c r="AM80" s="11" t="str">
        <f>VLOOKUP(N80,Sheet3!$B$4:$C$10,2,1)</f>
        <v>21-30</v>
      </c>
      <c r="AN80" s="13" t="str">
        <f>VLOOKUP(Z80,Sheet3!$F$4:$G$10,2,1)</f>
        <v>&lt; 5</v>
      </c>
      <c r="AO80" s="5" t="str">
        <f>VLOOKUP(AA80,Sheet3!$I$3:$J$16,2,1)</f>
        <v>120000-140000</v>
      </c>
      <c r="AP80" s="5" t="str">
        <f>VLOOKUP(AB80,Sheet3!$L$4:$M$14,2,1)</f>
        <v>11% - 15%</v>
      </c>
    </row>
    <row r="81">
      <c r="A81" s="6">
        <v>141178.0</v>
      </c>
      <c r="B81" s="1" t="s">
        <v>66</v>
      </c>
      <c r="C81" s="1" t="s">
        <v>1070</v>
      </c>
      <c r="D81" s="1" t="s">
        <v>529</v>
      </c>
      <c r="E81" s="1" t="s">
        <v>247</v>
      </c>
      <c r="F81" s="1" t="s">
        <v>70</v>
      </c>
      <c r="G81" s="1" t="s">
        <v>1071</v>
      </c>
      <c r="H81" s="1" t="s">
        <v>604</v>
      </c>
      <c r="I81" s="1" t="s">
        <v>1072</v>
      </c>
      <c r="J81" s="1" t="s">
        <v>1073</v>
      </c>
      <c r="K81" s="1" t="s">
        <v>1074</v>
      </c>
      <c r="L81" s="14">
        <v>23234.0</v>
      </c>
      <c r="M81" s="8">
        <v>0.9673495370370371</v>
      </c>
      <c r="N81" s="6">
        <v>54.0</v>
      </c>
      <c r="O81" s="6">
        <v>55.0</v>
      </c>
      <c r="P81" s="14">
        <v>42219.0</v>
      </c>
      <c r="Q81" s="1" t="s">
        <v>308</v>
      </c>
      <c r="R81" s="1" t="s">
        <v>53</v>
      </c>
      <c r="S81" s="6">
        <v>2015.0</v>
      </c>
      <c r="T81" s="6">
        <v>8.0</v>
      </c>
      <c r="U81" s="1" t="s">
        <v>433</v>
      </c>
      <c r="V81" s="1" t="s">
        <v>434</v>
      </c>
      <c r="W81" s="6">
        <v>3.0</v>
      </c>
      <c r="X81" s="1" t="s">
        <v>99</v>
      </c>
      <c r="Y81" s="1" t="s">
        <v>100</v>
      </c>
      <c r="Z81" s="6">
        <v>1.99</v>
      </c>
      <c r="AA81" s="6">
        <v>107957.0</v>
      </c>
      <c r="AB81" s="10">
        <v>0.22</v>
      </c>
      <c r="AC81" s="1" t="s">
        <v>1075</v>
      </c>
      <c r="AD81" s="1" t="s">
        <v>1076</v>
      </c>
      <c r="AE81" s="1" t="s">
        <v>1077</v>
      </c>
      <c r="AF81" s="1" t="s">
        <v>1078</v>
      </c>
      <c r="AG81" s="1" t="s">
        <v>1077</v>
      </c>
      <c r="AH81" s="1" t="s">
        <v>1079</v>
      </c>
      <c r="AI81" s="6">
        <v>83855.0</v>
      </c>
      <c r="AJ81" s="1" t="s">
        <v>63</v>
      </c>
      <c r="AK81" s="1" t="s">
        <v>1080</v>
      </c>
      <c r="AL81" s="1" t="s">
        <v>1081</v>
      </c>
      <c r="AM81" s="11" t="str">
        <f>VLOOKUP(N81,Sheet3!$B$4:$C$10,2,1)</f>
        <v>51-60</v>
      </c>
      <c r="AN81" s="13" t="str">
        <f>VLOOKUP(Z81,Sheet3!$F$4:$G$10,2,1)</f>
        <v>&lt; 5</v>
      </c>
      <c r="AO81" s="5" t="str">
        <f>VLOOKUP(AA81,Sheet3!$I$3:$J$16,2,1)</f>
        <v>100000-120000</v>
      </c>
      <c r="AP81" s="5" t="str">
        <f>VLOOKUP(AB81,Sheet3!$L$4:$M$14,2,1)</f>
        <v>21% - 25%</v>
      </c>
    </row>
    <row r="82">
      <c r="A82" s="6">
        <v>169763.0</v>
      </c>
      <c r="B82" s="1" t="s">
        <v>227</v>
      </c>
      <c r="C82" s="1" t="s">
        <v>528</v>
      </c>
      <c r="D82" s="1" t="s">
        <v>529</v>
      </c>
      <c r="E82" s="1" t="s">
        <v>1082</v>
      </c>
      <c r="F82" s="1" t="s">
        <v>70</v>
      </c>
      <c r="G82" s="1" t="s">
        <v>1083</v>
      </c>
      <c r="H82" s="1" t="s">
        <v>604</v>
      </c>
      <c r="I82" s="1" t="s">
        <v>1084</v>
      </c>
      <c r="J82" s="1" t="s">
        <v>1085</v>
      </c>
      <c r="K82" s="1" t="s">
        <v>1086</v>
      </c>
      <c r="L82" s="9">
        <v>27896.0</v>
      </c>
      <c r="M82" s="8">
        <v>0.724363425925926</v>
      </c>
      <c r="N82" s="6">
        <v>41.23</v>
      </c>
      <c r="O82" s="6">
        <v>57.0</v>
      </c>
      <c r="P82" s="9">
        <v>36270.0</v>
      </c>
      <c r="Q82" s="1" t="s">
        <v>75</v>
      </c>
      <c r="R82" s="1" t="s">
        <v>76</v>
      </c>
      <c r="S82" s="6">
        <v>1999.0</v>
      </c>
      <c r="T82" s="6">
        <v>4.0</v>
      </c>
      <c r="U82" s="1" t="s">
        <v>77</v>
      </c>
      <c r="V82" s="1" t="s">
        <v>78</v>
      </c>
      <c r="W82" s="6">
        <v>20.0</v>
      </c>
      <c r="X82" s="1" t="s">
        <v>79</v>
      </c>
      <c r="Y82" s="1" t="s">
        <v>80</v>
      </c>
      <c r="Z82" s="6">
        <v>18.28</v>
      </c>
      <c r="AA82" s="6">
        <v>89172.0</v>
      </c>
      <c r="AB82" s="10">
        <v>0.27</v>
      </c>
      <c r="AC82" s="1" t="s">
        <v>1087</v>
      </c>
      <c r="AD82" s="1" t="s">
        <v>1088</v>
      </c>
      <c r="AE82" s="1" t="s">
        <v>1089</v>
      </c>
      <c r="AF82" s="1" t="s">
        <v>1090</v>
      </c>
      <c r="AG82" s="1" t="s">
        <v>1089</v>
      </c>
      <c r="AH82" s="1" t="s">
        <v>1032</v>
      </c>
      <c r="AI82" s="6">
        <v>67879.0</v>
      </c>
      <c r="AJ82" s="1" t="s">
        <v>86</v>
      </c>
      <c r="AK82" s="1" t="s">
        <v>1091</v>
      </c>
      <c r="AL82" s="1" t="s">
        <v>1092</v>
      </c>
      <c r="AM82" s="11" t="str">
        <f>VLOOKUP(N82,Sheet3!$B$4:$C$10,2,1)</f>
        <v>41-50</v>
      </c>
      <c r="AN82" s="12" t="str">
        <f>VLOOKUP(Z82,Sheet3!$F$4:$G$10,2,1)</f>
        <v>11-20</v>
      </c>
      <c r="AO82" s="5" t="str">
        <f>VLOOKUP(AA82,Sheet3!$I$3:$J$16,2,1)</f>
        <v>80000-100000</v>
      </c>
      <c r="AP82" s="5" t="str">
        <f>VLOOKUP(AB82,Sheet3!$L$4:$M$14,2,1)</f>
        <v>26% - 30%</v>
      </c>
    </row>
    <row r="83">
      <c r="A83" s="6">
        <v>326358.0</v>
      </c>
      <c r="B83" s="1" t="s">
        <v>66</v>
      </c>
      <c r="C83" s="1" t="s">
        <v>1093</v>
      </c>
      <c r="D83" s="1" t="s">
        <v>173</v>
      </c>
      <c r="E83" s="1" t="s">
        <v>1094</v>
      </c>
      <c r="F83" s="1" t="s">
        <v>70</v>
      </c>
      <c r="G83" s="1" t="s">
        <v>1095</v>
      </c>
      <c r="H83" s="1" t="s">
        <v>604</v>
      </c>
      <c r="I83" s="1" t="s">
        <v>1096</v>
      </c>
      <c r="J83" s="1" t="s">
        <v>1097</v>
      </c>
      <c r="K83" s="1" t="s">
        <v>1098</v>
      </c>
      <c r="L83" s="9">
        <v>31307.0</v>
      </c>
      <c r="M83" s="8">
        <v>0.037002314814814814</v>
      </c>
      <c r="N83" s="6">
        <v>31.88</v>
      </c>
      <c r="O83" s="6">
        <v>90.0</v>
      </c>
      <c r="P83" s="9">
        <v>42453.0</v>
      </c>
      <c r="Q83" s="1" t="s">
        <v>96</v>
      </c>
      <c r="R83" s="1" t="s">
        <v>76</v>
      </c>
      <c r="S83" s="6">
        <v>2016.0</v>
      </c>
      <c r="T83" s="6">
        <v>3.0</v>
      </c>
      <c r="U83" s="1" t="s">
        <v>97</v>
      </c>
      <c r="V83" s="1" t="s">
        <v>98</v>
      </c>
      <c r="W83" s="6">
        <v>24.0</v>
      </c>
      <c r="X83" s="1" t="s">
        <v>150</v>
      </c>
      <c r="Y83" s="1" t="s">
        <v>151</v>
      </c>
      <c r="Z83" s="6">
        <v>1.35</v>
      </c>
      <c r="AA83" s="6">
        <v>84151.0</v>
      </c>
      <c r="AB83" s="10">
        <v>0.22</v>
      </c>
      <c r="AC83" s="1" t="s">
        <v>1099</v>
      </c>
      <c r="AD83" s="1" t="s">
        <v>1100</v>
      </c>
      <c r="AE83" s="1" t="s">
        <v>1101</v>
      </c>
      <c r="AF83" s="1" t="s">
        <v>1102</v>
      </c>
      <c r="AG83" s="1" t="s">
        <v>1101</v>
      </c>
      <c r="AH83" s="1" t="s">
        <v>1103</v>
      </c>
      <c r="AI83" s="6">
        <v>3851.0</v>
      </c>
      <c r="AJ83" s="1" t="s">
        <v>224</v>
      </c>
      <c r="AK83" s="1" t="s">
        <v>1104</v>
      </c>
      <c r="AL83" s="1" t="s">
        <v>1105</v>
      </c>
      <c r="AM83" s="11" t="str">
        <f>VLOOKUP(N83,Sheet3!$B$4:$C$10,2,1)</f>
        <v>31-40</v>
      </c>
      <c r="AN83" s="13" t="str">
        <f>VLOOKUP(Z83,Sheet3!$F$4:$G$10,2,1)</f>
        <v>&lt; 5</v>
      </c>
      <c r="AO83" s="5" t="str">
        <f>VLOOKUP(AA83,Sheet3!$I$3:$J$16,2,1)</f>
        <v>80000-100000</v>
      </c>
      <c r="AP83" s="5" t="str">
        <f>VLOOKUP(AB83,Sheet3!$L$4:$M$14,2,1)</f>
        <v>21% - 25%</v>
      </c>
    </row>
    <row r="84">
      <c r="A84" s="6">
        <v>185077.0</v>
      </c>
      <c r="B84" s="1" t="s">
        <v>42</v>
      </c>
      <c r="C84" s="1" t="s">
        <v>1106</v>
      </c>
      <c r="D84" s="1" t="s">
        <v>416</v>
      </c>
      <c r="E84" s="1" t="s">
        <v>1107</v>
      </c>
      <c r="F84" s="1" t="s">
        <v>46</v>
      </c>
      <c r="G84" s="1" t="s">
        <v>1108</v>
      </c>
      <c r="H84" s="1" t="s">
        <v>604</v>
      </c>
      <c r="I84" s="1" t="s">
        <v>1109</v>
      </c>
      <c r="J84" s="1" t="s">
        <v>1110</v>
      </c>
      <c r="K84" s="1" t="s">
        <v>1111</v>
      </c>
      <c r="L84" s="9">
        <v>21154.0</v>
      </c>
      <c r="M84" s="8">
        <v>0.09295138888888889</v>
      </c>
      <c r="N84" s="6">
        <v>59.7</v>
      </c>
      <c r="O84" s="6">
        <v>58.0</v>
      </c>
      <c r="P84" s="9">
        <v>39531.0</v>
      </c>
      <c r="Q84" s="1" t="s">
        <v>96</v>
      </c>
      <c r="R84" s="1" t="s">
        <v>76</v>
      </c>
      <c r="S84" s="6">
        <v>2008.0</v>
      </c>
      <c r="T84" s="6">
        <v>3.0</v>
      </c>
      <c r="U84" s="1" t="s">
        <v>97</v>
      </c>
      <c r="V84" s="1" t="s">
        <v>98</v>
      </c>
      <c r="W84" s="6">
        <v>24.0</v>
      </c>
      <c r="X84" s="1" t="s">
        <v>99</v>
      </c>
      <c r="Y84" s="1" t="s">
        <v>100</v>
      </c>
      <c r="Z84" s="6">
        <v>9.35</v>
      </c>
      <c r="AA84" s="6">
        <v>153345.0</v>
      </c>
      <c r="AB84" s="10">
        <v>0.09</v>
      </c>
      <c r="AC84" s="1" t="s">
        <v>1112</v>
      </c>
      <c r="AD84" s="1" t="s">
        <v>1113</v>
      </c>
      <c r="AE84" s="1" t="s">
        <v>1114</v>
      </c>
      <c r="AF84" s="1" t="s">
        <v>1115</v>
      </c>
      <c r="AG84" s="1" t="s">
        <v>1114</v>
      </c>
      <c r="AH84" s="1" t="s">
        <v>238</v>
      </c>
      <c r="AI84" s="6">
        <v>95914.0</v>
      </c>
      <c r="AJ84" s="1" t="s">
        <v>63</v>
      </c>
      <c r="AK84" s="1" t="s">
        <v>1116</v>
      </c>
      <c r="AL84" s="1" t="s">
        <v>1117</v>
      </c>
      <c r="AM84" s="11" t="str">
        <f>VLOOKUP(N84,Sheet3!$B$4:$C$10,2,1)</f>
        <v>51-60</v>
      </c>
      <c r="AN84" s="12" t="str">
        <f>VLOOKUP(Z84,Sheet3!$F$4:$G$10,2,1)</f>
        <v>5-10</v>
      </c>
      <c r="AO84" s="5" t="str">
        <f>VLOOKUP(AA84,Sheet3!$I$3:$J$16,2,1)</f>
        <v>140000-160000</v>
      </c>
      <c r="AP84" s="5" t="str">
        <f>VLOOKUP(AB84,Sheet3!$L$4:$M$14,2,1)</f>
        <v>5% - 10%</v>
      </c>
    </row>
    <row r="85">
      <c r="A85" s="6">
        <v>901185.0</v>
      </c>
      <c r="B85" s="1" t="s">
        <v>66</v>
      </c>
      <c r="C85" s="1" t="s">
        <v>1118</v>
      </c>
      <c r="D85" s="1" t="s">
        <v>70</v>
      </c>
      <c r="E85" s="1" t="s">
        <v>1119</v>
      </c>
      <c r="F85" s="1" t="s">
        <v>70</v>
      </c>
      <c r="G85" s="1" t="s">
        <v>1120</v>
      </c>
      <c r="H85" s="1" t="s">
        <v>604</v>
      </c>
      <c r="I85" s="1" t="s">
        <v>1121</v>
      </c>
      <c r="J85" s="1" t="s">
        <v>1122</v>
      </c>
      <c r="K85" s="1" t="s">
        <v>1123</v>
      </c>
      <c r="L85" s="9">
        <v>24745.0</v>
      </c>
      <c r="M85" s="8">
        <v>0.7896875</v>
      </c>
      <c r="N85" s="6">
        <v>49.86</v>
      </c>
      <c r="O85" s="6">
        <v>62.0</v>
      </c>
      <c r="P85" s="9">
        <v>42233.0</v>
      </c>
      <c r="Q85" s="1" t="s">
        <v>308</v>
      </c>
      <c r="R85" s="1" t="s">
        <v>53</v>
      </c>
      <c r="S85" s="6">
        <v>2015.0</v>
      </c>
      <c r="T85" s="6">
        <v>8.0</v>
      </c>
      <c r="U85" s="1" t="s">
        <v>433</v>
      </c>
      <c r="V85" s="1" t="s">
        <v>434</v>
      </c>
      <c r="W85" s="6">
        <v>17.0</v>
      </c>
      <c r="X85" s="1" t="s">
        <v>99</v>
      </c>
      <c r="Y85" s="1" t="s">
        <v>100</v>
      </c>
      <c r="Z85" s="6">
        <v>1.95</v>
      </c>
      <c r="AA85" s="6">
        <v>173372.0</v>
      </c>
      <c r="AB85" s="10">
        <v>0.19</v>
      </c>
      <c r="AC85" s="1" t="s">
        <v>1124</v>
      </c>
      <c r="AD85" s="1" t="s">
        <v>1125</v>
      </c>
      <c r="AE85" s="1" t="s">
        <v>1126</v>
      </c>
      <c r="AF85" s="1" t="s">
        <v>221</v>
      </c>
      <c r="AG85" s="1" t="s">
        <v>1126</v>
      </c>
      <c r="AH85" s="1" t="s">
        <v>330</v>
      </c>
      <c r="AI85" s="6">
        <v>20903.0</v>
      </c>
      <c r="AJ85" s="1" t="s">
        <v>106</v>
      </c>
      <c r="AK85" s="1" t="s">
        <v>1127</v>
      </c>
      <c r="AL85" s="1" t="s">
        <v>1128</v>
      </c>
      <c r="AM85" s="11" t="str">
        <f>VLOOKUP(N85,Sheet3!$B$4:$C$10,2,1)</f>
        <v>41-50</v>
      </c>
      <c r="AN85" s="13" t="str">
        <f>VLOOKUP(Z85,Sheet3!$F$4:$G$10,2,1)</f>
        <v>&lt; 5</v>
      </c>
      <c r="AO85" s="5" t="str">
        <f>VLOOKUP(AA85,Sheet3!$I$3:$J$16,2,1)</f>
        <v>160000-180000</v>
      </c>
      <c r="AP85" s="5" t="str">
        <f>VLOOKUP(AB85,Sheet3!$L$4:$M$14,2,1)</f>
        <v>16% - 20%</v>
      </c>
    </row>
    <row r="86">
      <c r="A86" s="6">
        <v>264960.0</v>
      </c>
      <c r="B86" s="1" t="s">
        <v>255</v>
      </c>
      <c r="C86" s="1" t="s">
        <v>1129</v>
      </c>
      <c r="D86" s="1" t="s">
        <v>186</v>
      </c>
      <c r="E86" s="1" t="s">
        <v>1130</v>
      </c>
      <c r="F86" s="1" t="s">
        <v>70</v>
      </c>
      <c r="G86" s="1" t="s">
        <v>1131</v>
      </c>
      <c r="H86" s="1" t="s">
        <v>604</v>
      </c>
      <c r="I86" s="1" t="s">
        <v>1132</v>
      </c>
      <c r="J86" s="1" t="s">
        <v>1133</v>
      </c>
      <c r="K86" s="1" t="s">
        <v>1134</v>
      </c>
      <c r="L86" s="14">
        <v>22045.0</v>
      </c>
      <c r="M86" s="8">
        <v>0.6984375</v>
      </c>
      <c r="N86" s="6">
        <v>57.26</v>
      </c>
      <c r="O86" s="6">
        <v>86.0</v>
      </c>
      <c r="P86" s="9">
        <v>31411.0</v>
      </c>
      <c r="Q86" s="1" t="s">
        <v>52</v>
      </c>
      <c r="R86" s="1" t="s">
        <v>53</v>
      </c>
      <c r="S86" s="6">
        <v>1985.0</v>
      </c>
      <c r="T86" s="6">
        <v>12.0</v>
      </c>
      <c r="U86" s="1" t="s">
        <v>54</v>
      </c>
      <c r="V86" s="1" t="s">
        <v>55</v>
      </c>
      <c r="W86" s="6">
        <v>30.0</v>
      </c>
      <c r="X86" s="1" t="s">
        <v>99</v>
      </c>
      <c r="Y86" s="1" t="s">
        <v>100</v>
      </c>
      <c r="Z86" s="6">
        <v>31.6</v>
      </c>
      <c r="AA86" s="6">
        <v>180468.0</v>
      </c>
      <c r="AB86" s="10">
        <v>0.05</v>
      </c>
      <c r="AC86" s="1" t="s">
        <v>1135</v>
      </c>
      <c r="AD86" s="1" t="s">
        <v>1136</v>
      </c>
      <c r="AE86" s="1" t="s">
        <v>1137</v>
      </c>
      <c r="AF86" s="1" t="s">
        <v>1138</v>
      </c>
      <c r="AG86" s="1" t="s">
        <v>1137</v>
      </c>
      <c r="AH86" s="1" t="s">
        <v>196</v>
      </c>
      <c r="AI86" s="6">
        <v>38310.0</v>
      </c>
      <c r="AJ86" s="1" t="s">
        <v>106</v>
      </c>
      <c r="AK86" s="1" t="s">
        <v>1139</v>
      </c>
      <c r="AL86" s="1" t="s">
        <v>1140</v>
      </c>
      <c r="AM86" s="11" t="str">
        <f>VLOOKUP(N86,Sheet3!$B$4:$C$10,2,1)</f>
        <v>51-60</v>
      </c>
      <c r="AN86" s="13" t="str">
        <f>VLOOKUP(Z86,Sheet3!$F$4:$G$10,2,1)</f>
        <v>31-40</v>
      </c>
      <c r="AO86" s="5" t="str">
        <f>VLOOKUP(AA86,Sheet3!$I$3:$J$16,2,1)</f>
        <v>180000-200000</v>
      </c>
      <c r="AP86" s="5" t="str">
        <f>VLOOKUP(AB86,Sheet3!$L$4:$M$14,2,1)</f>
        <v>5% - 10%</v>
      </c>
    </row>
    <row r="87">
      <c r="A87" s="6">
        <v>248449.0</v>
      </c>
      <c r="B87" s="1" t="s">
        <v>42</v>
      </c>
      <c r="C87" s="1" t="s">
        <v>1141</v>
      </c>
      <c r="D87" s="1" t="s">
        <v>288</v>
      </c>
      <c r="E87" s="1" t="s">
        <v>982</v>
      </c>
      <c r="F87" s="1" t="s">
        <v>46</v>
      </c>
      <c r="G87" s="1" t="s">
        <v>1142</v>
      </c>
      <c r="H87" s="1" t="s">
        <v>604</v>
      </c>
      <c r="I87" s="1" t="s">
        <v>1143</v>
      </c>
      <c r="J87" s="1" t="s">
        <v>1144</v>
      </c>
      <c r="K87" s="1" t="s">
        <v>1145</v>
      </c>
      <c r="L87" s="9">
        <v>31376.0</v>
      </c>
      <c r="M87" s="8">
        <v>0.4938425925925926</v>
      </c>
      <c r="N87" s="6">
        <v>31.69</v>
      </c>
      <c r="O87" s="6">
        <v>52.0</v>
      </c>
      <c r="P87" s="9">
        <v>39258.0</v>
      </c>
      <c r="Q87" s="1" t="s">
        <v>75</v>
      </c>
      <c r="R87" s="1" t="s">
        <v>76</v>
      </c>
      <c r="S87" s="6">
        <v>2007.0</v>
      </c>
      <c r="T87" s="6">
        <v>6.0</v>
      </c>
      <c r="U87" s="1" t="s">
        <v>324</v>
      </c>
      <c r="V87" s="1" t="s">
        <v>325</v>
      </c>
      <c r="W87" s="6">
        <v>25.0</v>
      </c>
      <c r="X87" s="1" t="s">
        <v>99</v>
      </c>
      <c r="Y87" s="1" t="s">
        <v>100</v>
      </c>
      <c r="Z87" s="6">
        <v>10.1</v>
      </c>
      <c r="AA87" s="6">
        <v>107647.0</v>
      </c>
      <c r="AB87" s="10">
        <v>0.04</v>
      </c>
      <c r="AC87" s="1" t="s">
        <v>1146</v>
      </c>
      <c r="AD87" s="1" t="s">
        <v>1147</v>
      </c>
      <c r="AE87" s="1" t="s">
        <v>1148</v>
      </c>
      <c r="AF87" s="1" t="s">
        <v>1149</v>
      </c>
      <c r="AG87" s="1" t="s">
        <v>1148</v>
      </c>
      <c r="AH87" s="1" t="s">
        <v>169</v>
      </c>
      <c r="AI87" s="6">
        <v>77219.0</v>
      </c>
      <c r="AJ87" s="1" t="s">
        <v>106</v>
      </c>
      <c r="AK87" s="1" t="s">
        <v>1150</v>
      </c>
      <c r="AL87" s="1" t="s">
        <v>1151</v>
      </c>
      <c r="AM87" s="11" t="str">
        <f>VLOOKUP(N87,Sheet3!$B$4:$C$10,2,1)</f>
        <v>31-40</v>
      </c>
      <c r="AN87" s="12" t="str">
        <f>VLOOKUP(Z87,Sheet3!$F$4:$G$10,2,1)</f>
        <v>5-10</v>
      </c>
      <c r="AO87" s="5" t="str">
        <f>VLOOKUP(AA87,Sheet3!$I$3:$J$16,2,1)</f>
        <v>100000-120000</v>
      </c>
      <c r="AP87" s="5" t="str">
        <f>VLOOKUP(AB87,Sheet3!$L$4:$M$14,2,1)</f>
        <v>&lt; 5%</v>
      </c>
    </row>
    <row r="88">
      <c r="A88" s="6">
        <v>906870.0</v>
      </c>
      <c r="B88" s="1" t="s">
        <v>66</v>
      </c>
      <c r="C88" s="1" t="s">
        <v>1152</v>
      </c>
      <c r="D88" s="1" t="s">
        <v>70</v>
      </c>
      <c r="E88" s="1" t="s">
        <v>1153</v>
      </c>
      <c r="F88" s="1" t="s">
        <v>70</v>
      </c>
      <c r="G88" s="1" t="s">
        <v>1154</v>
      </c>
      <c r="H88" s="1" t="s">
        <v>604</v>
      </c>
      <c r="I88" s="1" t="s">
        <v>1155</v>
      </c>
      <c r="J88" s="1" t="s">
        <v>1156</v>
      </c>
      <c r="K88" s="1" t="s">
        <v>1157</v>
      </c>
      <c r="L88" s="9">
        <v>26568.0</v>
      </c>
      <c r="M88" s="8">
        <v>0.1279398148148148</v>
      </c>
      <c r="N88" s="6">
        <v>44.87</v>
      </c>
      <c r="O88" s="6">
        <v>68.0</v>
      </c>
      <c r="P88" s="14">
        <v>37387.0</v>
      </c>
      <c r="Q88" s="1" t="s">
        <v>75</v>
      </c>
      <c r="R88" s="1" t="s">
        <v>76</v>
      </c>
      <c r="S88" s="6">
        <v>2002.0</v>
      </c>
      <c r="T88" s="6">
        <v>5.0</v>
      </c>
      <c r="U88" s="1" t="s">
        <v>294</v>
      </c>
      <c r="V88" s="1" t="s">
        <v>294</v>
      </c>
      <c r="W88" s="6">
        <v>11.0</v>
      </c>
      <c r="X88" s="1" t="s">
        <v>56</v>
      </c>
      <c r="Y88" s="1" t="s">
        <v>57</v>
      </c>
      <c r="Z88" s="6">
        <v>15.22</v>
      </c>
      <c r="AA88" s="6">
        <v>190709.0</v>
      </c>
      <c r="AB88" s="10">
        <v>0.15</v>
      </c>
      <c r="AC88" s="1" t="s">
        <v>1158</v>
      </c>
      <c r="AD88" s="1" t="s">
        <v>1159</v>
      </c>
      <c r="AE88" s="1" t="s">
        <v>1160</v>
      </c>
      <c r="AF88" s="1" t="s">
        <v>1161</v>
      </c>
      <c r="AG88" s="1" t="s">
        <v>1160</v>
      </c>
      <c r="AH88" s="1" t="s">
        <v>223</v>
      </c>
      <c r="AI88" s="6">
        <v>17922.0</v>
      </c>
      <c r="AJ88" s="1" t="s">
        <v>224</v>
      </c>
      <c r="AK88" s="1" t="s">
        <v>1162</v>
      </c>
      <c r="AL88" s="1" t="s">
        <v>1163</v>
      </c>
      <c r="AM88" s="11" t="str">
        <f>VLOOKUP(N88,Sheet3!$B$4:$C$10,2,1)</f>
        <v>41-50</v>
      </c>
      <c r="AN88" s="12" t="str">
        <f>VLOOKUP(Z88,Sheet3!$F$4:$G$10,2,1)</f>
        <v>11-20</v>
      </c>
      <c r="AO88" s="5" t="str">
        <f>VLOOKUP(AA88,Sheet3!$I$3:$J$16,2,1)</f>
        <v>180000-200000</v>
      </c>
      <c r="AP88" s="5" t="str">
        <f>VLOOKUP(AB88,Sheet3!$L$4:$M$14,2,1)</f>
        <v>11% - 15%</v>
      </c>
    </row>
    <row r="89">
      <c r="A89" s="6">
        <v>160503.0</v>
      </c>
      <c r="B89" s="1" t="s">
        <v>66</v>
      </c>
      <c r="C89" s="1" t="s">
        <v>1164</v>
      </c>
      <c r="D89" s="1" t="s">
        <v>68</v>
      </c>
      <c r="E89" s="1" t="s">
        <v>1165</v>
      </c>
      <c r="F89" s="1" t="s">
        <v>70</v>
      </c>
      <c r="G89" s="1" t="s">
        <v>1166</v>
      </c>
      <c r="H89" s="1" t="s">
        <v>604</v>
      </c>
      <c r="I89" s="1" t="s">
        <v>1167</v>
      </c>
      <c r="J89" s="1" t="s">
        <v>1168</v>
      </c>
      <c r="K89" s="1" t="s">
        <v>1169</v>
      </c>
      <c r="L89" s="9">
        <v>31221.0</v>
      </c>
      <c r="M89" s="8">
        <v>0.7023148148148148</v>
      </c>
      <c r="N89" s="6">
        <v>32.12</v>
      </c>
      <c r="O89" s="6">
        <v>51.0</v>
      </c>
      <c r="P89" s="9">
        <v>39979.0</v>
      </c>
      <c r="Q89" s="1" t="s">
        <v>75</v>
      </c>
      <c r="R89" s="1" t="s">
        <v>76</v>
      </c>
      <c r="S89" s="6">
        <v>2009.0</v>
      </c>
      <c r="T89" s="6">
        <v>6.0</v>
      </c>
      <c r="U89" s="1" t="s">
        <v>324</v>
      </c>
      <c r="V89" s="1" t="s">
        <v>325</v>
      </c>
      <c r="W89" s="6">
        <v>15.0</v>
      </c>
      <c r="X89" s="1" t="s">
        <v>99</v>
      </c>
      <c r="Y89" s="1" t="s">
        <v>100</v>
      </c>
      <c r="Z89" s="6">
        <v>8.12</v>
      </c>
      <c r="AA89" s="6">
        <v>97725.0</v>
      </c>
      <c r="AB89" s="10">
        <v>0.01</v>
      </c>
      <c r="AC89" s="1" t="s">
        <v>1170</v>
      </c>
      <c r="AD89" s="1" t="s">
        <v>1171</v>
      </c>
      <c r="AE89" s="1" t="s">
        <v>1172</v>
      </c>
      <c r="AF89" s="1" t="s">
        <v>1173</v>
      </c>
      <c r="AG89" s="1" t="s">
        <v>1172</v>
      </c>
      <c r="AH89" s="1" t="s">
        <v>501</v>
      </c>
      <c r="AI89" s="6">
        <v>82327.0</v>
      </c>
      <c r="AJ89" s="1" t="s">
        <v>63</v>
      </c>
      <c r="AK89" s="1" t="s">
        <v>1174</v>
      </c>
      <c r="AL89" s="1" t="s">
        <v>1175</v>
      </c>
      <c r="AM89" s="11" t="str">
        <f>VLOOKUP(N89,Sheet3!$B$4:$C$10,2,1)</f>
        <v>31-40</v>
      </c>
      <c r="AN89" s="12" t="str">
        <f>VLOOKUP(Z89,Sheet3!$F$4:$G$10,2,1)</f>
        <v>5-10</v>
      </c>
      <c r="AO89" s="5" t="str">
        <f>VLOOKUP(AA89,Sheet3!$I$3:$J$16,2,1)</f>
        <v>80000-100000</v>
      </c>
      <c r="AP89" s="5" t="str">
        <f>VLOOKUP(AB89,Sheet3!$L$4:$M$14,2,1)</f>
        <v>&lt; 5%</v>
      </c>
    </row>
    <row r="90">
      <c r="A90" s="6">
        <v>212917.0</v>
      </c>
      <c r="B90" s="1" t="s">
        <v>227</v>
      </c>
      <c r="C90" s="1" t="s">
        <v>1176</v>
      </c>
      <c r="D90" s="1" t="s">
        <v>44</v>
      </c>
      <c r="E90" s="1" t="s">
        <v>1177</v>
      </c>
      <c r="F90" s="1" t="s">
        <v>70</v>
      </c>
      <c r="G90" s="1" t="s">
        <v>1178</v>
      </c>
      <c r="H90" s="1" t="s">
        <v>604</v>
      </c>
      <c r="I90" s="1" t="s">
        <v>1179</v>
      </c>
      <c r="J90" s="1" t="s">
        <v>1180</v>
      </c>
      <c r="K90" s="1" t="s">
        <v>1181</v>
      </c>
      <c r="L90" s="9">
        <v>27513.0</v>
      </c>
      <c r="M90" s="8">
        <v>0.26579861111111114</v>
      </c>
      <c r="N90" s="6">
        <v>42.28</v>
      </c>
      <c r="O90" s="6">
        <v>82.0</v>
      </c>
      <c r="P90" s="14">
        <v>37438.0</v>
      </c>
      <c r="Q90" s="1" t="s">
        <v>308</v>
      </c>
      <c r="R90" s="1" t="s">
        <v>53</v>
      </c>
      <c r="S90" s="6">
        <v>2002.0</v>
      </c>
      <c r="T90" s="6">
        <v>7.0</v>
      </c>
      <c r="U90" s="1" t="s">
        <v>366</v>
      </c>
      <c r="V90" s="1" t="s">
        <v>367</v>
      </c>
      <c r="W90" s="6">
        <v>1.0</v>
      </c>
      <c r="X90" s="1" t="s">
        <v>99</v>
      </c>
      <c r="Y90" s="1" t="s">
        <v>100</v>
      </c>
      <c r="Z90" s="6">
        <v>15.08</v>
      </c>
      <c r="AA90" s="6">
        <v>178073.0</v>
      </c>
      <c r="AB90" s="10">
        <v>0.08</v>
      </c>
      <c r="AC90" s="1" t="s">
        <v>1182</v>
      </c>
      <c r="AD90" s="1" t="s">
        <v>1183</v>
      </c>
      <c r="AE90" s="1" t="s">
        <v>1184</v>
      </c>
      <c r="AF90" s="1" t="s">
        <v>1185</v>
      </c>
      <c r="AG90" s="1" t="s">
        <v>1184</v>
      </c>
      <c r="AH90" s="1" t="s">
        <v>893</v>
      </c>
      <c r="AI90" s="6">
        <v>27049.0</v>
      </c>
      <c r="AJ90" s="1" t="s">
        <v>106</v>
      </c>
      <c r="AK90" s="1" t="s">
        <v>1186</v>
      </c>
      <c r="AL90" s="1" t="s">
        <v>1187</v>
      </c>
      <c r="AM90" s="11" t="str">
        <f>VLOOKUP(N90,Sheet3!$B$4:$C$10,2,1)</f>
        <v>41-50</v>
      </c>
      <c r="AN90" s="12" t="str">
        <f>VLOOKUP(Z90,Sheet3!$F$4:$G$10,2,1)</f>
        <v>11-20</v>
      </c>
      <c r="AO90" s="5" t="str">
        <f>VLOOKUP(AA90,Sheet3!$I$3:$J$16,2,1)</f>
        <v>160000-180000</v>
      </c>
      <c r="AP90" s="5" t="str">
        <f>VLOOKUP(AB90,Sheet3!$L$4:$M$14,2,1)</f>
        <v>5% - 10%</v>
      </c>
    </row>
    <row r="91">
      <c r="A91" s="6">
        <v>337955.0</v>
      </c>
      <c r="B91" s="1" t="s">
        <v>66</v>
      </c>
      <c r="C91" s="1" t="s">
        <v>1188</v>
      </c>
      <c r="D91" s="1" t="s">
        <v>44</v>
      </c>
      <c r="E91" s="1" t="s">
        <v>1189</v>
      </c>
      <c r="F91" s="1" t="s">
        <v>70</v>
      </c>
      <c r="G91" s="1" t="s">
        <v>1190</v>
      </c>
      <c r="H91" s="1" t="s">
        <v>604</v>
      </c>
      <c r="I91" s="1" t="s">
        <v>1191</v>
      </c>
      <c r="J91" s="1" t="s">
        <v>1192</v>
      </c>
      <c r="K91" s="1" t="s">
        <v>1193</v>
      </c>
      <c r="L91" s="9">
        <v>32340.0</v>
      </c>
      <c r="M91" s="8">
        <v>0.7196759259259259</v>
      </c>
      <c r="N91" s="6">
        <v>29.05</v>
      </c>
      <c r="O91" s="6">
        <v>51.0</v>
      </c>
      <c r="P91" s="9">
        <v>42025.0</v>
      </c>
      <c r="Q91" s="1" t="s">
        <v>96</v>
      </c>
      <c r="R91" s="1" t="s">
        <v>76</v>
      </c>
      <c r="S91" s="6">
        <v>2015.0</v>
      </c>
      <c r="T91" s="6">
        <v>1.0</v>
      </c>
      <c r="U91" s="1" t="s">
        <v>276</v>
      </c>
      <c r="V91" s="1" t="s">
        <v>277</v>
      </c>
      <c r="W91" s="6">
        <v>21.0</v>
      </c>
      <c r="X91" s="1" t="s">
        <v>278</v>
      </c>
      <c r="Y91" s="1" t="s">
        <v>279</v>
      </c>
      <c r="Z91" s="6">
        <v>2.52</v>
      </c>
      <c r="AA91" s="6">
        <v>42840.0</v>
      </c>
      <c r="AB91" s="10">
        <v>0.27</v>
      </c>
      <c r="AC91" s="1" t="s">
        <v>1194</v>
      </c>
      <c r="AD91" s="1" t="s">
        <v>1195</v>
      </c>
      <c r="AE91" s="1" t="s">
        <v>1196</v>
      </c>
      <c r="AF91" s="1" t="s">
        <v>1197</v>
      </c>
      <c r="AG91" s="1" t="s">
        <v>1196</v>
      </c>
      <c r="AH91" s="1" t="s">
        <v>974</v>
      </c>
      <c r="AI91" s="6">
        <v>43349.0</v>
      </c>
      <c r="AJ91" s="1" t="s">
        <v>86</v>
      </c>
      <c r="AK91" s="1" t="s">
        <v>1198</v>
      </c>
      <c r="AL91" s="1" t="s">
        <v>1199</v>
      </c>
      <c r="AM91" s="11" t="str">
        <f>VLOOKUP(N91,Sheet3!$B$4:$C$10,2,1)</f>
        <v>21-30</v>
      </c>
      <c r="AN91" s="13" t="str">
        <f>VLOOKUP(Z91,Sheet3!$F$4:$G$10,2,1)</f>
        <v>&lt; 5</v>
      </c>
      <c r="AO91" s="5" t="str">
        <f>VLOOKUP(AA91,Sheet3!$I$3:$J$16,2,1)</f>
        <v>40000-60000</v>
      </c>
      <c r="AP91" s="5" t="str">
        <f>VLOOKUP(AB91,Sheet3!$L$4:$M$14,2,1)</f>
        <v>26% - 30%</v>
      </c>
    </row>
    <row r="92">
      <c r="A92" s="6">
        <v>171553.0</v>
      </c>
      <c r="B92" s="1" t="s">
        <v>66</v>
      </c>
      <c r="C92" s="1" t="s">
        <v>860</v>
      </c>
      <c r="D92" s="1" t="s">
        <v>466</v>
      </c>
      <c r="E92" s="1" t="s">
        <v>891</v>
      </c>
      <c r="F92" s="1" t="s">
        <v>70</v>
      </c>
      <c r="G92" s="1" t="s">
        <v>1200</v>
      </c>
      <c r="H92" s="1" t="s">
        <v>604</v>
      </c>
      <c r="I92" s="1" t="s">
        <v>1201</v>
      </c>
      <c r="J92" s="1" t="s">
        <v>1202</v>
      </c>
      <c r="K92" s="1" t="s">
        <v>1203</v>
      </c>
      <c r="L92" s="9">
        <v>28027.0</v>
      </c>
      <c r="M92" s="8">
        <v>0.7593634259259259</v>
      </c>
      <c r="N92" s="6">
        <v>40.87</v>
      </c>
      <c r="O92" s="6">
        <v>75.0</v>
      </c>
      <c r="P92" s="14">
        <v>39789.0</v>
      </c>
      <c r="Q92" s="1" t="s">
        <v>52</v>
      </c>
      <c r="R92" s="1" t="s">
        <v>53</v>
      </c>
      <c r="S92" s="6">
        <v>2008.0</v>
      </c>
      <c r="T92" s="6">
        <v>12.0</v>
      </c>
      <c r="U92" s="1" t="s">
        <v>54</v>
      </c>
      <c r="V92" s="1" t="s">
        <v>55</v>
      </c>
      <c r="W92" s="6">
        <v>7.0</v>
      </c>
      <c r="X92" s="1" t="s">
        <v>534</v>
      </c>
      <c r="Y92" s="1" t="s">
        <v>535</v>
      </c>
      <c r="Z92" s="6">
        <v>8.64</v>
      </c>
      <c r="AA92" s="6">
        <v>161106.0</v>
      </c>
      <c r="AB92" s="10">
        <v>0.06</v>
      </c>
      <c r="AC92" s="1" t="s">
        <v>1204</v>
      </c>
      <c r="AD92" s="1" t="s">
        <v>1205</v>
      </c>
      <c r="AE92" s="1" t="s">
        <v>1206</v>
      </c>
      <c r="AF92" s="1" t="s">
        <v>1207</v>
      </c>
      <c r="AG92" s="1" t="s">
        <v>1206</v>
      </c>
      <c r="AH92" s="1" t="s">
        <v>139</v>
      </c>
      <c r="AI92" s="6">
        <v>99695.0</v>
      </c>
      <c r="AJ92" s="1" t="s">
        <v>63</v>
      </c>
      <c r="AK92" s="1" t="s">
        <v>1208</v>
      </c>
      <c r="AL92" s="1" t="s">
        <v>1209</v>
      </c>
      <c r="AM92" s="11" t="str">
        <f>VLOOKUP(N92,Sheet3!$B$4:$C$10,2,1)</f>
        <v>31-40</v>
      </c>
      <c r="AN92" s="12" t="str">
        <f>VLOOKUP(Z92,Sheet3!$F$4:$G$10,2,1)</f>
        <v>5-10</v>
      </c>
      <c r="AO92" s="5" t="str">
        <f>VLOOKUP(AA92,Sheet3!$I$3:$J$16,2,1)</f>
        <v>160000-180000</v>
      </c>
      <c r="AP92" s="5" t="str">
        <f>VLOOKUP(AB92,Sheet3!$L$4:$M$14,2,1)</f>
        <v>5% - 10%</v>
      </c>
    </row>
    <row r="93">
      <c r="A93" s="6">
        <v>433510.0</v>
      </c>
      <c r="B93" s="1" t="s">
        <v>66</v>
      </c>
      <c r="C93" s="1" t="s">
        <v>1210</v>
      </c>
      <c r="D93" s="1" t="s">
        <v>683</v>
      </c>
      <c r="E93" s="1" t="s">
        <v>91</v>
      </c>
      <c r="F93" s="1" t="s">
        <v>70</v>
      </c>
      <c r="G93" s="1" t="s">
        <v>1211</v>
      </c>
      <c r="H93" s="1" t="s">
        <v>604</v>
      </c>
      <c r="I93" s="1" t="s">
        <v>1212</v>
      </c>
      <c r="J93" s="1" t="s">
        <v>1213</v>
      </c>
      <c r="K93" s="1" t="s">
        <v>1214</v>
      </c>
      <c r="L93" s="9">
        <v>22121.0</v>
      </c>
      <c r="M93" s="8">
        <v>0.5040740740740741</v>
      </c>
      <c r="N93" s="6">
        <v>57.05</v>
      </c>
      <c r="O93" s="6">
        <v>76.0</v>
      </c>
      <c r="P93" s="9">
        <v>40040.0</v>
      </c>
      <c r="Q93" s="1" t="s">
        <v>308</v>
      </c>
      <c r="R93" s="1" t="s">
        <v>53</v>
      </c>
      <c r="S93" s="6">
        <v>2009.0</v>
      </c>
      <c r="T93" s="6">
        <v>8.0</v>
      </c>
      <c r="U93" s="1" t="s">
        <v>433</v>
      </c>
      <c r="V93" s="1" t="s">
        <v>434</v>
      </c>
      <c r="W93" s="6">
        <v>15.0</v>
      </c>
      <c r="X93" s="1" t="s">
        <v>56</v>
      </c>
      <c r="Y93" s="1" t="s">
        <v>57</v>
      </c>
      <c r="Z93" s="6">
        <v>7.96</v>
      </c>
      <c r="AA93" s="6">
        <v>98604.0</v>
      </c>
      <c r="AB93" s="10">
        <v>0.04</v>
      </c>
      <c r="AC93" s="1" t="s">
        <v>1215</v>
      </c>
      <c r="AD93" s="1" t="s">
        <v>1216</v>
      </c>
      <c r="AE93" s="1" t="s">
        <v>1217</v>
      </c>
      <c r="AF93" s="1" t="s">
        <v>1217</v>
      </c>
      <c r="AG93" s="1" t="s">
        <v>1217</v>
      </c>
      <c r="AH93" s="1" t="s">
        <v>563</v>
      </c>
      <c r="AI93" s="6">
        <v>24819.0</v>
      </c>
      <c r="AJ93" s="1" t="s">
        <v>106</v>
      </c>
      <c r="AK93" s="1" t="s">
        <v>1218</v>
      </c>
      <c r="AL93" s="1" t="s">
        <v>1219</v>
      </c>
      <c r="AM93" s="11" t="str">
        <f>VLOOKUP(N93,Sheet3!$B$4:$C$10,2,1)</f>
        <v>51-60</v>
      </c>
      <c r="AN93" s="12" t="str">
        <f>VLOOKUP(Z93,Sheet3!$F$4:$G$10,2,1)</f>
        <v>5-10</v>
      </c>
      <c r="AO93" s="5" t="str">
        <f>VLOOKUP(AA93,Sheet3!$I$3:$J$16,2,1)</f>
        <v>80000-100000</v>
      </c>
      <c r="AP93" s="5" t="str">
        <f>VLOOKUP(AB93,Sheet3!$L$4:$M$14,2,1)</f>
        <v>&lt; 5%</v>
      </c>
    </row>
    <row r="94">
      <c r="A94" s="6">
        <v>970502.0</v>
      </c>
      <c r="B94" s="1" t="s">
        <v>89</v>
      </c>
      <c r="C94" s="1" t="s">
        <v>1220</v>
      </c>
      <c r="D94" s="1" t="s">
        <v>466</v>
      </c>
      <c r="E94" s="1" t="s">
        <v>1221</v>
      </c>
      <c r="F94" s="1" t="s">
        <v>46</v>
      </c>
      <c r="G94" s="1" t="s">
        <v>1222</v>
      </c>
      <c r="H94" s="1" t="s">
        <v>604</v>
      </c>
      <c r="I94" s="1" t="s">
        <v>1223</v>
      </c>
      <c r="J94" s="1" t="s">
        <v>1224</v>
      </c>
      <c r="K94" s="1" t="s">
        <v>1225</v>
      </c>
      <c r="L94" s="9">
        <v>30268.0</v>
      </c>
      <c r="M94" s="8">
        <v>0.6993634259259259</v>
      </c>
      <c r="N94" s="6">
        <v>34.73</v>
      </c>
      <c r="O94" s="6">
        <v>51.0</v>
      </c>
      <c r="P94" s="14">
        <v>38139.0</v>
      </c>
      <c r="Q94" s="1" t="s">
        <v>75</v>
      </c>
      <c r="R94" s="1" t="s">
        <v>76</v>
      </c>
      <c r="S94" s="6">
        <v>2004.0</v>
      </c>
      <c r="T94" s="6">
        <v>6.0</v>
      </c>
      <c r="U94" s="1" t="s">
        <v>324</v>
      </c>
      <c r="V94" s="1" t="s">
        <v>325</v>
      </c>
      <c r="W94" s="6">
        <v>1.0</v>
      </c>
      <c r="X94" s="1" t="s">
        <v>79</v>
      </c>
      <c r="Y94" s="1" t="s">
        <v>80</v>
      </c>
      <c r="Z94" s="6">
        <v>13.16</v>
      </c>
      <c r="AA94" s="6">
        <v>159223.0</v>
      </c>
      <c r="AB94" s="10">
        <v>0.08</v>
      </c>
      <c r="AC94" s="1" t="s">
        <v>1226</v>
      </c>
      <c r="AD94" s="1" t="s">
        <v>1227</v>
      </c>
      <c r="AE94" s="1" t="s">
        <v>1228</v>
      </c>
      <c r="AF94" s="1" t="s">
        <v>1229</v>
      </c>
      <c r="AG94" s="1" t="s">
        <v>1228</v>
      </c>
      <c r="AH94" s="1" t="s">
        <v>284</v>
      </c>
      <c r="AI94" s="6">
        <v>50599.0</v>
      </c>
      <c r="AJ94" s="1" t="s">
        <v>86</v>
      </c>
      <c r="AK94" s="1" t="s">
        <v>1230</v>
      </c>
      <c r="AL94" s="1" t="s">
        <v>1231</v>
      </c>
      <c r="AM94" s="11" t="str">
        <f>VLOOKUP(N94,Sheet3!$B$4:$C$10,2,1)</f>
        <v>31-40</v>
      </c>
      <c r="AN94" s="12" t="str">
        <f>VLOOKUP(Z94,Sheet3!$F$4:$G$10,2,1)</f>
        <v>11-20</v>
      </c>
      <c r="AO94" s="5" t="str">
        <f>VLOOKUP(AA94,Sheet3!$I$3:$J$16,2,1)</f>
        <v>140000-160000</v>
      </c>
      <c r="AP94" s="5" t="str">
        <f>VLOOKUP(AB94,Sheet3!$L$4:$M$14,2,1)</f>
        <v>5% - 10%</v>
      </c>
    </row>
    <row r="95">
      <c r="A95" s="6">
        <v>668717.0</v>
      </c>
      <c r="B95" s="1" t="s">
        <v>125</v>
      </c>
      <c r="C95" s="1" t="s">
        <v>1232</v>
      </c>
      <c r="D95" s="1" t="s">
        <v>46</v>
      </c>
      <c r="E95" s="1" t="s">
        <v>1233</v>
      </c>
      <c r="F95" s="1" t="s">
        <v>70</v>
      </c>
      <c r="G95" s="1" t="s">
        <v>1234</v>
      </c>
      <c r="H95" s="1" t="s">
        <v>604</v>
      </c>
      <c r="I95" s="1" t="s">
        <v>1235</v>
      </c>
      <c r="J95" s="1" t="s">
        <v>1236</v>
      </c>
      <c r="K95" s="1" t="s">
        <v>1237</v>
      </c>
      <c r="L95" s="9">
        <v>21777.0</v>
      </c>
      <c r="M95" s="8">
        <v>0.6447916666666667</v>
      </c>
      <c r="N95" s="6">
        <v>57.99</v>
      </c>
      <c r="O95" s="6">
        <v>58.0</v>
      </c>
      <c r="P95" s="14">
        <v>41434.0</v>
      </c>
      <c r="Q95" s="1" t="s">
        <v>75</v>
      </c>
      <c r="R95" s="1" t="s">
        <v>76</v>
      </c>
      <c r="S95" s="6">
        <v>2013.0</v>
      </c>
      <c r="T95" s="6">
        <v>6.0</v>
      </c>
      <c r="U95" s="1" t="s">
        <v>324</v>
      </c>
      <c r="V95" s="1" t="s">
        <v>325</v>
      </c>
      <c r="W95" s="6">
        <v>9.0</v>
      </c>
      <c r="X95" s="1" t="s">
        <v>534</v>
      </c>
      <c r="Y95" s="1" t="s">
        <v>535</v>
      </c>
      <c r="Z95" s="6">
        <v>4.14</v>
      </c>
      <c r="AA95" s="6">
        <v>188022.0</v>
      </c>
      <c r="AB95" s="10">
        <v>0.05</v>
      </c>
      <c r="AC95" s="1" t="s">
        <v>1238</v>
      </c>
      <c r="AD95" s="1" t="s">
        <v>1239</v>
      </c>
      <c r="AE95" s="1" t="s">
        <v>1240</v>
      </c>
      <c r="AF95" s="1" t="s">
        <v>1241</v>
      </c>
      <c r="AG95" s="1" t="s">
        <v>1240</v>
      </c>
      <c r="AH95" s="1" t="s">
        <v>385</v>
      </c>
      <c r="AI95" s="6">
        <v>98343.0</v>
      </c>
      <c r="AJ95" s="1" t="s">
        <v>63</v>
      </c>
      <c r="AK95" s="1" t="s">
        <v>1242</v>
      </c>
      <c r="AL95" s="1" t="s">
        <v>1243</v>
      </c>
      <c r="AM95" s="11" t="str">
        <f>VLOOKUP(N95,Sheet3!$B$4:$C$10,2,1)</f>
        <v>51-60</v>
      </c>
      <c r="AN95" s="13" t="str">
        <f>VLOOKUP(Z95,Sheet3!$F$4:$G$10,2,1)</f>
        <v>&lt; 5</v>
      </c>
      <c r="AO95" s="5" t="str">
        <f>VLOOKUP(AA95,Sheet3!$I$3:$J$16,2,1)</f>
        <v>180000-200000</v>
      </c>
      <c r="AP95" s="5" t="str">
        <f>VLOOKUP(AB95,Sheet3!$L$4:$M$14,2,1)</f>
        <v>5% - 10%</v>
      </c>
    </row>
    <row r="96">
      <c r="A96" s="6">
        <v>479832.0</v>
      </c>
      <c r="B96" s="1" t="s">
        <v>255</v>
      </c>
      <c r="C96" s="1" t="s">
        <v>1244</v>
      </c>
      <c r="D96" s="1" t="s">
        <v>242</v>
      </c>
      <c r="E96" s="1" t="s">
        <v>1245</v>
      </c>
      <c r="F96" s="1" t="s">
        <v>70</v>
      </c>
      <c r="G96" s="1" t="s">
        <v>1246</v>
      </c>
      <c r="H96" s="1" t="s">
        <v>604</v>
      </c>
      <c r="I96" s="1" t="s">
        <v>1247</v>
      </c>
      <c r="J96" s="1" t="s">
        <v>1248</v>
      </c>
      <c r="K96" s="1" t="s">
        <v>1111</v>
      </c>
      <c r="L96" s="9">
        <v>27623.0</v>
      </c>
      <c r="M96" s="8">
        <v>0.8749074074074074</v>
      </c>
      <c r="N96" s="6">
        <v>41.98</v>
      </c>
      <c r="O96" s="6">
        <v>76.0</v>
      </c>
      <c r="P96" s="9">
        <v>38548.0</v>
      </c>
      <c r="Q96" s="1" t="s">
        <v>308</v>
      </c>
      <c r="R96" s="1" t="s">
        <v>53</v>
      </c>
      <c r="S96" s="6">
        <v>2005.0</v>
      </c>
      <c r="T96" s="6">
        <v>7.0</v>
      </c>
      <c r="U96" s="1" t="s">
        <v>366</v>
      </c>
      <c r="V96" s="1" t="s">
        <v>367</v>
      </c>
      <c r="W96" s="6">
        <v>15.0</v>
      </c>
      <c r="X96" s="1" t="s">
        <v>263</v>
      </c>
      <c r="Y96" s="1" t="s">
        <v>264</v>
      </c>
      <c r="Z96" s="6">
        <v>12.04</v>
      </c>
      <c r="AA96" s="6">
        <v>139662.0</v>
      </c>
      <c r="AB96" s="10">
        <v>0.3</v>
      </c>
      <c r="AC96" s="1" t="s">
        <v>1249</v>
      </c>
      <c r="AD96" s="1" t="s">
        <v>1250</v>
      </c>
      <c r="AE96" s="1" t="s">
        <v>1251</v>
      </c>
      <c r="AF96" s="1" t="s">
        <v>1252</v>
      </c>
      <c r="AG96" s="1" t="s">
        <v>1251</v>
      </c>
      <c r="AH96" s="1" t="s">
        <v>488</v>
      </c>
      <c r="AI96" s="6">
        <v>32040.0</v>
      </c>
      <c r="AJ96" s="1" t="s">
        <v>106</v>
      </c>
      <c r="AK96" s="1" t="s">
        <v>1253</v>
      </c>
      <c r="AL96" s="1" t="s">
        <v>1254</v>
      </c>
      <c r="AM96" s="11" t="str">
        <f>VLOOKUP(N96,Sheet3!$B$4:$C$10,2,1)</f>
        <v>41-50</v>
      </c>
      <c r="AN96" s="12" t="str">
        <f>VLOOKUP(Z96,Sheet3!$F$4:$G$10,2,1)</f>
        <v>11-20</v>
      </c>
      <c r="AO96" s="5" t="str">
        <f>VLOOKUP(AA96,Sheet3!$I$3:$J$16,2,1)</f>
        <v>120000-140000</v>
      </c>
      <c r="AP96" s="5" t="str">
        <f>VLOOKUP(AB96,Sheet3!$L$4:$M$14,2,1)</f>
        <v>26% - 30%</v>
      </c>
    </row>
    <row r="97">
      <c r="A97" s="6">
        <v>273645.0</v>
      </c>
      <c r="B97" s="1" t="s">
        <v>255</v>
      </c>
      <c r="C97" s="1" t="s">
        <v>1255</v>
      </c>
      <c r="D97" s="1" t="s">
        <v>186</v>
      </c>
      <c r="E97" s="1" t="s">
        <v>930</v>
      </c>
      <c r="F97" s="1" t="s">
        <v>70</v>
      </c>
      <c r="G97" s="1" t="s">
        <v>1256</v>
      </c>
      <c r="H97" s="1" t="s">
        <v>604</v>
      </c>
      <c r="I97" s="1" t="s">
        <v>1257</v>
      </c>
      <c r="J97" s="1" t="s">
        <v>1258</v>
      </c>
      <c r="K97" s="1" t="s">
        <v>1259</v>
      </c>
      <c r="L97" s="9">
        <v>30513.0</v>
      </c>
      <c r="M97" s="8">
        <v>0.013055555555555556</v>
      </c>
      <c r="N97" s="6">
        <v>34.06</v>
      </c>
      <c r="O97" s="6">
        <v>78.0</v>
      </c>
      <c r="P97" s="9">
        <v>42915.0</v>
      </c>
      <c r="Q97" s="1" t="s">
        <v>75</v>
      </c>
      <c r="R97" s="1" t="s">
        <v>76</v>
      </c>
      <c r="S97" s="6">
        <v>2017.0</v>
      </c>
      <c r="T97" s="6">
        <v>6.0</v>
      </c>
      <c r="U97" s="1" t="s">
        <v>324</v>
      </c>
      <c r="V97" s="1" t="s">
        <v>325</v>
      </c>
      <c r="W97" s="6">
        <v>29.0</v>
      </c>
      <c r="X97" s="1" t="s">
        <v>150</v>
      </c>
      <c r="Y97" s="1" t="s">
        <v>151</v>
      </c>
      <c r="Z97" s="6">
        <v>0.08</v>
      </c>
      <c r="AA97" s="6">
        <v>80629.0</v>
      </c>
      <c r="AB97" s="10">
        <v>0.1</v>
      </c>
      <c r="AC97" s="1" t="s">
        <v>1260</v>
      </c>
      <c r="AD97" s="1" t="s">
        <v>1261</v>
      </c>
      <c r="AE97" s="1" t="s">
        <v>1262</v>
      </c>
      <c r="AF97" s="1" t="s">
        <v>1262</v>
      </c>
      <c r="AG97" s="1" t="s">
        <v>1262</v>
      </c>
      <c r="AH97" s="1" t="s">
        <v>740</v>
      </c>
      <c r="AI97" s="6">
        <v>1964.0</v>
      </c>
      <c r="AJ97" s="1" t="s">
        <v>224</v>
      </c>
      <c r="AK97" s="1" t="s">
        <v>1263</v>
      </c>
      <c r="AL97" s="1" t="s">
        <v>1264</v>
      </c>
      <c r="AM97" s="11" t="str">
        <f>VLOOKUP(N97,Sheet3!$B$4:$C$10,2,1)</f>
        <v>31-40</v>
      </c>
      <c r="AN97" s="13" t="str">
        <f>VLOOKUP(Z97,Sheet3!$F$4:$G$10,2,1)</f>
        <v>&lt; 5</v>
      </c>
      <c r="AO97" s="5" t="str">
        <f>VLOOKUP(AA97,Sheet3!$I$3:$J$16,2,1)</f>
        <v>80000-100000</v>
      </c>
      <c r="AP97" s="5" t="str">
        <f>VLOOKUP(AB97,Sheet3!$L$4:$M$14,2,1)</f>
        <v>5% - 10%</v>
      </c>
    </row>
    <row r="98">
      <c r="A98" s="6">
        <v>266284.0</v>
      </c>
      <c r="B98" s="1" t="s">
        <v>125</v>
      </c>
      <c r="C98" s="1" t="s">
        <v>1265</v>
      </c>
      <c r="D98" s="1" t="s">
        <v>173</v>
      </c>
      <c r="E98" s="1" t="s">
        <v>1266</v>
      </c>
      <c r="F98" s="1" t="s">
        <v>70</v>
      </c>
      <c r="G98" s="1" t="s">
        <v>1267</v>
      </c>
      <c r="H98" s="1" t="s">
        <v>604</v>
      </c>
      <c r="I98" s="1" t="s">
        <v>1268</v>
      </c>
      <c r="J98" s="1" t="s">
        <v>1269</v>
      </c>
      <c r="K98" s="1" t="s">
        <v>1270</v>
      </c>
      <c r="L98" s="14">
        <v>28953.0</v>
      </c>
      <c r="M98" s="8">
        <v>0.9421527777777777</v>
      </c>
      <c r="N98" s="6">
        <v>38.33</v>
      </c>
      <c r="O98" s="6">
        <v>90.0</v>
      </c>
      <c r="P98" s="14">
        <v>37658.0</v>
      </c>
      <c r="Q98" s="1" t="s">
        <v>96</v>
      </c>
      <c r="R98" s="1" t="s">
        <v>76</v>
      </c>
      <c r="S98" s="6">
        <v>2003.0</v>
      </c>
      <c r="T98" s="6">
        <v>2.0</v>
      </c>
      <c r="U98" s="1" t="s">
        <v>117</v>
      </c>
      <c r="V98" s="1" t="s">
        <v>118</v>
      </c>
      <c r="W98" s="6">
        <v>6.0</v>
      </c>
      <c r="X98" s="1" t="s">
        <v>150</v>
      </c>
      <c r="Y98" s="1" t="s">
        <v>151</v>
      </c>
      <c r="Z98" s="6">
        <v>14.48</v>
      </c>
      <c r="AA98" s="6">
        <v>180062.0</v>
      </c>
      <c r="AB98" s="10">
        <v>0.16</v>
      </c>
      <c r="AC98" s="1" t="s">
        <v>1271</v>
      </c>
      <c r="AD98" s="1" t="s">
        <v>1272</v>
      </c>
      <c r="AE98" s="1" t="s">
        <v>1273</v>
      </c>
      <c r="AF98" s="1" t="s">
        <v>1274</v>
      </c>
      <c r="AG98" s="1" t="s">
        <v>1273</v>
      </c>
      <c r="AH98" s="1" t="s">
        <v>857</v>
      </c>
      <c r="AI98" s="6">
        <v>64681.0</v>
      </c>
      <c r="AJ98" s="1" t="s">
        <v>86</v>
      </c>
      <c r="AK98" s="1" t="s">
        <v>1275</v>
      </c>
      <c r="AL98" s="1" t="s">
        <v>1276</v>
      </c>
      <c r="AM98" s="11" t="str">
        <f>VLOOKUP(N98,Sheet3!$B$4:$C$10,2,1)</f>
        <v>31-40</v>
      </c>
      <c r="AN98" s="12" t="str">
        <f>VLOOKUP(Z98,Sheet3!$F$4:$G$10,2,1)</f>
        <v>11-20</v>
      </c>
      <c r="AO98" s="5" t="str">
        <f>VLOOKUP(AA98,Sheet3!$I$3:$J$16,2,1)</f>
        <v>180000-200000</v>
      </c>
      <c r="AP98" s="5" t="str">
        <f>VLOOKUP(AB98,Sheet3!$L$4:$M$14,2,1)</f>
        <v>16% - 20%</v>
      </c>
    </row>
    <row r="99">
      <c r="A99" s="6">
        <v>332802.0</v>
      </c>
      <c r="B99" s="1" t="s">
        <v>66</v>
      </c>
      <c r="C99" s="1" t="s">
        <v>1277</v>
      </c>
      <c r="D99" s="1" t="s">
        <v>70</v>
      </c>
      <c r="E99" s="1" t="s">
        <v>1278</v>
      </c>
      <c r="F99" s="1" t="s">
        <v>70</v>
      </c>
      <c r="G99" s="1" t="s">
        <v>1279</v>
      </c>
      <c r="H99" s="1" t="s">
        <v>604</v>
      </c>
      <c r="I99" s="1" t="s">
        <v>1280</v>
      </c>
      <c r="J99" s="1" t="s">
        <v>1281</v>
      </c>
      <c r="K99" s="1" t="s">
        <v>1282</v>
      </c>
      <c r="L99" s="14">
        <v>30196.0</v>
      </c>
      <c r="M99" s="8">
        <v>0.3150115740740741</v>
      </c>
      <c r="N99" s="6">
        <v>34.93</v>
      </c>
      <c r="O99" s="6">
        <v>62.0</v>
      </c>
      <c r="P99" s="9">
        <v>41570.0</v>
      </c>
      <c r="Q99" s="1" t="s">
        <v>52</v>
      </c>
      <c r="R99" s="1" t="s">
        <v>53</v>
      </c>
      <c r="S99" s="6">
        <v>2013.0</v>
      </c>
      <c r="T99" s="6">
        <v>10.0</v>
      </c>
      <c r="U99" s="1" t="s">
        <v>133</v>
      </c>
      <c r="V99" s="1" t="s">
        <v>134</v>
      </c>
      <c r="W99" s="6">
        <v>23.0</v>
      </c>
      <c r="X99" s="1" t="s">
        <v>278</v>
      </c>
      <c r="Y99" s="1" t="s">
        <v>279</v>
      </c>
      <c r="Z99" s="6">
        <v>3.76</v>
      </c>
      <c r="AA99" s="6">
        <v>104764.0</v>
      </c>
      <c r="AB99" s="10">
        <v>0.3</v>
      </c>
      <c r="AC99" s="1" t="s">
        <v>1283</v>
      </c>
      <c r="AD99" s="1" t="s">
        <v>1284</v>
      </c>
      <c r="AE99" s="1" t="s">
        <v>128</v>
      </c>
      <c r="AF99" s="1" t="s">
        <v>1285</v>
      </c>
      <c r="AG99" s="1" t="s">
        <v>128</v>
      </c>
      <c r="AH99" s="1" t="s">
        <v>372</v>
      </c>
      <c r="AI99" s="6">
        <v>69156.0</v>
      </c>
      <c r="AJ99" s="1" t="s">
        <v>86</v>
      </c>
      <c r="AK99" s="1" t="s">
        <v>1286</v>
      </c>
      <c r="AL99" s="1" t="s">
        <v>1287</v>
      </c>
      <c r="AM99" s="11" t="str">
        <f>VLOOKUP(N99,Sheet3!$B$4:$C$10,2,1)</f>
        <v>31-40</v>
      </c>
      <c r="AN99" s="13" t="str">
        <f>VLOOKUP(Z99,Sheet3!$F$4:$G$10,2,1)</f>
        <v>&lt; 5</v>
      </c>
      <c r="AO99" s="5" t="str">
        <f>VLOOKUP(AA99,Sheet3!$I$3:$J$16,2,1)</f>
        <v>100000-120000</v>
      </c>
      <c r="AP99" s="5" t="str">
        <f>VLOOKUP(AB99,Sheet3!$L$4:$M$14,2,1)</f>
        <v>26% - 30%</v>
      </c>
    </row>
    <row r="100">
      <c r="A100" s="6">
        <v>166615.0</v>
      </c>
      <c r="B100" s="1" t="s">
        <v>109</v>
      </c>
      <c r="C100" s="1" t="s">
        <v>1288</v>
      </c>
      <c r="D100" s="1" t="s">
        <v>257</v>
      </c>
      <c r="E100" s="1" t="s">
        <v>1289</v>
      </c>
      <c r="F100" s="1" t="s">
        <v>46</v>
      </c>
      <c r="G100" s="1" t="s">
        <v>1290</v>
      </c>
      <c r="H100" s="1" t="s">
        <v>604</v>
      </c>
      <c r="I100" s="1" t="s">
        <v>1291</v>
      </c>
      <c r="J100" s="1" t="s">
        <v>1292</v>
      </c>
      <c r="K100" s="1" t="s">
        <v>421</v>
      </c>
      <c r="L100" s="9">
        <v>29451.0</v>
      </c>
      <c r="M100" s="8">
        <v>0.05206018518518519</v>
      </c>
      <c r="N100" s="6">
        <v>36.97</v>
      </c>
      <c r="O100" s="6">
        <v>41.0</v>
      </c>
      <c r="P100" s="9">
        <v>40509.0</v>
      </c>
      <c r="Q100" s="1" t="s">
        <v>52</v>
      </c>
      <c r="R100" s="1" t="s">
        <v>53</v>
      </c>
      <c r="S100" s="6">
        <v>2010.0</v>
      </c>
      <c r="T100" s="6">
        <v>11.0</v>
      </c>
      <c r="U100" s="1" t="s">
        <v>148</v>
      </c>
      <c r="V100" s="1" t="s">
        <v>149</v>
      </c>
      <c r="W100" s="6">
        <v>27.0</v>
      </c>
      <c r="X100" s="1" t="s">
        <v>56</v>
      </c>
      <c r="Y100" s="1" t="s">
        <v>57</v>
      </c>
      <c r="Z100" s="6">
        <v>6.67</v>
      </c>
      <c r="AA100" s="6">
        <v>171662.0</v>
      </c>
      <c r="AB100" s="10">
        <v>0.26</v>
      </c>
      <c r="AC100" s="1" t="s">
        <v>1293</v>
      </c>
      <c r="AD100" s="1" t="s">
        <v>1294</v>
      </c>
      <c r="AE100" s="1" t="s">
        <v>1295</v>
      </c>
      <c r="AF100" s="1" t="s">
        <v>1296</v>
      </c>
      <c r="AG100" s="1" t="s">
        <v>1295</v>
      </c>
      <c r="AH100" s="1" t="s">
        <v>156</v>
      </c>
      <c r="AI100" s="6">
        <v>23506.0</v>
      </c>
      <c r="AJ100" s="1" t="s">
        <v>106</v>
      </c>
      <c r="AK100" s="1" t="s">
        <v>1297</v>
      </c>
      <c r="AL100" s="1" t="s">
        <v>1298</v>
      </c>
      <c r="AM100" s="11" t="str">
        <f>VLOOKUP(N100,Sheet3!$B$4:$C$10,2,1)</f>
        <v>31-40</v>
      </c>
      <c r="AN100" s="12" t="str">
        <f>VLOOKUP(Z100,Sheet3!$F$4:$G$10,2,1)</f>
        <v>5-10</v>
      </c>
      <c r="AO100" s="5" t="str">
        <f>VLOOKUP(AA100,Sheet3!$I$3:$J$16,2,1)</f>
        <v>160000-180000</v>
      </c>
      <c r="AP100" s="5" t="str">
        <f>VLOOKUP(AB100,Sheet3!$L$4:$M$14,2,1)</f>
        <v>26% - 30%</v>
      </c>
    </row>
    <row r="101">
      <c r="A101" s="6">
        <v>953967.0</v>
      </c>
      <c r="B101" s="1" t="s">
        <v>66</v>
      </c>
      <c r="C101" s="1" t="s">
        <v>1299</v>
      </c>
      <c r="D101" s="1" t="s">
        <v>1300</v>
      </c>
      <c r="E101" s="1" t="s">
        <v>1301</v>
      </c>
      <c r="F101" s="1" t="s">
        <v>70</v>
      </c>
      <c r="G101" s="1" t="s">
        <v>1302</v>
      </c>
      <c r="H101" s="1" t="s">
        <v>604</v>
      </c>
      <c r="I101" s="1" t="s">
        <v>1303</v>
      </c>
      <c r="J101" s="1" t="s">
        <v>1304</v>
      </c>
      <c r="K101" s="1" t="s">
        <v>1305</v>
      </c>
      <c r="L101" s="9">
        <v>22063.0</v>
      </c>
      <c r="M101" s="8">
        <v>0.9580208333333333</v>
      </c>
      <c r="N101" s="6">
        <v>57.21</v>
      </c>
      <c r="O101" s="6">
        <v>90.0</v>
      </c>
      <c r="P101" s="9">
        <v>38291.0</v>
      </c>
      <c r="Q101" s="1" t="s">
        <v>52</v>
      </c>
      <c r="R101" s="1" t="s">
        <v>53</v>
      </c>
      <c r="S101" s="6">
        <v>2004.0</v>
      </c>
      <c r="T101" s="6">
        <v>10.0</v>
      </c>
      <c r="U101" s="1" t="s">
        <v>133</v>
      </c>
      <c r="V101" s="1" t="s">
        <v>134</v>
      </c>
      <c r="W101" s="6">
        <v>31.0</v>
      </c>
      <c r="X101" s="1" t="s">
        <v>534</v>
      </c>
      <c r="Y101" s="1" t="s">
        <v>535</v>
      </c>
      <c r="Z101" s="6">
        <v>12.75</v>
      </c>
      <c r="AA101" s="6">
        <v>197951.0</v>
      </c>
      <c r="AB101" s="10">
        <v>0.06</v>
      </c>
      <c r="AC101" s="1" t="s">
        <v>1306</v>
      </c>
      <c r="AD101" s="1" t="s">
        <v>1307</v>
      </c>
      <c r="AE101" s="1" t="s">
        <v>1308</v>
      </c>
      <c r="AF101" s="1" t="s">
        <v>587</v>
      </c>
      <c r="AG101" s="1" t="s">
        <v>1308</v>
      </c>
      <c r="AH101" s="1" t="s">
        <v>356</v>
      </c>
      <c r="AI101" s="6">
        <v>11421.0</v>
      </c>
      <c r="AJ101" s="1" t="s">
        <v>224</v>
      </c>
      <c r="AK101" s="1" t="s">
        <v>1309</v>
      </c>
      <c r="AL101" s="1" t="s">
        <v>1310</v>
      </c>
      <c r="AM101" s="11" t="str">
        <f>VLOOKUP(N101,Sheet3!$B$4:$C$10,2,1)</f>
        <v>51-60</v>
      </c>
      <c r="AN101" s="12" t="str">
        <f>VLOOKUP(Z101,Sheet3!$F$4:$G$10,2,1)</f>
        <v>11-20</v>
      </c>
      <c r="AO101" s="5" t="str">
        <f>VLOOKUP(AA101,Sheet3!$I$3:$J$16,2,1)</f>
        <v>180000-200000</v>
      </c>
      <c r="AP101" s="5" t="str">
        <f>VLOOKUP(AB101,Sheet3!$L$4:$M$14,2,1)</f>
        <v>5% - 10%</v>
      </c>
    </row>
    <row r="102">
      <c r="A102" s="6">
        <v>114425.0</v>
      </c>
      <c r="B102" s="1" t="s">
        <v>109</v>
      </c>
      <c r="C102" s="1" t="s">
        <v>1311</v>
      </c>
      <c r="D102" s="1" t="s">
        <v>1300</v>
      </c>
      <c r="E102" s="1" t="s">
        <v>1312</v>
      </c>
      <c r="F102" s="1" t="s">
        <v>46</v>
      </c>
      <c r="G102" s="1" t="s">
        <v>1313</v>
      </c>
      <c r="H102" s="1" t="s">
        <v>604</v>
      </c>
      <c r="I102" s="1" t="s">
        <v>1314</v>
      </c>
      <c r="J102" s="1" t="s">
        <v>1315</v>
      </c>
      <c r="K102" s="1" t="s">
        <v>1316</v>
      </c>
      <c r="L102" s="9">
        <v>27773.0</v>
      </c>
      <c r="M102" s="8">
        <v>0.01306712962962963</v>
      </c>
      <c r="N102" s="6">
        <v>41.56</v>
      </c>
      <c r="O102" s="6">
        <v>46.0</v>
      </c>
      <c r="P102" s="14">
        <v>37501.0</v>
      </c>
      <c r="Q102" s="1" t="s">
        <v>308</v>
      </c>
      <c r="R102" s="1" t="s">
        <v>53</v>
      </c>
      <c r="S102" s="6">
        <v>2002.0</v>
      </c>
      <c r="T102" s="6">
        <v>9.0</v>
      </c>
      <c r="U102" s="1" t="s">
        <v>309</v>
      </c>
      <c r="V102" s="1" t="s">
        <v>310</v>
      </c>
      <c r="W102" s="6">
        <v>2.0</v>
      </c>
      <c r="X102" s="1" t="s">
        <v>99</v>
      </c>
      <c r="Y102" s="1" t="s">
        <v>100</v>
      </c>
      <c r="Z102" s="6">
        <v>14.91</v>
      </c>
      <c r="AA102" s="6">
        <v>188137.0</v>
      </c>
      <c r="AB102" s="10">
        <v>0.28</v>
      </c>
      <c r="AC102" s="1" t="s">
        <v>1317</v>
      </c>
      <c r="AD102" s="1" t="s">
        <v>1318</v>
      </c>
      <c r="AE102" s="1" t="s">
        <v>1319</v>
      </c>
      <c r="AF102" s="1" t="s">
        <v>1320</v>
      </c>
      <c r="AG102" s="1" t="s">
        <v>1319</v>
      </c>
      <c r="AH102" s="1" t="s">
        <v>105</v>
      </c>
      <c r="AI102" s="6">
        <v>41124.0</v>
      </c>
      <c r="AJ102" s="1" t="s">
        <v>106</v>
      </c>
      <c r="AK102" s="1" t="s">
        <v>1321</v>
      </c>
      <c r="AL102" s="1" t="s">
        <v>1322</v>
      </c>
      <c r="AM102" s="11" t="str">
        <f>VLOOKUP(N102,Sheet3!$B$4:$C$10,2,1)</f>
        <v>41-50</v>
      </c>
      <c r="AN102" s="12" t="str">
        <f>VLOOKUP(Z102,Sheet3!$F$4:$G$10,2,1)</f>
        <v>11-20</v>
      </c>
      <c r="AO102" s="5" t="str">
        <f>VLOOKUP(AA102,Sheet3!$I$3:$J$16,2,1)</f>
        <v>180000-200000</v>
      </c>
      <c r="AP102" s="5" t="str">
        <f>VLOOKUP(AB102,Sheet3!$L$4:$M$14,2,1)</f>
        <v>26% - 30%</v>
      </c>
    </row>
    <row r="103">
      <c r="A103" s="6">
        <v>676618.0</v>
      </c>
      <c r="B103" s="1" t="s">
        <v>89</v>
      </c>
      <c r="C103" s="1" t="s">
        <v>1323</v>
      </c>
      <c r="D103" s="1" t="s">
        <v>111</v>
      </c>
      <c r="E103" s="1" t="s">
        <v>1324</v>
      </c>
      <c r="F103" s="1" t="s">
        <v>46</v>
      </c>
      <c r="G103" s="1" t="s">
        <v>1325</v>
      </c>
      <c r="H103" s="1" t="s">
        <v>604</v>
      </c>
      <c r="I103" s="1" t="s">
        <v>1326</v>
      </c>
      <c r="J103" s="1" t="s">
        <v>1327</v>
      </c>
      <c r="K103" s="1" t="s">
        <v>1320</v>
      </c>
      <c r="L103" s="14">
        <v>24267.0</v>
      </c>
      <c r="M103" s="8">
        <v>0.06997685185185185</v>
      </c>
      <c r="N103" s="6">
        <v>51.17</v>
      </c>
      <c r="O103" s="6">
        <v>57.0</v>
      </c>
      <c r="P103" s="14">
        <v>40032.0</v>
      </c>
      <c r="Q103" s="1" t="s">
        <v>308</v>
      </c>
      <c r="R103" s="1" t="s">
        <v>53</v>
      </c>
      <c r="S103" s="6">
        <v>2009.0</v>
      </c>
      <c r="T103" s="6">
        <v>8.0</v>
      </c>
      <c r="U103" s="1" t="s">
        <v>433</v>
      </c>
      <c r="V103" s="1" t="s">
        <v>434</v>
      </c>
      <c r="W103" s="6">
        <v>7.0</v>
      </c>
      <c r="X103" s="1" t="s">
        <v>263</v>
      </c>
      <c r="Y103" s="1" t="s">
        <v>264</v>
      </c>
      <c r="Z103" s="6">
        <v>7.98</v>
      </c>
      <c r="AA103" s="6">
        <v>160421.0</v>
      </c>
      <c r="AB103" s="10">
        <v>0.07</v>
      </c>
      <c r="AC103" s="1" t="s">
        <v>1328</v>
      </c>
      <c r="AD103" s="1" t="s">
        <v>1329</v>
      </c>
      <c r="AE103" s="1" t="s">
        <v>1330</v>
      </c>
      <c r="AF103" s="1" t="s">
        <v>1331</v>
      </c>
      <c r="AG103" s="1" t="s">
        <v>1330</v>
      </c>
      <c r="AH103" s="1" t="s">
        <v>223</v>
      </c>
      <c r="AI103" s="6">
        <v>19370.0</v>
      </c>
      <c r="AJ103" s="1" t="s">
        <v>224</v>
      </c>
      <c r="AK103" s="1" t="s">
        <v>1332</v>
      </c>
      <c r="AL103" s="1" t="s">
        <v>1333</v>
      </c>
      <c r="AM103" s="11" t="str">
        <f>VLOOKUP(N103,Sheet3!$B$4:$C$10,2,1)</f>
        <v>51-60</v>
      </c>
      <c r="AN103" s="12" t="str">
        <f>VLOOKUP(Z103,Sheet3!$F$4:$G$10,2,1)</f>
        <v>5-10</v>
      </c>
      <c r="AO103" s="5" t="str">
        <f>VLOOKUP(AA103,Sheet3!$I$3:$J$16,2,1)</f>
        <v>160000-180000</v>
      </c>
      <c r="AP103" s="5" t="str">
        <f>VLOOKUP(AB103,Sheet3!$L$4:$M$14,2,1)</f>
        <v>5% - 10%</v>
      </c>
    </row>
    <row r="104">
      <c r="A104" s="6">
        <v>581563.0</v>
      </c>
      <c r="B104" s="1" t="s">
        <v>227</v>
      </c>
      <c r="C104" s="1" t="s">
        <v>1334</v>
      </c>
      <c r="D104" s="1" t="s">
        <v>288</v>
      </c>
      <c r="E104" s="1" t="s">
        <v>1335</v>
      </c>
      <c r="F104" s="1" t="s">
        <v>70</v>
      </c>
      <c r="G104" s="1" t="s">
        <v>1336</v>
      </c>
      <c r="H104" s="1" t="s">
        <v>604</v>
      </c>
      <c r="I104" s="1" t="s">
        <v>1337</v>
      </c>
      <c r="J104" s="1" t="s">
        <v>1338</v>
      </c>
      <c r="K104" s="1" t="s">
        <v>1339</v>
      </c>
      <c r="L104" s="7">
        <v>32488.0</v>
      </c>
      <c r="M104" s="8">
        <v>0.9781365740740741</v>
      </c>
      <c r="N104" s="6">
        <v>28.65</v>
      </c>
      <c r="O104" s="6">
        <v>74.0</v>
      </c>
      <c r="P104" s="9">
        <v>42244.0</v>
      </c>
      <c r="Q104" s="1" t="s">
        <v>308</v>
      </c>
      <c r="R104" s="1" t="s">
        <v>53</v>
      </c>
      <c r="S104" s="6">
        <v>2015.0</v>
      </c>
      <c r="T104" s="6">
        <v>8.0</v>
      </c>
      <c r="U104" s="1" t="s">
        <v>433</v>
      </c>
      <c r="V104" s="1" t="s">
        <v>434</v>
      </c>
      <c r="W104" s="6">
        <v>28.0</v>
      </c>
      <c r="X104" s="1" t="s">
        <v>263</v>
      </c>
      <c r="Y104" s="1" t="s">
        <v>264</v>
      </c>
      <c r="Z104" s="6">
        <v>1.92</v>
      </c>
      <c r="AA104" s="6">
        <v>125044.0</v>
      </c>
      <c r="AB104" s="10">
        <v>0.01</v>
      </c>
      <c r="AC104" s="1" t="s">
        <v>1340</v>
      </c>
      <c r="AD104" s="1" t="s">
        <v>1341</v>
      </c>
      <c r="AE104" s="1" t="s">
        <v>1342</v>
      </c>
      <c r="AF104" s="1" t="s">
        <v>1343</v>
      </c>
      <c r="AG104" s="1" t="s">
        <v>1342</v>
      </c>
      <c r="AH104" s="1" t="s">
        <v>1344</v>
      </c>
      <c r="AI104" s="6">
        <v>6414.0</v>
      </c>
      <c r="AJ104" s="1" t="s">
        <v>224</v>
      </c>
      <c r="AK104" s="1" t="s">
        <v>1345</v>
      </c>
      <c r="AL104" s="1" t="s">
        <v>1346</v>
      </c>
      <c r="AM104" s="11" t="str">
        <f>VLOOKUP(N104,Sheet3!$B$4:$C$10,2,1)</f>
        <v>21-30</v>
      </c>
      <c r="AN104" s="13" t="str">
        <f>VLOOKUP(Z104,Sheet3!$F$4:$G$10,2,1)</f>
        <v>&lt; 5</v>
      </c>
      <c r="AO104" s="5" t="str">
        <f>VLOOKUP(AA104,Sheet3!$I$3:$J$16,2,1)</f>
        <v>120000-140000</v>
      </c>
      <c r="AP104" s="5" t="str">
        <f>VLOOKUP(AB104,Sheet3!$L$4:$M$14,2,1)</f>
        <v>&lt; 5%</v>
      </c>
    </row>
    <row r="105">
      <c r="A105" s="6">
        <v>925484.0</v>
      </c>
      <c r="B105" s="1" t="s">
        <v>66</v>
      </c>
      <c r="C105" s="1" t="s">
        <v>1347</v>
      </c>
      <c r="D105" s="1" t="s">
        <v>127</v>
      </c>
      <c r="E105" s="1" t="s">
        <v>1348</v>
      </c>
      <c r="F105" s="1" t="s">
        <v>70</v>
      </c>
      <c r="G105" s="1" t="s">
        <v>1349</v>
      </c>
      <c r="H105" s="1" t="s">
        <v>604</v>
      </c>
      <c r="I105" s="1" t="s">
        <v>1350</v>
      </c>
      <c r="J105" s="1" t="s">
        <v>1351</v>
      </c>
      <c r="K105" s="1" t="s">
        <v>394</v>
      </c>
      <c r="L105" s="9">
        <v>30285.0</v>
      </c>
      <c r="M105" s="8">
        <v>0.3455902777777778</v>
      </c>
      <c r="N105" s="6">
        <v>34.68</v>
      </c>
      <c r="O105" s="6">
        <v>74.0</v>
      </c>
      <c r="P105" s="14">
        <v>38846.0</v>
      </c>
      <c r="Q105" s="1" t="s">
        <v>75</v>
      </c>
      <c r="R105" s="1" t="s">
        <v>76</v>
      </c>
      <c r="S105" s="6">
        <v>2006.0</v>
      </c>
      <c r="T105" s="6">
        <v>5.0</v>
      </c>
      <c r="U105" s="1" t="s">
        <v>294</v>
      </c>
      <c r="V105" s="1" t="s">
        <v>294</v>
      </c>
      <c r="W105" s="6">
        <v>9.0</v>
      </c>
      <c r="X105" s="1" t="s">
        <v>79</v>
      </c>
      <c r="Y105" s="1" t="s">
        <v>80</v>
      </c>
      <c r="Z105" s="6">
        <v>11.23</v>
      </c>
      <c r="AA105" s="6">
        <v>176750.0</v>
      </c>
      <c r="AB105" s="10">
        <v>0.24</v>
      </c>
      <c r="AC105" s="1" t="s">
        <v>1352</v>
      </c>
      <c r="AD105" s="1" t="s">
        <v>1353</v>
      </c>
      <c r="AE105" s="1" t="s">
        <v>1354</v>
      </c>
      <c r="AF105" s="1" t="s">
        <v>1355</v>
      </c>
      <c r="AG105" s="1" t="s">
        <v>1354</v>
      </c>
      <c r="AH105" s="1" t="s">
        <v>210</v>
      </c>
      <c r="AI105" s="6">
        <v>60148.0</v>
      </c>
      <c r="AJ105" s="1" t="s">
        <v>86</v>
      </c>
      <c r="AK105" s="1" t="s">
        <v>1356</v>
      </c>
      <c r="AL105" s="1" t="s">
        <v>1357</v>
      </c>
      <c r="AM105" s="11" t="str">
        <f>VLOOKUP(N105,Sheet3!$B$4:$C$10,2,1)</f>
        <v>31-40</v>
      </c>
      <c r="AN105" s="12" t="str">
        <f>VLOOKUP(Z105,Sheet3!$F$4:$G$10,2,1)</f>
        <v>11-20</v>
      </c>
      <c r="AO105" s="5" t="str">
        <f>VLOOKUP(AA105,Sheet3!$I$3:$J$16,2,1)</f>
        <v>160000-180000</v>
      </c>
      <c r="AP105" s="5" t="str">
        <f>VLOOKUP(AB105,Sheet3!$L$4:$M$14,2,1)</f>
        <v>21% - 25%</v>
      </c>
    </row>
    <row r="106">
      <c r="A106" s="6">
        <v>328562.0</v>
      </c>
      <c r="B106" s="1" t="s">
        <v>66</v>
      </c>
      <c r="C106" s="1" t="s">
        <v>1358</v>
      </c>
      <c r="D106" s="1" t="s">
        <v>200</v>
      </c>
      <c r="E106" s="1" t="s">
        <v>530</v>
      </c>
      <c r="F106" s="1" t="s">
        <v>70</v>
      </c>
      <c r="G106" s="1" t="s">
        <v>1359</v>
      </c>
      <c r="H106" s="1" t="s">
        <v>604</v>
      </c>
      <c r="I106" s="1" t="s">
        <v>1360</v>
      </c>
      <c r="J106" s="1" t="s">
        <v>1361</v>
      </c>
      <c r="K106" s="1" t="s">
        <v>1362</v>
      </c>
      <c r="L106" s="14">
        <v>29378.0</v>
      </c>
      <c r="M106" s="8">
        <v>0.43702546296296296</v>
      </c>
      <c r="N106" s="6">
        <v>37.17</v>
      </c>
      <c r="O106" s="6">
        <v>83.0</v>
      </c>
      <c r="P106" s="9">
        <v>38896.0</v>
      </c>
      <c r="Q106" s="1" t="s">
        <v>75</v>
      </c>
      <c r="R106" s="1" t="s">
        <v>76</v>
      </c>
      <c r="S106" s="6">
        <v>2006.0</v>
      </c>
      <c r="T106" s="6">
        <v>6.0</v>
      </c>
      <c r="U106" s="1" t="s">
        <v>324</v>
      </c>
      <c r="V106" s="1" t="s">
        <v>325</v>
      </c>
      <c r="W106" s="6">
        <v>28.0</v>
      </c>
      <c r="X106" s="1" t="s">
        <v>278</v>
      </c>
      <c r="Y106" s="1" t="s">
        <v>279</v>
      </c>
      <c r="Z106" s="6">
        <v>11.09</v>
      </c>
      <c r="AA106" s="6">
        <v>134904.0</v>
      </c>
      <c r="AB106" s="10">
        <v>0.23</v>
      </c>
      <c r="AC106" s="1" t="s">
        <v>1363</v>
      </c>
      <c r="AD106" s="1" t="s">
        <v>1364</v>
      </c>
      <c r="AE106" s="1" t="s">
        <v>1365</v>
      </c>
      <c r="AF106" s="1" t="s">
        <v>1366</v>
      </c>
      <c r="AG106" s="1" t="s">
        <v>1365</v>
      </c>
      <c r="AH106" s="1" t="s">
        <v>399</v>
      </c>
      <c r="AI106" s="6">
        <v>71425.0</v>
      </c>
      <c r="AJ106" s="1" t="s">
        <v>106</v>
      </c>
      <c r="AK106" s="1" t="s">
        <v>1367</v>
      </c>
      <c r="AL106" s="1" t="s">
        <v>1368</v>
      </c>
      <c r="AM106" s="11" t="str">
        <f>VLOOKUP(N106,Sheet3!$B$4:$C$10,2,1)</f>
        <v>31-40</v>
      </c>
      <c r="AN106" s="12" t="str">
        <f>VLOOKUP(Z106,Sheet3!$F$4:$G$10,2,1)</f>
        <v>11-20</v>
      </c>
      <c r="AO106" s="5" t="str">
        <f>VLOOKUP(AA106,Sheet3!$I$3:$J$16,2,1)</f>
        <v>120000-140000</v>
      </c>
      <c r="AP106" s="5" t="str">
        <f>VLOOKUP(AB106,Sheet3!$L$4:$M$14,2,1)</f>
        <v>21% - 25%</v>
      </c>
    </row>
    <row r="107">
      <c r="A107" s="6">
        <v>759248.0</v>
      </c>
      <c r="B107" s="1" t="s">
        <v>255</v>
      </c>
      <c r="C107" s="1" t="s">
        <v>1369</v>
      </c>
      <c r="D107" s="1" t="s">
        <v>200</v>
      </c>
      <c r="E107" s="1" t="s">
        <v>1370</v>
      </c>
      <c r="F107" s="1" t="s">
        <v>70</v>
      </c>
      <c r="G107" s="1" t="s">
        <v>1371</v>
      </c>
      <c r="H107" s="1" t="s">
        <v>604</v>
      </c>
      <c r="I107" s="1" t="s">
        <v>1372</v>
      </c>
      <c r="J107" s="1" t="s">
        <v>1373</v>
      </c>
      <c r="K107" s="1" t="s">
        <v>1374</v>
      </c>
      <c r="L107" s="14">
        <v>27825.0</v>
      </c>
      <c r="M107" s="8">
        <v>0.17777777777777778</v>
      </c>
      <c r="N107" s="6">
        <v>41.42</v>
      </c>
      <c r="O107" s="6">
        <v>65.0</v>
      </c>
      <c r="P107" s="9">
        <v>38343.0</v>
      </c>
      <c r="Q107" s="1" t="s">
        <v>52</v>
      </c>
      <c r="R107" s="1" t="s">
        <v>53</v>
      </c>
      <c r="S107" s="6">
        <v>2004.0</v>
      </c>
      <c r="T107" s="6">
        <v>12.0</v>
      </c>
      <c r="U107" s="1" t="s">
        <v>54</v>
      </c>
      <c r="V107" s="1" t="s">
        <v>55</v>
      </c>
      <c r="W107" s="6">
        <v>22.0</v>
      </c>
      <c r="X107" s="1" t="s">
        <v>278</v>
      </c>
      <c r="Y107" s="1" t="s">
        <v>279</v>
      </c>
      <c r="Z107" s="6">
        <v>12.61</v>
      </c>
      <c r="AA107" s="6">
        <v>70626.0</v>
      </c>
      <c r="AB107" s="10">
        <v>0.07</v>
      </c>
      <c r="AC107" s="1" t="s">
        <v>1375</v>
      </c>
      <c r="AD107" s="1" t="s">
        <v>1376</v>
      </c>
      <c r="AE107" s="1" t="s">
        <v>1377</v>
      </c>
      <c r="AF107" s="1" t="s">
        <v>1378</v>
      </c>
      <c r="AG107" s="1" t="s">
        <v>1377</v>
      </c>
      <c r="AH107" s="1" t="s">
        <v>223</v>
      </c>
      <c r="AI107" s="6">
        <v>16259.0</v>
      </c>
      <c r="AJ107" s="1" t="s">
        <v>224</v>
      </c>
      <c r="AK107" s="1" t="s">
        <v>1379</v>
      </c>
      <c r="AL107" s="1" t="s">
        <v>1380</v>
      </c>
      <c r="AM107" s="11" t="str">
        <f>VLOOKUP(N107,Sheet3!$B$4:$C$10,2,1)</f>
        <v>41-50</v>
      </c>
      <c r="AN107" s="12" t="str">
        <f>VLOOKUP(Z107,Sheet3!$F$4:$G$10,2,1)</f>
        <v>11-20</v>
      </c>
      <c r="AO107" s="5" t="str">
        <f>VLOOKUP(AA107,Sheet3!$I$3:$J$16,2,1)</f>
        <v>60000-80000</v>
      </c>
      <c r="AP107" s="5" t="str">
        <f>VLOOKUP(AB107,Sheet3!$L$4:$M$14,2,1)</f>
        <v>5% - 10%</v>
      </c>
    </row>
    <row r="108">
      <c r="A108" s="6">
        <v>158543.0</v>
      </c>
      <c r="B108" s="1" t="s">
        <v>66</v>
      </c>
      <c r="C108" s="1" t="s">
        <v>1381</v>
      </c>
      <c r="D108" s="1" t="s">
        <v>416</v>
      </c>
      <c r="E108" s="1" t="s">
        <v>1382</v>
      </c>
      <c r="F108" s="1" t="s">
        <v>70</v>
      </c>
      <c r="G108" s="1" t="s">
        <v>1383</v>
      </c>
      <c r="H108" s="1" t="s">
        <v>604</v>
      </c>
      <c r="I108" s="1" t="s">
        <v>1384</v>
      </c>
      <c r="J108" s="1" t="s">
        <v>1385</v>
      </c>
      <c r="K108" s="1" t="s">
        <v>1386</v>
      </c>
      <c r="L108" s="9">
        <v>23480.0</v>
      </c>
      <c r="M108" s="8">
        <v>0.9607986111111111</v>
      </c>
      <c r="N108" s="6">
        <v>53.33</v>
      </c>
      <c r="O108" s="6">
        <v>60.0</v>
      </c>
      <c r="P108" s="9">
        <v>33745.0</v>
      </c>
      <c r="Q108" s="1" t="s">
        <v>75</v>
      </c>
      <c r="R108" s="1" t="s">
        <v>76</v>
      </c>
      <c r="S108" s="6">
        <v>1992.0</v>
      </c>
      <c r="T108" s="6">
        <v>5.0</v>
      </c>
      <c r="U108" s="1" t="s">
        <v>294</v>
      </c>
      <c r="V108" s="1" t="s">
        <v>294</v>
      </c>
      <c r="W108" s="6">
        <v>21.0</v>
      </c>
      <c r="X108" s="1" t="s">
        <v>150</v>
      </c>
      <c r="Y108" s="1" t="s">
        <v>151</v>
      </c>
      <c r="Z108" s="6">
        <v>25.2</v>
      </c>
      <c r="AA108" s="6">
        <v>62904.0</v>
      </c>
      <c r="AB108" s="10">
        <v>0.26</v>
      </c>
      <c r="AC108" s="1" t="s">
        <v>1387</v>
      </c>
      <c r="AD108" s="1" t="s">
        <v>1388</v>
      </c>
      <c r="AE108" s="1" t="s">
        <v>1389</v>
      </c>
      <c r="AF108" s="1" t="s">
        <v>1390</v>
      </c>
      <c r="AG108" s="1" t="s">
        <v>1389</v>
      </c>
      <c r="AH108" s="1" t="s">
        <v>105</v>
      </c>
      <c r="AI108" s="6">
        <v>40075.0</v>
      </c>
      <c r="AJ108" s="1" t="s">
        <v>106</v>
      </c>
      <c r="AK108" s="1" t="s">
        <v>1391</v>
      </c>
      <c r="AL108" s="1" t="s">
        <v>1392</v>
      </c>
      <c r="AM108" s="11" t="str">
        <f>VLOOKUP(N108,Sheet3!$B$4:$C$10,2,1)</f>
        <v>51-60</v>
      </c>
      <c r="AN108" s="13" t="str">
        <f>VLOOKUP(Z108,Sheet3!$F$4:$G$10,2,1)</f>
        <v>21-30</v>
      </c>
      <c r="AO108" s="5" t="str">
        <f>VLOOKUP(AA108,Sheet3!$I$3:$J$16,2,1)</f>
        <v>60000-80000</v>
      </c>
      <c r="AP108" s="5" t="str">
        <f>VLOOKUP(AB108,Sheet3!$L$4:$M$14,2,1)</f>
        <v>26% - 30%</v>
      </c>
    </row>
    <row r="109">
      <c r="A109" s="6">
        <v>275491.0</v>
      </c>
      <c r="B109" s="1" t="s">
        <v>255</v>
      </c>
      <c r="C109" s="1" t="s">
        <v>1393</v>
      </c>
      <c r="D109" s="1" t="s">
        <v>403</v>
      </c>
      <c r="E109" s="1" t="s">
        <v>595</v>
      </c>
      <c r="F109" s="1" t="s">
        <v>70</v>
      </c>
      <c r="G109" s="1" t="s">
        <v>1394</v>
      </c>
      <c r="H109" s="1" t="s">
        <v>1395</v>
      </c>
      <c r="I109" s="1" t="s">
        <v>1396</v>
      </c>
      <c r="J109" s="1" t="s">
        <v>1397</v>
      </c>
      <c r="K109" s="1" t="s">
        <v>1398</v>
      </c>
      <c r="L109" s="9">
        <v>21290.0</v>
      </c>
      <c r="M109" s="8">
        <v>0.6658101851851852</v>
      </c>
      <c r="N109" s="6">
        <v>59.33</v>
      </c>
      <c r="O109" s="6">
        <v>85.0</v>
      </c>
      <c r="P109" s="9">
        <v>32169.0</v>
      </c>
      <c r="Q109" s="1" t="s">
        <v>96</v>
      </c>
      <c r="R109" s="1" t="s">
        <v>76</v>
      </c>
      <c r="S109" s="6">
        <v>1988.0</v>
      </c>
      <c r="T109" s="6">
        <v>1.0</v>
      </c>
      <c r="U109" s="1" t="s">
        <v>276</v>
      </c>
      <c r="V109" s="1" t="s">
        <v>277</v>
      </c>
      <c r="W109" s="6">
        <v>27.0</v>
      </c>
      <c r="X109" s="1" t="s">
        <v>278</v>
      </c>
      <c r="Y109" s="1" t="s">
        <v>279</v>
      </c>
      <c r="Z109" s="6">
        <v>29.52</v>
      </c>
      <c r="AA109" s="6">
        <v>117739.0</v>
      </c>
      <c r="AB109" s="10">
        <v>0.05</v>
      </c>
      <c r="AC109" s="1" t="s">
        <v>1399</v>
      </c>
      <c r="AD109" s="1" t="s">
        <v>1400</v>
      </c>
      <c r="AE109" s="1" t="s">
        <v>1401</v>
      </c>
      <c r="AF109" s="1" t="s">
        <v>1401</v>
      </c>
      <c r="AG109" s="1" t="s">
        <v>1401</v>
      </c>
      <c r="AH109" s="1" t="s">
        <v>439</v>
      </c>
      <c r="AI109" s="6">
        <v>4251.0</v>
      </c>
      <c r="AJ109" s="1" t="s">
        <v>224</v>
      </c>
      <c r="AK109" s="1" t="s">
        <v>1402</v>
      </c>
      <c r="AL109" s="1" t="s">
        <v>1403</v>
      </c>
      <c r="AM109" s="11" t="str">
        <f>VLOOKUP(N109,Sheet3!$B$4:$C$10,2,1)</f>
        <v>51-60</v>
      </c>
      <c r="AN109" s="13" t="str">
        <f>VLOOKUP(Z109,Sheet3!$F$4:$G$10,2,1)</f>
        <v>21-30</v>
      </c>
      <c r="AO109" s="5" t="str">
        <f>VLOOKUP(AA109,Sheet3!$I$3:$J$16,2,1)</f>
        <v>100000-120000</v>
      </c>
      <c r="AP109" s="5" t="str">
        <f>VLOOKUP(AB109,Sheet3!$L$4:$M$14,2,1)</f>
        <v>5% - 10%</v>
      </c>
    </row>
    <row r="110">
      <c r="A110" s="6">
        <v>257927.0</v>
      </c>
      <c r="B110" s="1" t="s">
        <v>42</v>
      </c>
      <c r="C110" s="1" t="s">
        <v>1404</v>
      </c>
      <c r="D110" s="1" t="s">
        <v>186</v>
      </c>
      <c r="E110" s="1" t="s">
        <v>370</v>
      </c>
      <c r="F110" s="1" t="s">
        <v>46</v>
      </c>
      <c r="G110" s="1" t="s">
        <v>1405</v>
      </c>
      <c r="H110" s="1" t="s">
        <v>1395</v>
      </c>
      <c r="I110" s="1" t="s">
        <v>1406</v>
      </c>
      <c r="J110" s="1" t="s">
        <v>1407</v>
      </c>
      <c r="K110" s="1" t="s">
        <v>1408</v>
      </c>
      <c r="L110" s="7">
        <v>27740.0</v>
      </c>
      <c r="M110" s="8">
        <v>0.4281597222222222</v>
      </c>
      <c r="N110" s="6">
        <v>41.65</v>
      </c>
      <c r="O110" s="6">
        <v>43.0</v>
      </c>
      <c r="P110" s="14">
        <v>35799.0</v>
      </c>
      <c r="Q110" s="1" t="s">
        <v>96</v>
      </c>
      <c r="R110" s="1" t="s">
        <v>76</v>
      </c>
      <c r="S110" s="6">
        <v>1998.0</v>
      </c>
      <c r="T110" s="6">
        <v>1.0</v>
      </c>
      <c r="U110" s="1" t="s">
        <v>276</v>
      </c>
      <c r="V110" s="1" t="s">
        <v>277</v>
      </c>
      <c r="W110" s="6">
        <v>4.0</v>
      </c>
      <c r="X110" s="1" t="s">
        <v>534</v>
      </c>
      <c r="Y110" s="1" t="s">
        <v>535</v>
      </c>
      <c r="Z110" s="6">
        <v>19.58</v>
      </c>
      <c r="AA110" s="6">
        <v>128225.0</v>
      </c>
      <c r="AB110" s="10">
        <v>0.11</v>
      </c>
      <c r="AC110" s="1" t="s">
        <v>1409</v>
      </c>
      <c r="AD110" s="1" t="s">
        <v>1410</v>
      </c>
      <c r="AE110" s="1" t="s">
        <v>1411</v>
      </c>
      <c r="AF110" s="1" t="s">
        <v>1412</v>
      </c>
      <c r="AG110" s="1" t="s">
        <v>1411</v>
      </c>
      <c r="AH110" s="1" t="s">
        <v>1413</v>
      </c>
      <c r="AI110" s="6">
        <v>81076.0</v>
      </c>
      <c r="AJ110" s="1" t="s">
        <v>63</v>
      </c>
      <c r="AK110" s="1" t="s">
        <v>1414</v>
      </c>
      <c r="AL110" s="1" t="s">
        <v>1415</v>
      </c>
      <c r="AM110" s="11" t="str">
        <f>VLOOKUP(N110,Sheet3!$B$4:$C$10,2,1)</f>
        <v>41-50</v>
      </c>
      <c r="AN110" s="12" t="str">
        <f>VLOOKUP(Z110,Sheet3!$F$4:$G$10,2,1)</f>
        <v>11-20</v>
      </c>
      <c r="AO110" s="5" t="str">
        <f>VLOOKUP(AA110,Sheet3!$I$3:$J$16,2,1)</f>
        <v>120000-140000</v>
      </c>
      <c r="AP110" s="5" t="str">
        <f>VLOOKUP(AB110,Sheet3!$L$4:$M$14,2,1)</f>
        <v>11% - 15%</v>
      </c>
    </row>
    <row r="111">
      <c r="A111" s="6">
        <v>144114.0</v>
      </c>
      <c r="B111" s="1" t="s">
        <v>109</v>
      </c>
      <c r="C111" s="1" t="s">
        <v>1416</v>
      </c>
      <c r="D111" s="1" t="s">
        <v>554</v>
      </c>
      <c r="E111" s="1" t="s">
        <v>1417</v>
      </c>
      <c r="F111" s="1" t="s">
        <v>46</v>
      </c>
      <c r="G111" s="1" t="s">
        <v>1418</v>
      </c>
      <c r="H111" s="1" t="s">
        <v>1395</v>
      </c>
      <c r="I111" s="1" t="s">
        <v>1419</v>
      </c>
      <c r="J111" s="1" t="s">
        <v>1420</v>
      </c>
      <c r="K111" s="1" t="s">
        <v>1282</v>
      </c>
      <c r="L111" s="9">
        <v>29337.0</v>
      </c>
      <c r="M111" s="8">
        <v>0.573275462962963</v>
      </c>
      <c r="N111" s="6">
        <v>37.28</v>
      </c>
      <c r="O111" s="6">
        <v>60.0</v>
      </c>
      <c r="P111" s="14">
        <v>40577.0</v>
      </c>
      <c r="Q111" s="1" t="s">
        <v>96</v>
      </c>
      <c r="R111" s="1" t="s">
        <v>76</v>
      </c>
      <c r="S111" s="6">
        <v>2011.0</v>
      </c>
      <c r="T111" s="6">
        <v>2.0</v>
      </c>
      <c r="U111" s="1" t="s">
        <v>117</v>
      </c>
      <c r="V111" s="1" t="s">
        <v>118</v>
      </c>
      <c r="W111" s="6">
        <v>3.0</v>
      </c>
      <c r="X111" s="1" t="s">
        <v>150</v>
      </c>
      <c r="Y111" s="1" t="s">
        <v>151</v>
      </c>
      <c r="Z111" s="6">
        <v>6.48</v>
      </c>
      <c r="AA111" s="6">
        <v>41796.0</v>
      </c>
      <c r="AB111" s="10">
        <v>0.06</v>
      </c>
      <c r="AC111" s="1" t="s">
        <v>1421</v>
      </c>
      <c r="AD111" s="1" t="s">
        <v>1422</v>
      </c>
      <c r="AE111" s="1" t="s">
        <v>1423</v>
      </c>
      <c r="AF111" s="1" t="s">
        <v>1424</v>
      </c>
      <c r="AG111" s="1" t="s">
        <v>1423</v>
      </c>
      <c r="AH111" s="1" t="s">
        <v>210</v>
      </c>
      <c r="AI111" s="6">
        <v>62923.0</v>
      </c>
      <c r="AJ111" s="1" t="s">
        <v>86</v>
      </c>
      <c r="AK111" s="1" t="s">
        <v>1425</v>
      </c>
      <c r="AL111" s="1" t="s">
        <v>1426</v>
      </c>
      <c r="AM111" s="11" t="str">
        <f>VLOOKUP(N111,Sheet3!$B$4:$C$10,2,1)</f>
        <v>31-40</v>
      </c>
      <c r="AN111" s="12" t="str">
        <f>VLOOKUP(Z111,Sheet3!$F$4:$G$10,2,1)</f>
        <v>5-10</v>
      </c>
      <c r="AO111" s="5" t="str">
        <f>VLOOKUP(AA111,Sheet3!$I$3:$J$16,2,1)</f>
        <v>40000-60000</v>
      </c>
      <c r="AP111" s="5" t="str">
        <f>VLOOKUP(AB111,Sheet3!$L$4:$M$14,2,1)</f>
        <v>5% - 10%</v>
      </c>
    </row>
    <row r="112">
      <c r="A112" s="6">
        <v>262843.0</v>
      </c>
      <c r="B112" s="1" t="s">
        <v>66</v>
      </c>
      <c r="C112" s="1" t="s">
        <v>1427</v>
      </c>
      <c r="D112" s="1" t="s">
        <v>318</v>
      </c>
      <c r="E112" s="1" t="s">
        <v>1428</v>
      </c>
      <c r="F112" s="1" t="s">
        <v>70</v>
      </c>
      <c r="G112" s="1" t="s">
        <v>1429</v>
      </c>
      <c r="H112" s="1" t="s">
        <v>1395</v>
      </c>
      <c r="I112" s="1" t="s">
        <v>1430</v>
      </c>
      <c r="J112" s="1" t="s">
        <v>1431</v>
      </c>
      <c r="K112" s="1" t="s">
        <v>1432</v>
      </c>
      <c r="L112" s="14">
        <v>26761.0</v>
      </c>
      <c r="M112" s="8">
        <v>0.20122685185185185</v>
      </c>
      <c r="N112" s="6">
        <v>44.34</v>
      </c>
      <c r="O112" s="6">
        <v>61.0</v>
      </c>
      <c r="P112" s="9">
        <v>37555.0</v>
      </c>
      <c r="Q112" s="1" t="s">
        <v>52</v>
      </c>
      <c r="R112" s="1" t="s">
        <v>53</v>
      </c>
      <c r="S112" s="6">
        <v>2002.0</v>
      </c>
      <c r="T112" s="6">
        <v>10.0</v>
      </c>
      <c r="U112" s="1" t="s">
        <v>133</v>
      </c>
      <c r="V112" s="1" t="s">
        <v>134</v>
      </c>
      <c r="W112" s="6">
        <v>26.0</v>
      </c>
      <c r="X112" s="1" t="s">
        <v>56</v>
      </c>
      <c r="Y112" s="1" t="s">
        <v>57</v>
      </c>
      <c r="Z112" s="6">
        <v>14.76</v>
      </c>
      <c r="AA112" s="6">
        <v>175995.0</v>
      </c>
      <c r="AB112" s="10">
        <v>0.18</v>
      </c>
      <c r="AC112" s="1" t="s">
        <v>1433</v>
      </c>
      <c r="AD112" s="1" t="s">
        <v>1434</v>
      </c>
      <c r="AE112" s="1" t="s">
        <v>1435</v>
      </c>
      <c r="AF112" s="1" t="s">
        <v>1436</v>
      </c>
      <c r="AG112" s="1" t="s">
        <v>1435</v>
      </c>
      <c r="AH112" s="1" t="s">
        <v>223</v>
      </c>
      <c r="AI112" s="6">
        <v>15832.0</v>
      </c>
      <c r="AJ112" s="1" t="s">
        <v>224</v>
      </c>
      <c r="AK112" s="1" t="s">
        <v>1437</v>
      </c>
      <c r="AL112" s="1" t="s">
        <v>1438</v>
      </c>
      <c r="AM112" s="11" t="str">
        <f>VLOOKUP(N112,Sheet3!$B$4:$C$10,2,1)</f>
        <v>41-50</v>
      </c>
      <c r="AN112" s="12" t="str">
        <f>VLOOKUP(Z112,Sheet3!$F$4:$G$10,2,1)</f>
        <v>11-20</v>
      </c>
      <c r="AO112" s="5" t="str">
        <f>VLOOKUP(AA112,Sheet3!$I$3:$J$16,2,1)</f>
        <v>160000-180000</v>
      </c>
      <c r="AP112" s="5" t="str">
        <f>VLOOKUP(AB112,Sheet3!$L$4:$M$14,2,1)</f>
        <v>16% - 20%</v>
      </c>
    </row>
    <row r="113">
      <c r="A113" s="6">
        <v>963676.0</v>
      </c>
      <c r="B113" s="1" t="s">
        <v>66</v>
      </c>
      <c r="C113" s="1" t="s">
        <v>1439</v>
      </c>
      <c r="D113" s="1" t="s">
        <v>127</v>
      </c>
      <c r="E113" s="1" t="s">
        <v>1440</v>
      </c>
      <c r="F113" s="1" t="s">
        <v>70</v>
      </c>
      <c r="G113" s="1" t="s">
        <v>1441</v>
      </c>
      <c r="H113" s="1" t="s">
        <v>1395</v>
      </c>
      <c r="I113" s="1" t="s">
        <v>1442</v>
      </c>
      <c r="J113" s="1" t="s">
        <v>1443</v>
      </c>
      <c r="K113" s="1" t="s">
        <v>1444</v>
      </c>
      <c r="L113" s="9">
        <v>29036.0</v>
      </c>
      <c r="M113" s="8">
        <v>0.14935185185185185</v>
      </c>
      <c r="N113" s="6">
        <v>38.1</v>
      </c>
      <c r="O113" s="6">
        <v>62.0</v>
      </c>
      <c r="P113" s="14">
        <v>37592.0</v>
      </c>
      <c r="Q113" s="1" t="s">
        <v>52</v>
      </c>
      <c r="R113" s="1" t="s">
        <v>53</v>
      </c>
      <c r="S113" s="6">
        <v>2002.0</v>
      </c>
      <c r="T113" s="6">
        <v>12.0</v>
      </c>
      <c r="U113" s="1" t="s">
        <v>54</v>
      </c>
      <c r="V113" s="1" t="s">
        <v>55</v>
      </c>
      <c r="W113" s="6">
        <v>2.0</v>
      </c>
      <c r="X113" s="1" t="s">
        <v>99</v>
      </c>
      <c r="Y113" s="1" t="s">
        <v>100</v>
      </c>
      <c r="Z113" s="6">
        <v>14.66</v>
      </c>
      <c r="AA113" s="6">
        <v>58663.0</v>
      </c>
      <c r="AB113" s="10">
        <v>0.06</v>
      </c>
      <c r="AC113" s="1" t="s">
        <v>1445</v>
      </c>
      <c r="AD113" s="1" t="s">
        <v>1446</v>
      </c>
      <c r="AE113" s="1" t="s">
        <v>1447</v>
      </c>
      <c r="AF113" s="1" t="s">
        <v>1448</v>
      </c>
      <c r="AG113" s="1" t="s">
        <v>1447</v>
      </c>
      <c r="AH113" s="1" t="s">
        <v>252</v>
      </c>
      <c r="AI113" s="6">
        <v>97228.0</v>
      </c>
      <c r="AJ113" s="1" t="s">
        <v>63</v>
      </c>
      <c r="AK113" s="1" t="s">
        <v>1449</v>
      </c>
      <c r="AL113" s="1" t="s">
        <v>1450</v>
      </c>
      <c r="AM113" s="11" t="str">
        <f>VLOOKUP(N113,Sheet3!$B$4:$C$10,2,1)</f>
        <v>31-40</v>
      </c>
      <c r="AN113" s="12" t="str">
        <f>VLOOKUP(Z113,Sheet3!$F$4:$G$10,2,1)</f>
        <v>11-20</v>
      </c>
      <c r="AO113" s="5" t="str">
        <f>VLOOKUP(AA113,Sheet3!$I$3:$J$16,2,1)</f>
        <v>40000-60000</v>
      </c>
      <c r="AP113" s="5" t="str">
        <f>VLOOKUP(AB113,Sheet3!$L$4:$M$14,2,1)</f>
        <v>5% - 10%</v>
      </c>
    </row>
    <row r="114">
      <c r="A114" s="6">
        <v>745672.0</v>
      </c>
      <c r="B114" s="1" t="s">
        <v>255</v>
      </c>
      <c r="C114" s="1" t="s">
        <v>1451</v>
      </c>
      <c r="D114" s="1" t="s">
        <v>683</v>
      </c>
      <c r="E114" s="1" t="s">
        <v>1452</v>
      </c>
      <c r="F114" s="1" t="s">
        <v>70</v>
      </c>
      <c r="G114" s="1" t="s">
        <v>1453</v>
      </c>
      <c r="H114" s="1" t="s">
        <v>1395</v>
      </c>
      <c r="I114" s="1" t="s">
        <v>1454</v>
      </c>
      <c r="J114" s="1" t="s">
        <v>1455</v>
      </c>
      <c r="K114" s="1" t="s">
        <v>1456</v>
      </c>
      <c r="L114" s="9">
        <v>29513.0</v>
      </c>
      <c r="M114" s="8">
        <v>0.6647685185185185</v>
      </c>
      <c r="N114" s="6">
        <v>36.8</v>
      </c>
      <c r="O114" s="6">
        <v>60.0</v>
      </c>
      <c r="P114" s="9">
        <v>40566.0</v>
      </c>
      <c r="Q114" s="1" t="s">
        <v>96</v>
      </c>
      <c r="R114" s="1" t="s">
        <v>76</v>
      </c>
      <c r="S114" s="6">
        <v>2011.0</v>
      </c>
      <c r="T114" s="6">
        <v>1.0</v>
      </c>
      <c r="U114" s="1" t="s">
        <v>276</v>
      </c>
      <c r="V114" s="1" t="s">
        <v>277</v>
      </c>
      <c r="W114" s="6">
        <v>23.0</v>
      </c>
      <c r="X114" s="1" t="s">
        <v>534</v>
      </c>
      <c r="Y114" s="1" t="s">
        <v>535</v>
      </c>
      <c r="Z114" s="6">
        <v>6.52</v>
      </c>
      <c r="AA114" s="6">
        <v>144867.0</v>
      </c>
      <c r="AB114" s="10">
        <v>0.27</v>
      </c>
      <c r="AC114" s="1" t="s">
        <v>1457</v>
      </c>
      <c r="AD114" s="1" t="s">
        <v>1458</v>
      </c>
      <c r="AE114" s="1" t="s">
        <v>1459</v>
      </c>
      <c r="AF114" s="1" t="s">
        <v>1460</v>
      </c>
      <c r="AG114" s="1" t="s">
        <v>1459</v>
      </c>
      <c r="AH114" s="1" t="s">
        <v>156</v>
      </c>
      <c r="AI114" s="6">
        <v>23409.0</v>
      </c>
      <c r="AJ114" s="1" t="s">
        <v>106</v>
      </c>
      <c r="AK114" s="1" t="s">
        <v>1461</v>
      </c>
      <c r="AL114" s="1" t="s">
        <v>1462</v>
      </c>
      <c r="AM114" s="11" t="str">
        <f>VLOOKUP(N114,Sheet3!$B$4:$C$10,2,1)</f>
        <v>31-40</v>
      </c>
      <c r="AN114" s="12" t="str">
        <f>VLOOKUP(Z114,Sheet3!$F$4:$G$10,2,1)</f>
        <v>5-10</v>
      </c>
      <c r="AO114" s="5" t="str">
        <f>VLOOKUP(AA114,Sheet3!$I$3:$J$16,2,1)</f>
        <v>140000-160000</v>
      </c>
      <c r="AP114" s="5" t="str">
        <f>VLOOKUP(AB114,Sheet3!$L$4:$M$14,2,1)</f>
        <v>26% - 30%</v>
      </c>
    </row>
    <row r="115">
      <c r="A115" s="6">
        <v>135089.0</v>
      </c>
      <c r="B115" s="1" t="s">
        <v>227</v>
      </c>
      <c r="C115" s="1" t="s">
        <v>1463</v>
      </c>
      <c r="D115" s="1" t="s">
        <v>1300</v>
      </c>
      <c r="E115" s="1" t="s">
        <v>1464</v>
      </c>
      <c r="F115" s="1" t="s">
        <v>70</v>
      </c>
      <c r="G115" s="1" t="s">
        <v>1465</v>
      </c>
      <c r="H115" s="1" t="s">
        <v>1395</v>
      </c>
      <c r="I115" s="1" t="s">
        <v>1466</v>
      </c>
      <c r="J115" s="1" t="s">
        <v>1467</v>
      </c>
      <c r="K115" s="1" t="s">
        <v>1468</v>
      </c>
      <c r="L115" s="9">
        <v>31730.0</v>
      </c>
      <c r="M115" s="8">
        <v>0.8480092592592593</v>
      </c>
      <c r="N115" s="6">
        <v>30.72</v>
      </c>
      <c r="O115" s="6">
        <v>80.0</v>
      </c>
      <c r="P115" s="9">
        <v>40373.0</v>
      </c>
      <c r="Q115" s="1" t="s">
        <v>308</v>
      </c>
      <c r="R115" s="1" t="s">
        <v>53</v>
      </c>
      <c r="S115" s="6">
        <v>2010.0</v>
      </c>
      <c r="T115" s="6">
        <v>7.0</v>
      </c>
      <c r="U115" s="1" t="s">
        <v>366</v>
      </c>
      <c r="V115" s="1" t="s">
        <v>367</v>
      </c>
      <c r="W115" s="6">
        <v>14.0</v>
      </c>
      <c r="X115" s="1" t="s">
        <v>278</v>
      </c>
      <c r="Y115" s="1" t="s">
        <v>279</v>
      </c>
      <c r="Z115" s="6">
        <v>7.04</v>
      </c>
      <c r="AA115" s="6">
        <v>193629.0</v>
      </c>
      <c r="AB115" s="10">
        <v>0.09</v>
      </c>
      <c r="AC115" s="1" t="s">
        <v>1469</v>
      </c>
      <c r="AD115" s="1" t="s">
        <v>1470</v>
      </c>
      <c r="AE115" s="1" t="s">
        <v>137</v>
      </c>
      <c r="AF115" s="1" t="s">
        <v>138</v>
      </c>
      <c r="AG115" s="1" t="s">
        <v>137</v>
      </c>
      <c r="AH115" s="1" t="s">
        <v>139</v>
      </c>
      <c r="AI115" s="6">
        <v>99708.0</v>
      </c>
      <c r="AJ115" s="1" t="s">
        <v>63</v>
      </c>
      <c r="AK115" s="1" t="s">
        <v>1471</v>
      </c>
      <c r="AL115" s="1" t="s">
        <v>1472</v>
      </c>
      <c r="AM115" s="11" t="str">
        <f>VLOOKUP(N115,Sheet3!$B$4:$C$10,2,1)</f>
        <v>21-30</v>
      </c>
      <c r="AN115" s="12" t="str">
        <f>VLOOKUP(Z115,Sheet3!$F$4:$G$10,2,1)</f>
        <v>5-10</v>
      </c>
      <c r="AO115" s="5" t="str">
        <f>VLOOKUP(AA115,Sheet3!$I$3:$J$16,2,1)</f>
        <v>180000-200000</v>
      </c>
      <c r="AP115" s="5" t="str">
        <f>VLOOKUP(AB115,Sheet3!$L$4:$M$14,2,1)</f>
        <v>5% - 10%</v>
      </c>
    </row>
    <row r="116">
      <c r="A116" s="6">
        <v>593953.0</v>
      </c>
      <c r="B116" s="1" t="s">
        <v>89</v>
      </c>
      <c r="C116" s="1" t="s">
        <v>402</v>
      </c>
      <c r="D116" s="1" t="s">
        <v>683</v>
      </c>
      <c r="E116" s="1" t="s">
        <v>1473</v>
      </c>
      <c r="F116" s="1" t="s">
        <v>46</v>
      </c>
      <c r="G116" s="1" t="s">
        <v>1474</v>
      </c>
      <c r="H116" s="1" t="s">
        <v>1395</v>
      </c>
      <c r="I116" s="1" t="s">
        <v>1475</v>
      </c>
      <c r="J116" s="1" t="s">
        <v>1476</v>
      </c>
      <c r="K116" s="1" t="s">
        <v>1477</v>
      </c>
      <c r="L116" s="9">
        <v>25962.0</v>
      </c>
      <c r="M116" s="8">
        <v>0.9098148148148149</v>
      </c>
      <c r="N116" s="6">
        <v>46.53</v>
      </c>
      <c r="O116" s="6">
        <v>44.0</v>
      </c>
      <c r="P116" s="9">
        <v>34928.0</v>
      </c>
      <c r="Q116" s="1" t="s">
        <v>308</v>
      </c>
      <c r="R116" s="1" t="s">
        <v>53</v>
      </c>
      <c r="S116" s="6">
        <v>1995.0</v>
      </c>
      <c r="T116" s="6">
        <v>8.0</v>
      </c>
      <c r="U116" s="1" t="s">
        <v>433</v>
      </c>
      <c r="V116" s="1" t="s">
        <v>434</v>
      </c>
      <c r="W116" s="6">
        <v>17.0</v>
      </c>
      <c r="X116" s="1" t="s">
        <v>150</v>
      </c>
      <c r="Y116" s="1" t="s">
        <v>151</v>
      </c>
      <c r="Z116" s="6">
        <v>21.96</v>
      </c>
      <c r="AA116" s="6">
        <v>115223.0</v>
      </c>
      <c r="AB116" s="10">
        <v>0.3</v>
      </c>
      <c r="AC116" s="1" t="s">
        <v>1478</v>
      </c>
      <c r="AD116" s="1" t="s">
        <v>1479</v>
      </c>
      <c r="AE116" s="1" t="s">
        <v>1480</v>
      </c>
      <c r="AF116" s="1" t="s">
        <v>1481</v>
      </c>
      <c r="AG116" s="1" t="s">
        <v>1480</v>
      </c>
      <c r="AH116" s="1" t="s">
        <v>488</v>
      </c>
      <c r="AI116" s="6">
        <v>33543.0</v>
      </c>
      <c r="AJ116" s="1" t="s">
        <v>106</v>
      </c>
      <c r="AK116" s="1" t="s">
        <v>1482</v>
      </c>
      <c r="AL116" s="1" t="s">
        <v>1483</v>
      </c>
      <c r="AM116" s="11" t="str">
        <f>VLOOKUP(N116,Sheet3!$B$4:$C$10,2,1)</f>
        <v>41-50</v>
      </c>
      <c r="AN116" s="13" t="str">
        <f>VLOOKUP(Z116,Sheet3!$F$4:$G$10,2,1)</f>
        <v>21-30</v>
      </c>
      <c r="AO116" s="5" t="str">
        <f>VLOOKUP(AA116,Sheet3!$I$3:$J$16,2,1)</f>
        <v>100000-120000</v>
      </c>
      <c r="AP116" s="5" t="str">
        <f>VLOOKUP(AB116,Sheet3!$L$4:$M$14,2,1)</f>
        <v>26% - 30%</v>
      </c>
    </row>
    <row r="117">
      <c r="A117" s="6">
        <v>169348.0</v>
      </c>
      <c r="B117" s="1" t="s">
        <v>66</v>
      </c>
      <c r="C117" s="1" t="s">
        <v>1484</v>
      </c>
      <c r="D117" s="1" t="s">
        <v>861</v>
      </c>
      <c r="E117" s="1" t="s">
        <v>74</v>
      </c>
      <c r="F117" s="1" t="s">
        <v>70</v>
      </c>
      <c r="G117" s="1" t="s">
        <v>1485</v>
      </c>
      <c r="H117" s="1" t="s">
        <v>1395</v>
      </c>
      <c r="I117" s="1" t="s">
        <v>1486</v>
      </c>
      <c r="J117" s="1" t="s">
        <v>1487</v>
      </c>
      <c r="K117" s="1" t="s">
        <v>1488</v>
      </c>
      <c r="L117" s="9">
        <v>34316.0</v>
      </c>
      <c r="M117" s="8">
        <v>0.4630208333333333</v>
      </c>
      <c r="N117" s="6">
        <v>23.64</v>
      </c>
      <c r="O117" s="6">
        <v>82.0</v>
      </c>
      <c r="P117" s="14">
        <v>42430.0</v>
      </c>
      <c r="Q117" s="1" t="s">
        <v>96</v>
      </c>
      <c r="R117" s="1" t="s">
        <v>76</v>
      </c>
      <c r="S117" s="6">
        <v>2016.0</v>
      </c>
      <c r="T117" s="6">
        <v>3.0</v>
      </c>
      <c r="U117" s="1" t="s">
        <v>97</v>
      </c>
      <c r="V117" s="1" t="s">
        <v>98</v>
      </c>
      <c r="W117" s="6">
        <v>1.0</v>
      </c>
      <c r="X117" s="1" t="s">
        <v>79</v>
      </c>
      <c r="Y117" s="1" t="s">
        <v>80</v>
      </c>
      <c r="Z117" s="6">
        <v>1.41</v>
      </c>
      <c r="AA117" s="6">
        <v>56797.0</v>
      </c>
      <c r="AB117" s="10">
        <v>0.14</v>
      </c>
      <c r="AC117" s="1" t="s">
        <v>1489</v>
      </c>
      <c r="AD117" s="1" t="s">
        <v>1490</v>
      </c>
      <c r="AE117" s="1" t="s">
        <v>1491</v>
      </c>
      <c r="AF117" s="1" t="s">
        <v>1492</v>
      </c>
      <c r="AG117" s="1" t="s">
        <v>1491</v>
      </c>
      <c r="AH117" s="1" t="s">
        <v>488</v>
      </c>
      <c r="AI117" s="6">
        <v>34229.0</v>
      </c>
      <c r="AJ117" s="1" t="s">
        <v>106</v>
      </c>
      <c r="AK117" s="1" t="s">
        <v>1493</v>
      </c>
      <c r="AL117" s="1" t="s">
        <v>1494</v>
      </c>
      <c r="AM117" s="11" t="str">
        <f>VLOOKUP(N117,Sheet3!$B$4:$C$10,2,1)</f>
        <v>21-30</v>
      </c>
      <c r="AN117" s="13" t="str">
        <f>VLOOKUP(Z117,Sheet3!$F$4:$G$10,2,1)</f>
        <v>&lt; 5</v>
      </c>
      <c r="AO117" s="5" t="str">
        <f>VLOOKUP(AA117,Sheet3!$I$3:$J$16,2,1)</f>
        <v>40000-60000</v>
      </c>
      <c r="AP117" s="5" t="str">
        <f>VLOOKUP(AB117,Sheet3!$L$4:$M$14,2,1)</f>
        <v>11% - 15%</v>
      </c>
    </row>
    <row r="118">
      <c r="A118" s="6">
        <v>976096.0</v>
      </c>
      <c r="B118" s="1" t="s">
        <v>66</v>
      </c>
      <c r="C118" s="1" t="s">
        <v>1495</v>
      </c>
      <c r="D118" s="1" t="s">
        <v>288</v>
      </c>
      <c r="E118" s="1" t="s">
        <v>1496</v>
      </c>
      <c r="F118" s="1" t="s">
        <v>70</v>
      </c>
      <c r="G118" s="1" t="s">
        <v>1497</v>
      </c>
      <c r="H118" s="1" t="s">
        <v>1395</v>
      </c>
      <c r="I118" s="1" t="s">
        <v>1498</v>
      </c>
      <c r="J118" s="1" t="s">
        <v>1499</v>
      </c>
      <c r="K118" s="1" t="s">
        <v>1500</v>
      </c>
      <c r="L118" s="9">
        <v>32672.0</v>
      </c>
      <c r="M118" s="8">
        <v>0.7908912037037037</v>
      </c>
      <c r="N118" s="6">
        <v>28.14</v>
      </c>
      <c r="O118" s="6">
        <v>58.0</v>
      </c>
      <c r="P118" s="9">
        <v>42543.0</v>
      </c>
      <c r="Q118" s="1" t="s">
        <v>75</v>
      </c>
      <c r="R118" s="1" t="s">
        <v>76</v>
      </c>
      <c r="S118" s="6">
        <v>2016.0</v>
      </c>
      <c r="T118" s="6">
        <v>6.0</v>
      </c>
      <c r="U118" s="1" t="s">
        <v>324</v>
      </c>
      <c r="V118" s="1" t="s">
        <v>325</v>
      </c>
      <c r="W118" s="6">
        <v>22.0</v>
      </c>
      <c r="X118" s="1" t="s">
        <v>278</v>
      </c>
      <c r="Y118" s="1" t="s">
        <v>279</v>
      </c>
      <c r="Z118" s="6">
        <v>1.1</v>
      </c>
      <c r="AA118" s="6">
        <v>103003.0</v>
      </c>
      <c r="AB118" s="10">
        <v>0.3</v>
      </c>
      <c r="AC118" s="1" t="s">
        <v>1501</v>
      </c>
      <c r="AD118" s="1" t="s">
        <v>1502</v>
      </c>
      <c r="AE118" s="1" t="s">
        <v>1503</v>
      </c>
      <c r="AF118" s="1" t="s">
        <v>1504</v>
      </c>
      <c r="AG118" s="1" t="s">
        <v>1503</v>
      </c>
      <c r="AH118" s="1" t="s">
        <v>1505</v>
      </c>
      <c r="AI118" s="6">
        <v>56376.0</v>
      </c>
      <c r="AJ118" s="1" t="s">
        <v>86</v>
      </c>
      <c r="AK118" s="1" t="s">
        <v>1506</v>
      </c>
      <c r="AL118" s="1" t="s">
        <v>1507</v>
      </c>
      <c r="AM118" s="11" t="str">
        <f>VLOOKUP(N118,Sheet3!$B$4:$C$10,2,1)</f>
        <v>21-30</v>
      </c>
      <c r="AN118" s="13" t="str">
        <f>VLOOKUP(Z118,Sheet3!$F$4:$G$10,2,1)</f>
        <v>&lt; 5</v>
      </c>
      <c r="AO118" s="5" t="str">
        <f>VLOOKUP(AA118,Sheet3!$I$3:$J$16,2,1)</f>
        <v>100000-120000</v>
      </c>
      <c r="AP118" s="5" t="str">
        <f>VLOOKUP(AB118,Sheet3!$L$4:$M$14,2,1)</f>
        <v>26% - 30%</v>
      </c>
    </row>
    <row r="119">
      <c r="A119" s="6">
        <v>790389.0</v>
      </c>
      <c r="B119" s="1" t="s">
        <v>42</v>
      </c>
      <c r="C119" s="1" t="s">
        <v>1508</v>
      </c>
      <c r="D119" s="1" t="s">
        <v>44</v>
      </c>
      <c r="E119" s="1" t="s">
        <v>1509</v>
      </c>
      <c r="F119" s="1" t="s">
        <v>46</v>
      </c>
      <c r="G119" s="1" t="s">
        <v>1510</v>
      </c>
      <c r="H119" s="1" t="s">
        <v>1395</v>
      </c>
      <c r="I119" s="1" t="s">
        <v>1511</v>
      </c>
      <c r="J119" s="1" t="s">
        <v>1512</v>
      </c>
      <c r="K119" s="1" t="s">
        <v>1513</v>
      </c>
      <c r="L119" s="9">
        <v>31036.0</v>
      </c>
      <c r="M119" s="8">
        <v>0.7159027777777778</v>
      </c>
      <c r="N119" s="6">
        <v>32.62</v>
      </c>
      <c r="O119" s="6">
        <v>43.0</v>
      </c>
      <c r="P119" s="9">
        <v>41844.0</v>
      </c>
      <c r="Q119" s="1" t="s">
        <v>308</v>
      </c>
      <c r="R119" s="1" t="s">
        <v>53</v>
      </c>
      <c r="S119" s="6">
        <v>2014.0</v>
      </c>
      <c r="T119" s="6">
        <v>7.0</v>
      </c>
      <c r="U119" s="1" t="s">
        <v>366</v>
      </c>
      <c r="V119" s="1" t="s">
        <v>367</v>
      </c>
      <c r="W119" s="6">
        <v>24.0</v>
      </c>
      <c r="X119" s="1" t="s">
        <v>150</v>
      </c>
      <c r="Y119" s="1" t="s">
        <v>151</v>
      </c>
      <c r="Z119" s="6">
        <v>3.01</v>
      </c>
      <c r="AA119" s="6">
        <v>181603.0</v>
      </c>
      <c r="AB119" s="10">
        <v>0.17</v>
      </c>
      <c r="AC119" s="1" t="s">
        <v>1514</v>
      </c>
      <c r="AD119" s="1" t="s">
        <v>1515</v>
      </c>
      <c r="AE119" s="1" t="s">
        <v>1516</v>
      </c>
      <c r="AF119" s="1" t="s">
        <v>1031</v>
      </c>
      <c r="AG119" s="1" t="s">
        <v>1516</v>
      </c>
      <c r="AH119" s="1" t="s">
        <v>372</v>
      </c>
      <c r="AI119" s="6">
        <v>68175.0</v>
      </c>
      <c r="AJ119" s="1" t="s">
        <v>86</v>
      </c>
      <c r="AK119" s="1" t="s">
        <v>1517</v>
      </c>
      <c r="AL119" s="1" t="s">
        <v>1518</v>
      </c>
      <c r="AM119" s="11" t="str">
        <f>VLOOKUP(N119,Sheet3!$B$4:$C$10,2,1)</f>
        <v>31-40</v>
      </c>
      <c r="AN119" s="13" t="str">
        <f>VLOOKUP(Z119,Sheet3!$F$4:$G$10,2,1)</f>
        <v>&lt; 5</v>
      </c>
      <c r="AO119" s="5" t="str">
        <f>VLOOKUP(AA119,Sheet3!$I$3:$J$16,2,1)</f>
        <v>180000-200000</v>
      </c>
      <c r="AP119" s="5" t="str">
        <f>VLOOKUP(AB119,Sheet3!$L$4:$M$14,2,1)</f>
        <v>16% - 20%</v>
      </c>
    </row>
    <row r="120">
      <c r="A120" s="6">
        <v>143898.0</v>
      </c>
      <c r="B120" s="1" t="s">
        <v>66</v>
      </c>
      <c r="C120" s="1" t="s">
        <v>1519</v>
      </c>
      <c r="D120" s="1" t="s">
        <v>111</v>
      </c>
      <c r="E120" s="1" t="s">
        <v>1468</v>
      </c>
      <c r="F120" s="1" t="s">
        <v>70</v>
      </c>
      <c r="G120" s="1" t="s">
        <v>1520</v>
      </c>
      <c r="H120" s="1" t="s">
        <v>1395</v>
      </c>
      <c r="I120" s="1" t="s">
        <v>1521</v>
      </c>
      <c r="J120" s="1" t="s">
        <v>1522</v>
      </c>
      <c r="K120" s="1" t="s">
        <v>1523</v>
      </c>
      <c r="L120" s="14">
        <v>28069.0</v>
      </c>
      <c r="M120" s="8">
        <v>0.5629861111111111</v>
      </c>
      <c r="N120" s="6">
        <v>40.75</v>
      </c>
      <c r="O120" s="6">
        <v>82.0</v>
      </c>
      <c r="P120" s="9">
        <v>39810.0</v>
      </c>
      <c r="Q120" s="1" t="s">
        <v>52</v>
      </c>
      <c r="R120" s="1" t="s">
        <v>53</v>
      </c>
      <c r="S120" s="6">
        <v>2008.0</v>
      </c>
      <c r="T120" s="6">
        <v>12.0</v>
      </c>
      <c r="U120" s="1" t="s">
        <v>54</v>
      </c>
      <c r="V120" s="1" t="s">
        <v>55</v>
      </c>
      <c r="W120" s="6">
        <v>28.0</v>
      </c>
      <c r="X120" s="1" t="s">
        <v>534</v>
      </c>
      <c r="Y120" s="1" t="s">
        <v>535</v>
      </c>
      <c r="Z120" s="6">
        <v>8.59</v>
      </c>
      <c r="AA120" s="6">
        <v>124155.0</v>
      </c>
      <c r="AB120" s="10">
        <v>0.23</v>
      </c>
      <c r="AC120" s="1" t="s">
        <v>1524</v>
      </c>
      <c r="AD120" s="1" t="s">
        <v>1525</v>
      </c>
      <c r="AE120" s="1" t="s">
        <v>1526</v>
      </c>
      <c r="AF120" s="1" t="s">
        <v>1320</v>
      </c>
      <c r="AG120" s="1" t="s">
        <v>1526</v>
      </c>
      <c r="AH120" s="1" t="s">
        <v>1527</v>
      </c>
      <c r="AI120" s="6">
        <v>35651.0</v>
      </c>
      <c r="AJ120" s="1" t="s">
        <v>106</v>
      </c>
      <c r="AK120" s="1" t="s">
        <v>1528</v>
      </c>
      <c r="AL120" s="1" t="s">
        <v>1529</v>
      </c>
      <c r="AM120" s="11" t="str">
        <f>VLOOKUP(N120,Sheet3!$B$4:$C$10,2,1)</f>
        <v>31-40</v>
      </c>
      <c r="AN120" s="12" t="str">
        <f>VLOOKUP(Z120,Sheet3!$F$4:$G$10,2,1)</f>
        <v>5-10</v>
      </c>
      <c r="AO120" s="5" t="str">
        <f>VLOOKUP(AA120,Sheet3!$I$3:$J$16,2,1)</f>
        <v>120000-140000</v>
      </c>
      <c r="AP120" s="5" t="str">
        <f>VLOOKUP(AB120,Sheet3!$L$4:$M$14,2,1)</f>
        <v>21% - 25%</v>
      </c>
    </row>
    <row r="121">
      <c r="A121" s="6">
        <v>749765.0</v>
      </c>
      <c r="B121" s="1" t="s">
        <v>66</v>
      </c>
      <c r="C121" s="1" t="s">
        <v>1530</v>
      </c>
      <c r="D121" s="1" t="s">
        <v>416</v>
      </c>
      <c r="E121" s="1" t="s">
        <v>1531</v>
      </c>
      <c r="F121" s="1" t="s">
        <v>70</v>
      </c>
      <c r="G121" s="1" t="s">
        <v>1532</v>
      </c>
      <c r="H121" s="1" t="s">
        <v>1395</v>
      </c>
      <c r="I121" s="1" t="s">
        <v>1533</v>
      </c>
      <c r="J121" s="1" t="s">
        <v>1534</v>
      </c>
      <c r="K121" s="1" t="s">
        <v>1535</v>
      </c>
      <c r="L121" s="9">
        <v>28824.0</v>
      </c>
      <c r="M121" s="8">
        <v>0.8956712962962963</v>
      </c>
      <c r="N121" s="6">
        <v>38.68</v>
      </c>
      <c r="O121" s="6">
        <v>64.0</v>
      </c>
      <c r="P121" s="14">
        <v>39395.0</v>
      </c>
      <c r="Q121" s="1" t="s">
        <v>52</v>
      </c>
      <c r="R121" s="1" t="s">
        <v>53</v>
      </c>
      <c r="S121" s="6">
        <v>2007.0</v>
      </c>
      <c r="T121" s="6">
        <v>11.0</v>
      </c>
      <c r="U121" s="1" t="s">
        <v>148</v>
      </c>
      <c r="V121" s="1" t="s">
        <v>149</v>
      </c>
      <c r="W121" s="6">
        <v>9.0</v>
      </c>
      <c r="X121" s="1" t="s">
        <v>263</v>
      </c>
      <c r="Y121" s="1" t="s">
        <v>264</v>
      </c>
      <c r="Z121" s="6">
        <v>9.72</v>
      </c>
      <c r="AA121" s="6">
        <v>151448.0</v>
      </c>
      <c r="AB121" s="10">
        <v>0.19</v>
      </c>
      <c r="AC121" s="1" t="s">
        <v>1536</v>
      </c>
      <c r="AD121" s="1" t="s">
        <v>1537</v>
      </c>
      <c r="AE121" s="1" t="s">
        <v>1538</v>
      </c>
      <c r="AF121" s="1" t="s">
        <v>1539</v>
      </c>
      <c r="AG121" s="1" t="s">
        <v>1538</v>
      </c>
      <c r="AH121" s="1" t="s">
        <v>488</v>
      </c>
      <c r="AI121" s="6">
        <v>32813.0</v>
      </c>
      <c r="AJ121" s="1" t="s">
        <v>106</v>
      </c>
      <c r="AK121" s="1" t="s">
        <v>1540</v>
      </c>
      <c r="AL121" s="1" t="s">
        <v>1541</v>
      </c>
      <c r="AM121" s="11" t="str">
        <f>VLOOKUP(N121,Sheet3!$B$4:$C$10,2,1)</f>
        <v>31-40</v>
      </c>
      <c r="AN121" s="12" t="str">
        <f>VLOOKUP(Z121,Sheet3!$F$4:$G$10,2,1)</f>
        <v>5-10</v>
      </c>
      <c r="AO121" s="5" t="str">
        <f>VLOOKUP(AA121,Sheet3!$I$3:$J$16,2,1)</f>
        <v>140000-160000</v>
      </c>
      <c r="AP121" s="5" t="str">
        <f>VLOOKUP(AB121,Sheet3!$L$4:$M$14,2,1)</f>
        <v>16% - 20%</v>
      </c>
    </row>
    <row r="122">
      <c r="A122" s="6">
        <v>877422.0</v>
      </c>
      <c r="B122" s="1" t="s">
        <v>125</v>
      </c>
      <c r="C122" s="1" t="s">
        <v>1542</v>
      </c>
      <c r="D122" s="1" t="s">
        <v>861</v>
      </c>
      <c r="E122" s="1" t="s">
        <v>1543</v>
      </c>
      <c r="F122" s="1" t="s">
        <v>70</v>
      </c>
      <c r="G122" s="1" t="s">
        <v>1544</v>
      </c>
      <c r="H122" s="1" t="s">
        <v>1395</v>
      </c>
      <c r="I122" s="1" t="s">
        <v>1545</v>
      </c>
      <c r="J122" s="1" t="s">
        <v>1546</v>
      </c>
      <c r="K122" s="1" t="s">
        <v>243</v>
      </c>
      <c r="L122" s="14">
        <v>33638.0</v>
      </c>
      <c r="M122" s="8">
        <v>0.0013657407407407407</v>
      </c>
      <c r="N122" s="6">
        <v>25.5</v>
      </c>
      <c r="O122" s="6">
        <v>66.0</v>
      </c>
      <c r="P122" s="9">
        <v>41438.0</v>
      </c>
      <c r="Q122" s="1" t="s">
        <v>75</v>
      </c>
      <c r="R122" s="1" t="s">
        <v>76</v>
      </c>
      <c r="S122" s="6">
        <v>2013.0</v>
      </c>
      <c r="T122" s="6">
        <v>6.0</v>
      </c>
      <c r="U122" s="1" t="s">
        <v>324</v>
      </c>
      <c r="V122" s="1" t="s">
        <v>325</v>
      </c>
      <c r="W122" s="6">
        <v>13.0</v>
      </c>
      <c r="X122" s="1" t="s">
        <v>150</v>
      </c>
      <c r="Y122" s="1" t="s">
        <v>151</v>
      </c>
      <c r="Z122" s="6">
        <v>4.13</v>
      </c>
      <c r="AA122" s="6">
        <v>134715.0</v>
      </c>
      <c r="AB122" s="10">
        <v>0.08</v>
      </c>
      <c r="AC122" s="1" t="s">
        <v>1547</v>
      </c>
      <c r="AD122" s="1" t="s">
        <v>1548</v>
      </c>
      <c r="AE122" s="1" t="s">
        <v>1549</v>
      </c>
      <c r="AF122" s="1" t="s">
        <v>237</v>
      </c>
      <c r="AG122" s="1" t="s">
        <v>1549</v>
      </c>
      <c r="AH122" s="1" t="s">
        <v>238</v>
      </c>
      <c r="AI122" s="6">
        <v>91769.0</v>
      </c>
      <c r="AJ122" s="1" t="s">
        <v>63</v>
      </c>
      <c r="AK122" s="1" t="s">
        <v>1550</v>
      </c>
      <c r="AL122" s="1" t="s">
        <v>1551</v>
      </c>
      <c r="AM122" s="11" t="str">
        <f>VLOOKUP(N122,Sheet3!$B$4:$C$10,2,1)</f>
        <v>21-30</v>
      </c>
      <c r="AN122" s="13" t="str">
        <f>VLOOKUP(Z122,Sheet3!$F$4:$G$10,2,1)</f>
        <v>&lt; 5</v>
      </c>
      <c r="AO122" s="5" t="str">
        <f>VLOOKUP(AA122,Sheet3!$I$3:$J$16,2,1)</f>
        <v>120000-140000</v>
      </c>
      <c r="AP122" s="5" t="str">
        <f>VLOOKUP(AB122,Sheet3!$L$4:$M$14,2,1)</f>
        <v>5% - 10%</v>
      </c>
    </row>
    <row r="123">
      <c r="A123" s="6">
        <v>825343.0</v>
      </c>
      <c r="B123" s="1" t="s">
        <v>109</v>
      </c>
      <c r="C123" s="1" t="s">
        <v>1552</v>
      </c>
      <c r="D123" s="1" t="s">
        <v>683</v>
      </c>
      <c r="E123" s="1" t="s">
        <v>1074</v>
      </c>
      <c r="F123" s="1" t="s">
        <v>46</v>
      </c>
      <c r="G123" s="1" t="s">
        <v>1553</v>
      </c>
      <c r="H123" s="1" t="s">
        <v>1395</v>
      </c>
      <c r="I123" s="1" t="s">
        <v>1554</v>
      </c>
      <c r="J123" s="1" t="s">
        <v>1555</v>
      </c>
      <c r="K123" s="1" t="s">
        <v>1556</v>
      </c>
      <c r="L123" s="14">
        <v>23507.0</v>
      </c>
      <c r="M123" s="8">
        <v>0.48476851851851854</v>
      </c>
      <c r="N123" s="6">
        <v>53.25</v>
      </c>
      <c r="O123" s="6">
        <v>59.0</v>
      </c>
      <c r="P123" s="14">
        <v>34547.0</v>
      </c>
      <c r="Q123" s="1" t="s">
        <v>308</v>
      </c>
      <c r="R123" s="1" t="s">
        <v>53</v>
      </c>
      <c r="S123" s="6">
        <v>1994.0</v>
      </c>
      <c r="T123" s="6">
        <v>8.0</v>
      </c>
      <c r="U123" s="1" t="s">
        <v>433</v>
      </c>
      <c r="V123" s="1" t="s">
        <v>434</v>
      </c>
      <c r="W123" s="6">
        <v>1.0</v>
      </c>
      <c r="X123" s="1" t="s">
        <v>99</v>
      </c>
      <c r="Y123" s="1" t="s">
        <v>100</v>
      </c>
      <c r="Z123" s="6">
        <v>23.01</v>
      </c>
      <c r="AA123" s="6">
        <v>139476.0</v>
      </c>
      <c r="AB123" s="10">
        <v>0.17</v>
      </c>
      <c r="AC123" s="1" t="s">
        <v>1557</v>
      </c>
      <c r="AD123" s="1" t="s">
        <v>1558</v>
      </c>
      <c r="AE123" s="1" t="s">
        <v>1559</v>
      </c>
      <c r="AF123" s="1" t="s">
        <v>1560</v>
      </c>
      <c r="AG123" s="1" t="s">
        <v>1559</v>
      </c>
      <c r="AH123" s="1" t="s">
        <v>1561</v>
      </c>
      <c r="AI123" s="6">
        <v>54903.0</v>
      </c>
      <c r="AJ123" s="1" t="s">
        <v>86</v>
      </c>
      <c r="AK123" s="1" t="s">
        <v>1562</v>
      </c>
      <c r="AL123" s="1" t="s">
        <v>1563</v>
      </c>
      <c r="AM123" s="11" t="str">
        <f>VLOOKUP(N123,Sheet3!$B$4:$C$10,2,1)</f>
        <v>51-60</v>
      </c>
      <c r="AN123" s="13" t="str">
        <f>VLOOKUP(Z123,Sheet3!$F$4:$G$10,2,1)</f>
        <v>21-30</v>
      </c>
      <c r="AO123" s="5" t="str">
        <f>VLOOKUP(AA123,Sheet3!$I$3:$J$16,2,1)</f>
        <v>120000-140000</v>
      </c>
      <c r="AP123" s="5" t="str">
        <f>VLOOKUP(AB123,Sheet3!$L$4:$M$14,2,1)</f>
        <v>16% - 20%</v>
      </c>
    </row>
    <row r="124">
      <c r="A124" s="6">
        <v>155570.0</v>
      </c>
      <c r="B124" s="1" t="s">
        <v>66</v>
      </c>
      <c r="C124" s="1" t="s">
        <v>1564</v>
      </c>
      <c r="D124" s="1" t="s">
        <v>1300</v>
      </c>
      <c r="E124" s="1" t="s">
        <v>1565</v>
      </c>
      <c r="F124" s="1" t="s">
        <v>70</v>
      </c>
      <c r="G124" s="1" t="s">
        <v>1566</v>
      </c>
      <c r="H124" s="1" t="s">
        <v>1395</v>
      </c>
      <c r="I124" s="1" t="s">
        <v>1567</v>
      </c>
      <c r="J124" s="1" t="s">
        <v>1568</v>
      </c>
      <c r="K124" s="1" t="s">
        <v>1569</v>
      </c>
      <c r="L124" s="9">
        <v>27833.0</v>
      </c>
      <c r="M124" s="8">
        <v>0.24079861111111112</v>
      </c>
      <c r="N124" s="6">
        <v>41.4</v>
      </c>
      <c r="O124" s="6">
        <v>90.0</v>
      </c>
      <c r="P124" s="9">
        <v>37361.0</v>
      </c>
      <c r="Q124" s="1" t="s">
        <v>75</v>
      </c>
      <c r="R124" s="1" t="s">
        <v>76</v>
      </c>
      <c r="S124" s="6">
        <v>2002.0</v>
      </c>
      <c r="T124" s="6">
        <v>4.0</v>
      </c>
      <c r="U124" s="1" t="s">
        <v>77</v>
      </c>
      <c r="V124" s="1" t="s">
        <v>78</v>
      </c>
      <c r="W124" s="6">
        <v>15.0</v>
      </c>
      <c r="X124" s="1" t="s">
        <v>99</v>
      </c>
      <c r="Y124" s="1" t="s">
        <v>100</v>
      </c>
      <c r="Z124" s="6">
        <v>15.3</v>
      </c>
      <c r="AA124" s="6">
        <v>131510.0</v>
      </c>
      <c r="AB124" s="10">
        <v>0.13</v>
      </c>
      <c r="AC124" s="1" t="s">
        <v>1570</v>
      </c>
      <c r="AD124" s="1" t="s">
        <v>1571</v>
      </c>
      <c r="AE124" s="1" t="s">
        <v>1572</v>
      </c>
      <c r="AF124" s="1" t="s">
        <v>221</v>
      </c>
      <c r="AG124" s="1" t="s">
        <v>1572</v>
      </c>
      <c r="AH124" s="1" t="s">
        <v>169</v>
      </c>
      <c r="AI124" s="6">
        <v>77304.0</v>
      </c>
      <c r="AJ124" s="1" t="s">
        <v>106</v>
      </c>
      <c r="AK124" s="1" t="s">
        <v>1573</v>
      </c>
      <c r="AL124" s="1" t="s">
        <v>1574</v>
      </c>
      <c r="AM124" s="11" t="str">
        <f>VLOOKUP(N124,Sheet3!$B$4:$C$10,2,1)</f>
        <v>41-50</v>
      </c>
      <c r="AN124" s="12" t="str">
        <f>VLOOKUP(Z124,Sheet3!$F$4:$G$10,2,1)</f>
        <v>11-20</v>
      </c>
      <c r="AO124" s="5" t="str">
        <f>VLOOKUP(AA124,Sheet3!$I$3:$J$16,2,1)</f>
        <v>120000-140000</v>
      </c>
      <c r="AP124" s="5" t="str">
        <f>VLOOKUP(AB124,Sheet3!$L$4:$M$14,2,1)</f>
        <v>11% - 15%</v>
      </c>
    </row>
    <row r="125">
      <c r="A125" s="6">
        <v>587361.0</v>
      </c>
      <c r="B125" s="1" t="s">
        <v>125</v>
      </c>
      <c r="C125" s="1" t="s">
        <v>1214</v>
      </c>
      <c r="D125" s="1" t="s">
        <v>44</v>
      </c>
      <c r="E125" s="1" t="s">
        <v>1339</v>
      </c>
      <c r="F125" s="1" t="s">
        <v>46</v>
      </c>
      <c r="G125" s="1" t="s">
        <v>1575</v>
      </c>
      <c r="H125" s="1" t="s">
        <v>1395</v>
      </c>
      <c r="I125" s="1" t="s">
        <v>1576</v>
      </c>
      <c r="J125" s="1" t="s">
        <v>1577</v>
      </c>
      <c r="K125" s="1" t="s">
        <v>1578</v>
      </c>
      <c r="L125" s="9">
        <v>22270.0</v>
      </c>
      <c r="M125" s="8">
        <v>0.8652430555555556</v>
      </c>
      <c r="N125" s="6">
        <v>56.64</v>
      </c>
      <c r="O125" s="6">
        <v>46.0</v>
      </c>
      <c r="P125" s="9">
        <v>37072.0</v>
      </c>
      <c r="Q125" s="1" t="s">
        <v>75</v>
      </c>
      <c r="R125" s="1" t="s">
        <v>76</v>
      </c>
      <c r="S125" s="6">
        <v>2001.0</v>
      </c>
      <c r="T125" s="6">
        <v>6.0</v>
      </c>
      <c r="U125" s="1" t="s">
        <v>324</v>
      </c>
      <c r="V125" s="1" t="s">
        <v>325</v>
      </c>
      <c r="W125" s="6">
        <v>30.0</v>
      </c>
      <c r="X125" s="1" t="s">
        <v>56</v>
      </c>
      <c r="Y125" s="1" t="s">
        <v>57</v>
      </c>
      <c r="Z125" s="6">
        <v>16.09</v>
      </c>
      <c r="AA125" s="6">
        <v>46453.0</v>
      </c>
      <c r="AB125" s="10">
        <v>0.28</v>
      </c>
      <c r="AC125" s="1" t="s">
        <v>1579</v>
      </c>
      <c r="AD125" s="1" t="s">
        <v>1580</v>
      </c>
      <c r="AE125" s="1" t="s">
        <v>1581</v>
      </c>
      <c r="AF125" s="1" t="s">
        <v>1582</v>
      </c>
      <c r="AG125" s="1" t="s">
        <v>1581</v>
      </c>
      <c r="AH125" s="1" t="s">
        <v>488</v>
      </c>
      <c r="AI125" s="6">
        <v>32324.0</v>
      </c>
      <c r="AJ125" s="1" t="s">
        <v>106</v>
      </c>
      <c r="AK125" s="1" t="s">
        <v>1583</v>
      </c>
      <c r="AL125" s="1" t="s">
        <v>1584</v>
      </c>
      <c r="AM125" s="11" t="str">
        <f>VLOOKUP(N125,Sheet3!$B$4:$C$10,2,1)</f>
        <v>51-60</v>
      </c>
      <c r="AN125" s="12" t="str">
        <f>VLOOKUP(Z125,Sheet3!$F$4:$G$10,2,1)</f>
        <v>11-20</v>
      </c>
      <c r="AO125" s="5" t="str">
        <f>VLOOKUP(AA125,Sheet3!$I$3:$J$16,2,1)</f>
        <v>40000-60000</v>
      </c>
      <c r="AP125" s="5" t="str">
        <f>VLOOKUP(AB125,Sheet3!$L$4:$M$14,2,1)</f>
        <v>26% - 30%</v>
      </c>
    </row>
    <row r="126">
      <c r="A126" s="6">
        <v>191240.0</v>
      </c>
      <c r="B126" s="1" t="s">
        <v>66</v>
      </c>
      <c r="C126" s="1" t="s">
        <v>1585</v>
      </c>
      <c r="D126" s="1" t="s">
        <v>389</v>
      </c>
      <c r="E126" s="1" t="s">
        <v>1473</v>
      </c>
      <c r="F126" s="1" t="s">
        <v>70</v>
      </c>
      <c r="G126" s="1" t="s">
        <v>1586</v>
      </c>
      <c r="H126" s="1" t="s">
        <v>1395</v>
      </c>
      <c r="I126" s="1" t="s">
        <v>1587</v>
      </c>
      <c r="J126" s="1" t="s">
        <v>1588</v>
      </c>
      <c r="K126" s="1" t="s">
        <v>1589</v>
      </c>
      <c r="L126" s="9">
        <v>34392.0</v>
      </c>
      <c r="M126" s="8">
        <v>0.06453703703703703</v>
      </c>
      <c r="N126" s="6">
        <v>23.43</v>
      </c>
      <c r="O126" s="6">
        <v>68.0</v>
      </c>
      <c r="P126" s="9">
        <v>42393.0</v>
      </c>
      <c r="Q126" s="1" t="s">
        <v>96</v>
      </c>
      <c r="R126" s="1" t="s">
        <v>76</v>
      </c>
      <c r="S126" s="6">
        <v>2016.0</v>
      </c>
      <c r="T126" s="6">
        <v>1.0</v>
      </c>
      <c r="U126" s="1" t="s">
        <v>276</v>
      </c>
      <c r="V126" s="1" t="s">
        <v>277</v>
      </c>
      <c r="W126" s="6">
        <v>24.0</v>
      </c>
      <c r="X126" s="1" t="s">
        <v>534</v>
      </c>
      <c r="Y126" s="1" t="s">
        <v>535</v>
      </c>
      <c r="Z126" s="6">
        <v>1.51</v>
      </c>
      <c r="AA126" s="6">
        <v>98487.0</v>
      </c>
      <c r="AB126" s="10">
        <v>0.21</v>
      </c>
      <c r="AC126" s="1" t="s">
        <v>1590</v>
      </c>
      <c r="AD126" s="1" t="s">
        <v>1591</v>
      </c>
      <c r="AE126" s="1" t="s">
        <v>1592</v>
      </c>
      <c r="AF126" s="1" t="s">
        <v>1593</v>
      </c>
      <c r="AG126" s="1" t="s">
        <v>1592</v>
      </c>
      <c r="AH126" s="1" t="s">
        <v>105</v>
      </c>
      <c r="AI126" s="6">
        <v>41535.0</v>
      </c>
      <c r="AJ126" s="1" t="s">
        <v>106</v>
      </c>
      <c r="AK126" s="1" t="s">
        <v>1594</v>
      </c>
      <c r="AL126" s="1" t="s">
        <v>1595</v>
      </c>
      <c r="AM126" s="11" t="str">
        <f>VLOOKUP(N126,Sheet3!$B$4:$C$10,2,1)</f>
        <v>21-30</v>
      </c>
      <c r="AN126" s="13" t="str">
        <f>VLOOKUP(Z126,Sheet3!$F$4:$G$10,2,1)</f>
        <v>&lt; 5</v>
      </c>
      <c r="AO126" s="5" t="str">
        <f>VLOOKUP(AA126,Sheet3!$I$3:$J$16,2,1)</f>
        <v>80000-100000</v>
      </c>
      <c r="AP126" s="5" t="str">
        <f>VLOOKUP(AB126,Sheet3!$L$4:$M$14,2,1)</f>
        <v>21% - 25%</v>
      </c>
    </row>
    <row r="127">
      <c r="A127" s="6">
        <v>404070.0</v>
      </c>
      <c r="B127" s="1" t="s">
        <v>227</v>
      </c>
      <c r="C127" s="1" t="s">
        <v>1596</v>
      </c>
      <c r="D127" s="1" t="s">
        <v>186</v>
      </c>
      <c r="E127" s="1" t="s">
        <v>583</v>
      </c>
      <c r="F127" s="1" t="s">
        <v>70</v>
      </c>
      <c r="G127" s="1" t="s">
        <v>1597</v>
      </c>
      <c r="H127" s="1" t="s">
        <v>1395</v>
      </c>
      <c r="I127" s="1" t="s">
        <v>1598</v>
      </c>
      <c r="J127" s="1" t="s">
        <v>1599</v>
      </c>
      <c r="K127" s="1" t="s">
        <v>1600</v>
      </c>
      <c r="L127" s="14">
        <v>26974.0</v>
      </c>
      <c r="M127" s="8">
        <v>0.7501273148148148</v>
      </c>
      <c r="N127" s="6">
        <v>43.75</v>
      </c>
      <c r="O127" s="6">
        <v>50.0</v>
      </c>
      <c r="P127" s="14">
        <v>40090.0</v>
      </c>
      <c r="Q127" s="1" t="s">
        <v>52</v>
      </c>
      <c r="R127" s="1" t="s">
        <v>53</v>
      </c>
      <c r="S127" s="6">
        <v>2009.0</v>
      </c>
      <c r="T127" s="6">
        <v>10.0</v>
      </c>
      <c r="U127" s="1" t="s">
        <v>133</v>
      </c>
      <c r="V127" s="1" t="s">
        <v>134</v>
      </c>
      <c r="W127" s="6">
        <v>4.0</v>
      </c>
      <c r="X127" s="1" t="s">
        <v>534</v>
      </c>
      <c r="Y127" s="1" t="s">
        <v>535</v>
      </c>
      <c r="Z127" s="6">
        <v>7.82</v>
      </c>
      <c r="AA127" s="6">
        <v>61791.0</v>
      </c>
      <c r="AB127" s="10">
        <v>0.24</v>
      </c>
      <c r="AC127" s="1" t="s">
        <v>1601</v>
      </c>
      <c r="AD127" s="1" t="s">
        <v>1602</v>
      </c>
      <c r="AE127" s="1" t="s">
        <v>1603</v>
      </c>
      <c r="AF127" s="1" t="s">
        <v>1604</v>
      </c>
      <c r="AG127" s="1" t="s">
        <v>1603</v>
      </c>
      <c r="AH127" s="1" t="s">
        <v>1605</v>
      </c>
      <c r="AI127" s="6">
        <v>58552.0</v>
      </c>
      <c r="AJ127" s="1" t="s">
        <v>86</v>
      </c>
      <c r="AK127" s="1" t="s">
        <v>1606</v>
      </c>
      <c r="AL127" s="1" t="s">
        <v>1607</v>
      </c>
      <c r="AM127" s="11" t="str">
        <f>VLOOKUP(N127,Sheet3!$B$4:$C$10,2,1)</f>
        <v>41-50</v>
      </c>
      <c r="AN127" s="12" t="str">
        <f>VLOOKUP(Z127,Sheet3!$F$4:$G$10,2,1)</f>
        <v>5-10</v>
      </c>
      <c r="AO127" s="5" t="str">
        <f>VLOOKUP(AA127,Sheet3!$I$3:$J$16,2,1)</f>
        <v>60000-80000</v>
      </c>
      <c r="AP127" s="5" t="str">
        <f>VLOOKUP(AB127,Sheet3!$L$4:$M$14,2,1)</f>
        <v>21% - 25%</v>
      </c>
    </row>
    <row r="128">
      <c r="A128" s="6">
        <v>192175.0</v>
      </c>
      <c r="B128" s="1" t="s">
        <v>255</v>
      </c>
      <c r="C128" s="1" t="s">
        <v>1608</v>
      </c>
      <c r="D128" s="1" t="s">
        <v>186</v>
      </c>
      <c r="E128" s="1" t="s">
        <v>1609</v>
      </c>
      <c r="F128" s="1" t="s">
        <v>70</v>
      </c>
      <c r="G128" s="1" t="s">
        <v>1610</v>
      </c>
      <c r="H128" s="1" t="s">
        <v>1395</v>
      </c>
      <c r="I128" s="1" t="s">
        <v>1611</v>
      </c>
      <c r="J128" s="1" t="s">
        <v>1612</v>
      </c>
      <c r="K128" s="1" t="s">
        <v>351</v>
      </c>
      <c r="L128" s="9">
        <v>29128.0</v>
      </c>
      <c r="M128" s="8">
        <v>0.8647222222222222</v>
      </c>
      <c r="N128" s="6">
        <v>37.85</v>
      </c>
      <c r="O128" s="6">
        <v>54.0</v>
      </c>
      <c r="P128" s="14">
        <v>42196.0</v>
      </c>
      <c r="Q128" s="1" t="s">
        <v>308</v>
      </c>
      <c r="R128" s="1" t="s">
        <v>53</v>
      </c>
      <c r="S128" s="6">
        <v>2015.0</v>
      </c>
      <c r="T128" s="6">
        <v>7.0</v>
      </c>
      <c r="U128" s="1" t="s">
        <v>366</v>
      </c>
      <c r="V128" s="1" t="s">
        <v>367</v>
      </c>
      <c r="W128" s="6">
        <v>11.0</v>
      </c>
      <c r="X128" s="1" t="s">
        <v>56</v>
      </c>
      <c r="Y128" s="1" t="s">
        <v>57</v>
      </c>
      <c r="Z128" s="6">
        <v>2.05</v>
      </c>
      <c r="AA128" s="6">
        <v>163665.0</v>
      </c>
      <c r="AB128" s="10">
        <v>0.14</v>
      </c>
      <c r="AC128" s="1" t="s">
        <v>1613</v>
      </c>
      <c r="AD128" s="1" t="s">
        <v>1614</v>
      </c>
      <c r="AE128" s="1" t="s">
        <v>1615</v>
      </c>
      <c r="AF128" s="1" t="s">
        <v>1616</v>
      </c>
      <c r="AG128" s="1" t="s">
        <v>1615</v>
      </c>
      <c r="AH128" s="1" t="s">
        <v>85</v>
      </c>
      <c r="AI128" s="6">
        <v>48768.0</v>
      </c>
      <c r="AJ128" s="1" t="s">
        <v>86</v>
      </c>
      <c r="AK128" s="1" t="s">
        <v>1617</v>
      </c>
      <c r="AL128" s="1" t="s">
        <v>1618</v>
      </c>
      <c r="AM128" s="11" t="str">
        <f>VLOOKUP(N128,Sheet3!$B$4:$C$10,2,1)</f>
        <v>31-40</v>
      </c>
      <c r="AN128" s="13" t="str">
        <f>VLOOKUP(Z128,Sheet3!$F$4:$G$10,2,1)</f>
        <v>&lt; 5</v>
      </c>
      <c r="AO128" s="5" t="str">
        <f>VLOOKUP(AA128,Sheet3!$I$3:$J$16,2,1)</f>
        <v>160000-180000</v>
      </c>
      <c r="AP128" s="5" t="str">
        <f>VLOOKUP(AB128,Sheet3!$L$4:$M$14,2,1)</f>
        <v>11% - 15%</v>
      </c>
    </row>
    <row r="129">
      <c r="A129" s="6">
        <v>825853.0</v>
      </c>
      <c r="B129" s="1" t="s">
        <v>125</v>
      </c>
      <c r="C129" s="1" t="s">
        <v>1265</v>
      </c>
      <c r="D129" s="1" t="s">
        <v>242</v>
      </c>
      <c r="E129" s="1" t="s">
        <v>1374</v>
      </c>
      <c r="F129" s="1" t="s">
        <v>70</v>
      </c>
      <c r="G129" s="1" t="s">
        <v>1619</v>
      </c>
      <c r="H129" s="1" t="s">
        <v>1395</v>
      </c>
      <c r="I129" s="1" t="s">
        <v>1620</v>
      </c>
      <c r="J129" s="1" t="s">
        <v>1621</v>
      </c>
      <c r="K129" s="1" t="s">
        <v>1622</v>
      </c>
      <c r="L129" s="9">
        <v>35265.0</v>
      </c>
      <c r="M129" s="8">
        <v>0.21898148148148147</v>
      </c>
      <c r="N129" s="6">
        <v>21.04</v>
      </c>
      <c r="O129" s="6">
        <v>60.0</v>
      </c>
      <c r="P129" s="9">
        <v>42943.0</v>
      </c>
      <c r="Q129" s="1" t="s">
        <v>308</v>
      </c>
      <c r="R129" s="1" t="s">
        <v>53</v>
      </c>
      <c r="S129" s="6">
        <v>2017.0</v>
      </c>
      <c r="T129" s="6">
        <v>7.0</v>
      </c>
      <c r="U129" s="1" t="s">
        <v>366</v>
      </c>
      <c r="V129" s="1" t="s">
        <v>367</v>
      </c>
      <c r="W129" s="6">
        <v>27.0</v>
      </c>
      <c r="X129" s="1" t="s">
        <v>150</v>
      </c>
      <c r="Y129" s="1" t="s">
        <v>151</v>
      </c>
      <c r="Z129" s="6">
        <v>0.0</v>
      </c>
      <c r="AA129" s="6">
        <v>112683.0</v>
      </c>
      <c r="AB129" s="10">
        <v>0.26</v>
      </c>
      <c r="AC129" s="1" t="s">
        <v>1623</v>
      </c>
      <c r="AD129" s="1" t="s">
        <v>1624</v>
      </c>
      <c r="AE129" s="1" t="s">
        <v>1625</v>
      </c>
      <c r="AF129" s="1" t="s">
        <v>61</v>
      </c>
      <c r="AG129" s="1" t="s">
        <v>1625</v>
      </c>
      <c r="AH129" s="1" t="s">
        <v>385</v>
      </c>
      <c r="AI129" s="6">
        <v>98663.0</v>
      </c>
      <c r="AJ129" s="1" t="s">
        <v>63</v>
      </c>
      <c r="AK129" s="1" t="s">
        <v>1626</v>
      </c>
      <c r="AL129" s="1" t="s">
        <v>1627</v>
      </c>
      <c r="AM129" s="11" t="str">
        <f>VLOOKUP(N129,Sheet3!$B$4:$C$10,2,1)</f>
        <v>21-30</v>
      </c>
      <c r="AN129" s="13" t="str">
        <f>VLOOKUP(Z129,Sheet3!$F$4:$G$10,2,1)</f>
        <v>&lt; 5</v>
      </c>
      <c r="AO129" s="5" t="str">
        <f>VLOOKUP(AA129,Sheet3!$I$3:$J$16,2,1)</f>
        <v>100000-120000</v>
      </c>
      <c r="AP129" s="5" t="str">
        <f>VLOOKUP(AB129,Sheet3!$L$4:$M$14,2,1)</f>
        <v>26% - 30%</v>
      </c>
    </row>
    <row r="130">
      <c r="A130" s="6">
        <v>430843.0</v>
      </c>
      <c r="B130" s="1" t="s">
        <v>42</v>
      </c>
      <c r="C130" s="1" t="s">
        <v>1628</v>
      </c>
      <c r="D130" s="1" t="s">
        <v>186</v>
      </c>
      <c r="E130" s="1" t="s">
        <v>1629</v>
      </c>
      <c r="F130" s="1" t="s">
        <v>46</v>
      </c>
      <c r="G130" s="1" t="s">
        <v>1630</v>
      </c>
      <c r="H130" s="1" t="s">
        <v>1395</v>
      </c>
      <c r="I130" s="1" t="s">
        <v>1631</v>
      </c>
      <c r="J130" s="1" t="s">
        <v>1632</v>
      </c>
      <c r="K130" s="1" t="s">
        <v>1633</v>
      </c>
      <c r="L130" s="9">
        <v>21123.0</v>
      </c>
      <c r="M130" s="8">
        <v>0.1792476851851852</v>
      </c>
      <c r="N130" s="6">
        <v>59.78</v>
      </c>
      <c r="O130" s="6">
        <v>45.0</v>
      </c>
      <c r="P130" s="9">
        <v>30863.0</v>
      </c>
      <c r="Q130" s="1" t="s">
        <v>75</v>
      </c>
      <c r="R130" s="1" t="s">
        <v>76</v>
      </c>
      <c r="S130" s="6">
        <v>1984.0</v>
      </c>
      <c r="T130" s="6">
        <v>6.0</v>
      </c>
      <c r="U130" s="1" t="s">
        <v>324</v>
      </c>
      <c r="V130" s="1" t="s">
        <v>325</v>
      </c>
      <c r="W130" s="6">
        <v>30.0</v>
      </c>
      <c r="X130" s="1" t="s">
        <v>56</v>
      </c>
      <c r="Y130" s="1" t="s">
        <v>57</v>
      </c>
      <c r="Z130" s="6">
        <v>33.1</v>
      </c>
      <c r="AA130" s="6">
        <v>91713.0</v>
      </c>
      <c r="AB130" s="10">
        <v>0.05</v>
      </c>
      <c r="AC130" s="1" t="s">
        <v>1634</v>
      </c>
      <c r="AD130" s="1" t="s">
        <v>1635</v>
      </c>
      <c r="AE130" s="1" t="s">
        <v>1636</v>
      </c>
      <c r="AF130" s="1" t="s">
        <v>1637</v>
      </c>
      <c r="AG130" s="1" t="s">
        <v>1636</v>
      </c>
      <c r="AH130" s="1" t="s">
        <v>1638</v>
      </c>
      <c r="AI130" s="6">
        <v>57014.0</v>
      </c>
      <c r="AJ130" s="1" t="s">
        <v>86</v>
      </c>
      <c r="AK130" s="1" t="s">
        <v>1639</v>
      </c>
      <c r="AL130" s="1" t="s">
        <v>1640</v>
      </c>
      <c r="AM130" s="11" t="str">
        <f>VLOOKUP(N130,Sheet3!$B$4:$C$10,2,1)</f>
        <v>51-60</v>
      </c>
      <c r="AN130" s="13" t="str">
        <f>VLOOKUP(Z130,Sheet3!$F$4:$G$10,2,1)</f>
        <v>31-40</v>
      </c>
      <c r="AO130" s="5" t="str">
        <f>VLOOKUP(AA130,Sheet3!$I$3:$J$16,2,1)</f>
        <v>80000-100000</v>
      </c>
      <c r="AP130" s="5" t="str">
        <f>VLOOKUP(AB130,Sheet3!$L$4:$M$14,2,1)</f>
        <v>5% - 10%</v>
      </c>
    </row>
    <row r="131">
      <c r="A131" s="6">
        <v>597805.0</v>
      </c>
      <c r="B131" s="1" t="s">
        <v>125</v>
      </c>
      <c r="C131" s="1" t="s">
        <v>1641</v>
      </c>
      <c r="D131" s="1" t="s">
        <v>443</v>
      </c>
      <c r="E131" s="1" t="s">
        <v>1642</v>
      </c>
      <c r="F131" s="1" t="s">
        <v>70</v>
      </c>
      <c r="G131" s="1" t="s">
        <v>1643</v>
      </c>
      <c r="H131" s="1" t="s">
        <v>1395</v>
      </c>
      <c r="I131" s="1" t="s">
        <v>1644</v>
      </c>
      <c r="J131" s="1" t="s">
        <v>1645</v>
      </c>
      <c r="K131" s="1" t="s">
        <v>982</v>
      </c>
      <c r="L131" s="9">
        <v>31016.0</v>
      </c>
      <c r="M131" s="8">
        <v>0.5559953703703704</v>
      </c>
      <c r="N131" s="6">
        <v>32.68</v>
      </c>
      <c r="O131" s="6">
        <v>71.0</v>
      </c>
      <c r="P131" s="14">
        <v>41006.0</v>
      </c>
      <c r="Q131" s="1" t="s">
        <v>75</v>
      </c>
      <c r="R131" s="1" t="s">
        <v>76</v>
      </c>
      <c r="S131" s="6">
        <v>2012.0</v>
      </c>
      <c r="T131" s="6">
        <v>4.0</v>
      </c>
      <c r="U131" s="1" t="s">
        <v>77</v>
      </c>
      <c r="V131" s="1" t="s">
        <v>78</v>
      </c>
      <c r="W131" s="6">
        <v>7.0</v>
      </c>
      <c r="X131" s="1" t="s">
        <v>56</v>
      </c>
      <c r="Y131" s="1" t="s">
        <v>57</v>
      </c>
      <c r="Z131" s="6">
        <v>5.31</v>
      </c>
      <c r="AA131" s="6">
        <v>186371.0</v>
      </c>
      <c r="AB131" s="10">
        <v>0.23</v>
      </c>
      <c r="AC131" s="1" t="s">
        <v>1646</v>
      </c>
      <c r="AD131" s="1" t="s">
        <v>1647</v>
      </c>
      <c r="AE131" s="1" t="s">
        <v>1648</v>
      </c>
      <c r="AF131" s="1" t="s">
        <v>1649</v>
      </c>
      <c r="AG131" s="1" t="s">
        <v>1648</v>
      </c>
      <c r="AH131" s="1" t="s">
        <v>356</v>
      </c>
      <c r="AI131" s="6">
        <v>14504.0</v>
      </c>
      <c r="AJ131" s="1" t="s">
        <v>224</v>
      </c>
      <c r="AK131" s="1" t="s">
        <v>1650</v>
      </c>
      <c r="AL131" s="1" t="s">
        <v>1651</v>
      </c>
      <c r="AM131" s="11" t="str">
        <f>VLOOKUP(N131,Sheet3!$B$4:$C$10,2,1)</f>
        <v>31-40</v>
      </c>
      <c r="AN131" s="12" t="str">
        <f>VLOOKUP(Z131,Sheet3!$F$4:$G$10,2,1)</f>
        <v>5-10</v>
      </c>
      <c r="AO131" s="5" t="str">
        <f>VLOOKUP(AA131,Sheet3!$I$3:$J$16,2,1)</f>
        <v>180000-200000</v>
      </c>
      <c r="AP131" s="5" t="str">
        <f>VLOOKUP(AB131,Sheet3!$L$4:$M$14,2,1)</f>
        <v>21% - 25%</v>
      </c>
    </row>
    <row r="132">
      <c r="A132" s="6">
        <v>651120.0</v>
      </c>
      <c r="B132" s="1" t="s">
        <v>66</v>
      </c>
      <c r="C132" s="1" t="s">
        <v>1652</v>
      </c>
      <c r="D132" s="1" t="s">
        <v>1300</v>
      </c>
      <c r="E132" s="1" t="s">
        <v>1509</v>
      </c>
      <c r="F132" s="1" t="s">
        <v>70</v>
      </c>
      <c r="G132" s="1" t="s">
        <v>1653</v>
      </c>
      <c r="H132" s="1" t="s">
        <v>1395</v>
      </c>
      <c r="I132" s="1" t="s">
        <v>1654</v>
      </c>
      <c r="J132" s="1" t="s">
        <v>1655</v>
      </c>
      <c r="K132" s="1" t="s">
        <v>1656</v>
      </c>
      <c r="L132" s="9">
        <v>23589.0</v>
      </c>
      <c r="M132" s="8">
        <v>0.018819444444444444</v>
      </c>
      <c r="N132" s="6">
        <v>53.03</v>
      </c>
      <c r="O132" s="6">
        <v>75.0</v>
      </c>
      <c r="P132" s="14">
        <v>39578.0</v>
      </c>
      <c r="Q132" s="1" t="s">
        <v>75</v>
      </c>
      <c r="R132" s="1" t="s">
        <v>76</v>
      </c>
      <c r="S132" s="6">
        <v>2008.0</v>
      </c>
      <c r="T132" s="6">
        <v>5.0</v>
      </c>
      <c r="U132" s="1" t="s">
        <v>294</v>
      </c>
      <c r="V132" s="1" t="s">
        <v>294</v>
      </c>
      <c r="W132" s="6">
        <v>10.0</v>
      </c>
      <c r="X132" s="1" t="s">
        <v>56</v>
      </c>
      <c r="Y132" s="1" t="s">
        <v>57</v>
      </c>
      <c r="Z132" s="6">
        <v>9.22</v>
      </c>
      <c r="AA132" s="6">
        <v>157154.0</v>
      </c>
      <c r="AB132" s="10">
        <v>0.14</v>
      </c>
      <c r="AC132" s="1" t="s">
        <v>1657</v>
      </c>
      <c r="AD132" s="1" t="s">
        <v>1658</v>
      </c>
      <c r="AE132" s="1" t="s">
        <v>1358</v>
      </c>
      <c r="AF132" s="1" t="s">
        <v>1659</v>
      </c>
      <c r="AG132" s="1" t="s">
        <v>1358</v>
      </c>
      <c r="AH132" s="1" t="s">
        <v>1505</v>
      </c>
      <c r="AI132" s="6">
        <v>55079.0</v>
      </c>
      <c r="AJ132" s="1" t="s">
        <v>86</v>
      </c>
      <c r="AK132" s="1" t="s">
        <v>1660</v>
      </c>
      <c r="AL132" s="1" t="s">
        <v>1661</v>
      </c>
      <c r="AM132" s="11" t="str">
        <f>VLOOKUP(N132,Sheet3!$B$4:$C$10,2,1)</f>
        <v>51-60</v>
      </c>
      <c r="AN132" s="12" t="str">
        <f>VLOOKUP(Z132,Sheet3!$F$4:$G$10,2,1)</f>
        <v>5-10</v>
      </c>
      <c r="AO132" s="5" t="str">
        <f>VLOOKUP(AA132,Sheet3!$I$3:$J$16,2,1)</f>
        <v>140000-160000</v>
      </c>
      <c r="AP132" s="5" t="str">
        <f>VLOOKUP(AB132,Sheet3!$L$4:$M$14,2,1)</f>
        <v>11% - 15%</v>
      </c>
    </row>
    <row r="133">
      <c r="A133" s="6">
        <v>995242.0</v>
      </c>
      <c r="B133" s="1" t="s">
        <v>66</v>
      </c>
      <c r="C133" s="1" t="s">
        <v>1662</v>
      </c>
      <c r="D133" s="1" t="s">
        <v>1663</v>
      </c>
      <c r="E133" s="1" t="s">
        <v>1664</v>
      </c>
      <c r="F133" s="1" t="s">
        <v>70</v>
      </c>
      <c r="G133" s="1" t="s">
        <v>1665</v>
      </c>
      <c r="H133" s="1" t="s">
        <v>1395</v>
      </c>
      <c r="I133" s="1" t="s">
        <v>1666</v>
      </c>
      <c r="J133" s="1" t="s">
        <v>1667</v>
      </c>
      <c r="K133" s="1" t="s">
        <v>1668</v>
      </c>
      <c r="L133" s="14">
        <v>35257.0</v>
      </c>
      <c r="M133" s="8">
        <v>0.16844907407407408</v>
      </c>
      <c r="N133" s="6">
        <v>21.06</v>
      </c>
      <c r="O133" s="6">
        <v>89.0</v>
      </c>
      <c r="P133" s="9">
        <v>42943.0</v>
      </c>
      <c r="Q133" s="1" t="s">
        <v>308</v>
      </c>
      <c r="R133" s="1" t="s">
        <v>53</v>
      </c>
      <c r="S133" s="6">
        <v>2017.0</v>
      </c>
      <c r="T133" s="6">
        <v>7.0</v>
      </c>
      <c r="U133" s="1" t="s">
        <v>366</v>
      </c>
      <c r="V133" s="1" t="s">
        <v>367</v>
      </c>
      <c r="W133" s="6">
        <v>27.0</v>
      </c>
      <c r="X133" s="1" t="s">
        <v>150</v>
      </c>
      <c r="Y133" s="1" t="s">
        <v>151</v>
      </c>
      <c r="Z133" s="6">
        <v>0.0</v>
      </c>
      <c r="AA133" s="6">
        <v>190537.0</v>
      </c>
      <c r="AB133" s="10">
        <v>0.09</v>
      </c>
      <c r="AC133" s="1" t="s">
        <v>1669</v>
      </c>
      <c r="AD133" s="1" t="s">
        <v>1670</v>
      </c>
      <c r="AE133" s="1" t="s">
        <v>1671</v>
      </c>
      <c r="AF133" s="1" t="s">
        <v>1672</v>
      </c>
      <c r="AG133" s="1" t="s">
        <v>1671</v>
      </c>
      <c r="AH133" s="1" t="s">
        <v>563</v>
      </c>
      <c r="AI133" s="6">
        <v>24846.0</v>
      </c>
      <c r="AJ133" s="1" t="s">
        <v>106</v>
      </c>
      <c r="AK133" s="1" t="s">
        <v>1673</v>
      </c>
      <c r="AL133" s="1" t="s">
        <v>1674</v>
      </c>
      <c r="AM133" s="11" t="str">
        <f>VLOOKUP(N133,Sheet3!$B$4:$C$10,2,1)</f>
        <v>21-30</v>
      </c>
      <c r="AN133" s="13" t="str">
        <f>VLOOKUP(Z133,Sheet3!$F$4:$G$10,2,1)</f>
        <v>&lt; 5</v>
      </c>
      <c r="AO133" s="5" t="str">
        <f>VLOOKUP(AA133,Sheet3!$I$3:$J$16,2,1)</f>
        <v>180000-200000</v>
      </c>
      <c r="AP133" s="5" t="str">
        <f>VLOOKUP(AB133,Sheet3!$L$4:$M$14,2,1)</f>
        <v>5% - 10%</v>
      </c>
    </row>
    <row r="134">
      <c r="A134" s="6">
        <v>839558.0</v>
      </c>
      <c r="B134" s="1" t="s">
        <v>66</v>
      </c>
      <c r="C134" s="1" t="s">
        <v>1675</v>
      </c>
      <c r="D134" s="1" t="s">
        <v>683</v>
      </c>
      <c r="E134" s="1" t="s">
        <v>1676</v>
      </c>
      <c r="F134" s="1" t="s">
        <v>70</v>
      </c>
      <c r="G134" s="1" t="s">
        <v>1677</v>
      </c>
      <c r="H134" s="1" t="s">
        <v>1395</v>
      </c>
      <c r="I134" s="1" t="s">
        <v>1678</v>
      </c>
      <c r="J134" s="1" t="s">
        <v>1679</v>
      </c>
      <c r="K134" s="1" t="s">
        <v>1233</v>
      </c>
      <c r="L134" s="14">
        <v>28286.0</v>
      </c>
      <c r="M134" s="8">
        <v>0.4353240740740741</v>
      </c>
      <c r="N134" s="6">
        <v>40.16</v>
      </c>
      <c r="O134" s="6">
        <v>87.0</v>
      </c>
      <c r="P134" s="9">
        <v>40313.0</v>
      </c>
      <c r="Q134" s="1" t="s">
        <v>75</v>
      </c>
      <c r="R134" s="1" t="s">
        <v>76</v>
      </c>
      <c r="S134" s="6">
        <v>2010.0</v>
      </c>
      <c r="T134" s="6">
        <v>5.0</v>
      </c>
      <c r="U134" s="1" t="s">
        <v>294</v>
      </c>
      <c r="V134" s="1" t="s">
        <v>294</v>
      </c>
      <c r="W134" s="6">
        <v>15.0</v>
      </c>
      <c r="X134" s="1" t="s">
        <v>56</v>
      </c>
      <c r="Y134" s="1" t="s">
        <v>57</v>
      </c>
      <c r="Z134" s="6">
        <v>7.21</v>
      </c>
      <c r="AA134" s="6">
        <v>43192.0</v>
      </c>
      <c r="AB134" s="10">
        <v>0.2</v>
      </c>
      <c r="AC134" s="1" t="s">
        <v>1680</v>
      </c>
      <c r="AD134" s="1" t="s">
        <v>1681</v>
      </c>
      <c r="AE134" s="1" t="s">
        <v>1682</v>
      </c>
      <c r="AF134" s="1" t="s">
        <v>649</v>
      </c>
      <c r="AG134" s="1" t="s">
        <v>1682</v>
      </c>
      <c r="AH134" s="1" t="s">
        <v>223</v>
      </c>
      <c r="AI134" s="6">
        <v>15778.0</v>
      </c>
      <c r="AJ134" s="1" t="s">
        <v>224</v>
      </c>
      <c r="AK134" s="1" t="s">
        <v>1683</v>
      </c>
      <c r="AL134" s="1" t="s">
        <v>1684</v>
      </c>
      <c r="AM134" s="11" t="str">
        <f>VLOOKUP(N134,Sheet3!$B$4:$C$10,2,1)</f>
        <v>31-40</v>
      </c>
      <c r="AN134" s="12" t="str">
        <f>VLOOKUP(Z134,Sheet3!$F$4:$G$10,2,1)</f>
        <v>5-10</v>
      </c>
      <c r="AO134" s="5" t="str">
        <f>VLOOKUP(AA134,Sheet3!$I$3:$J$16,2,1)</f>
        <v>40000-60000</v>
      </c>
      <c r="AP134" s="5" t="str">
        <f>VLOOKUP(AB134,Sheet3!$L$4:$M$14,2,1)</f>
        <v>16% - 20%</v>
      </c>
    </row>
    <row r="135">
      <c r="A135" s="6">
        <v>398788.0</v>
      </c>
      <c r="B135" s="1" t="s">
        <v>42</v>
      </c>
      <c r="C135" s="1" t="s">
        <v>1685</v>
      </c>
      <c r="D135" s="1" t="s">
        <v>403</v>
      </c>
      <c r="E135" s="1" t="s">
        <v>1686</v>
      </c>
      <c r="F135" s="1" t="s">
        <v>46</v>
      </c>
      <c r="G135" s="1" t="s">
        <v>1687</v>
      </c>
      <c r="H135" s="1" t="s">
        <v>1395</v>
      </c>
      <c r="I135" s="1" t="s">
        <v>1688</v>
      </c>
      <c r="J135" s="1" t="s">
        <v>1689</v>
      </c>
      <c r="K135" s="1" t="s">
        <v>1629</v>
      </c>
      <c r="L135" s="9">
        <v>32554.0</v>
      </c>
      <c r="M135" s="8">
        <v>0.7285995370370371</v>
      </c>
      <c r="N135" s="6">
        <v>28.47</v>
      </c>
      <c r="O135" s="6">
        <v>60.0</v>
      </c>
      <c r="P135" s="9">
        <v>40498.0</v>
      </c>
      <c r="Q135" s="1" t="s">
        <v>52</v>
      </c>
      <c r="R135" s="1" t="s">
        <v>53</v>
      </c>
      <c r="S135" s="6">
        <v>2010.0</v>
      </c>
      <c r="T135" s="6">
        <v>11.0</v>
      </c>
      <c r="U135" s="1" t="s">
        <v>148</v>
      </c>
      <c r="V135" s="1" t="s">
        <v>149</v>
      </c>
      <c r="W135" s="6">
        <v>16.0</v>
      </c>
      <c r="X135" s="1" t="s">
        <v>79</v>
      </c>
      <c r="Y135" s="1" t="s">
        <v>80</v>
      </c>
      <c r="Z135" s="6">
        <v>6.7</v>
      </c>
      <c r="AA135" s="6">
        <v>136817.0</v>
      </c>
      <c r="AB135" s="10">
        <v>0.0</v>
      </c>
      <c r="AC135" s="1" t="s">
        <v>1690</v>
      </c>
      <c r="AD135" s="1" t="s">
        <v>1691</v>
      </c>
      <c r="AE135" s="1" t="s">
        <v>1692</v>
      </c>
      <c r="AF135" s="1" t="s">
        <v>1693</v>
      </c>
      <c r="AG135" s="1" t="s">
        <v>1692</v>
      </c>
      <c r="AH135" s="1" t="s">
        <v>210</v>
      </c>
      <c r="AI135" s="6">
        <v>61730.0</v>
      </c>
      <c r="AJ135" s="1" t="s">
        <v>86</v>
      </c>
      <c r="AK135" s="1" t="s">
        <v>1694</v>
      </c>
      <c r="AL135" s="1" t="s">
        <v>1695</v>
      </c>
      <c r="AM135" s="11" t="str">
        <f>VLOOKUP(N135,Sheet3!$B$4:$C$10,2,1)</f>
        <v>21-30</v>
      </c>
      <c r="AN135" s="12" t="str">
        <f>VLOOKUP(Z135,Sheet3!$F$4:$G$10,2,1)</f>
        <v>5-10</v>
      </c>
      <c r="AO135" s="5" t="str">
        <f>VLOOKUP(AA135,Sheet3!$I$3:$J$16,2,1)</f>
        <v>120000-140000</v>
      </c>
      <c r="AP135" s="5" t="str">
        <f>VLOOKUP(AB135,Sheet3!$L$4:$M$14,2,1)</f>
        <v>&lt; 5%</v>
      </c>
    </row>
    <row r="136">
      <c r="A136" s="6">
        <v>166790.0</v>
      </c>
      <c r="B136" s="1" t="s">
        <v>42</v>
      </c>
      <c r="C136" s="1" t="s">
        <v>1696</v>
      </c>
      <c r="D136" s="1" t="s">
        <v>111</v>
      </c>
      <c r="E136" s="1" t="s">
        <v>1697</v>
      </c>
      <c r="F136" s="1" t="s">
        <v>46</v>
      </c>
      <c r="G136" s="1" t="s">
        <v>1698</v>
      </c>
      <c r="H136" s="1" t="s">
        <v>1395</v>
      </c>
      <c r="I136" s="1" t="s">
        <v>1699</v>
      </c>
      <c r="J136" s="1" t="s">
        <v>1700</v>
      </c>
      <c r="K136" s="1" t="s">
        <v>1701</v>
      </c>
      <c r="L136" s="14">
        <v>26211.0</v>
      </c>
      <c r="M136" s="8">
        <v>0.0802662037037037</v>
      </c>
      <c r="N136" s="6">
        <v>45.84</v>
      </c>
      <c r="O136" s="6">
        <v>45.0</v>
      </c>
      <c r="P136" s="14">
        <v>34707.0</v>
      </c>
      <c r="Q136" s="1" t="s">
        <v>96</v>
      </c>
      <c r="R136" s="1" t="s">
        <v>76</v>
      </c>
      <c r="S136" s="6">
        <v>1995.0</v>
      </c>
      <c r="T136" s="6">
        <v>1.0</v>
      </c>
      <c r="U136" s="1" t="s">
        <v>276</v>
      </c>
      <c r="V136" s="1" t="s">
        <v>277</v>
      </c>
      <c r="W136" s="6">
        <v>8.0</v>
      </c>
      <c r="X136" s="1" t="s">
        <v>534</v>
      </c>
      <c r="Y136" s="1" t="s">
        <v>535</v>
      </c>
      <c r="Z136" s="6">
        <v>22.57</v>
      </c>
      <c r="AA136" s="6">
        <v>131166.0</v>
      </c>
      <c r="AB136" s="10">
        <v>0.27</v>
      </c>
      <c r="AC136" s="1" t="s">
        <v>1702</v>
      </c>
      <c r="AD136" s="1" t="s">
        <v>1703</v>
      </c>
      <c r="AE136" s="1" t="s">
        <v>1704</v>
      </c>
      <c r="AF136" s="1" t="s">
        <v>1705</v>
      </c>
      <c r="AG136" s="1" t="s">
        <v>1704</v>
      </c>
      <c r="AH136" s="1" t="s">
        <v>488</v>
      </c>
      <c r="AI136" s="6">
        <v>33567.0</v>
      </c>
      <c r="AJ136" s="1" t="s">
        <v>106</v>
      </c>
      <c r="AK136" s="1" t="s">
        <v>1706</v>
      </c>
      <c r="AL136" s="1" t="s">
        <v>1707</v>
      </c>
      <c r="AM136" s="11" t="str">
        <f>VLOOKUP(N136,Sheet3!$B$4:$C$10,2,1)</f>
        <v>41-50</v>
      </c>
      <c r="AN136" s="13" t="str">
        <f>VLOOKUP(Z136,Sheet3!$F$4:$G$10,2,1)</f>
        <v>21-30</v>
      </c>
      <c r="AO136" s="5" t="str">
        <f>VLOOKUP(AA136,Sheet3!$I$3:$J$16,2,1)</f>
        <v>120000-140000</v>
      </c>
      <c r="AP136" s="5" t="str">
        <f>VLOOKUP(AB136,Sheet3!$L$4:$M$14,2,1)</f>
        <v>26% - 30%</v>
      </c>
    </row>
    <row r="137">
      <c r="A137" s="6">
        <v>581261.0</v>
      </c>
      <c r="B137" s="1" t="s">
        <v>255</v>
      </c>
      <c r="C137" s="1" t="s">
        <v>1708</v>
      </c>
      <c r="D137" s="1" t="s">
        <v>127</v>
      </c>
      <c r="E137" s="1" t="s">
        <v>946</v>
      </c>
      <c r="F137" s="1" t="s">
        <v>70</v>
      </c>
      <c r="G137" s="1" t="s">
        <v>1709</v>
      </c>
      <c r="H137" s="1" t="s">
        <v>1395</v>
      </c>
      <c r="I137" s="1" t="s">
        <v>1710</v>
      </c>
      <c r="J137" s="1" t="s">
        <v>1711</v>
      </c>
      <c r="K137" s="1" t="s">
        <v>1712</v>
      </c>
      <c r="L137" s="9">
        <v>29063.0</v>
      </c>
      <c r="M137" s="8">
        <v>0.8214236111111111</v>
      </c>
      <c r="N137" s="6">
        <v>38.03</v>
      </c>
      <c r="O137" s="6">
        <v>72.0</v>
      </c>
      <c r="P137" s="9">
        <v>40537.0</v>
      </c>
      <c r="Q137" s="1" t="s">
        <v>52</v>
      </c>
      <c r="R137" s="1" t="s">
        <v>53</v>
      </c>
      <c r="S137" s="6">
        <v>2010.0</v>
      </c>
      <c r="T137" s="6">
        <v>12.0</v>
      </c>
      <c r="U137" s="1" t="s">
        <v>54</v>
      </c>
      <c r="V137" s="1" t="s">
        <v>55</v>
      </c>
      <c r="W137" s="6">
        <v>25.0</v>
      </c>
      <c r="X137" s="1" t="s">
        <v>56</v>
      </c>
      <c r="Y137" s="1" t="s">
        <v>57</v>
      </c>
      <c r="Z137" s="6">
        <v>6.59</v>
      </c>
      <c r="AA137" s="6">
        <v>192446.0</v>
      </c>
      <c r="AB137" s="10">
        <v>0.24</v>
      </c>
      <c r="AC137" s="1" t="s">
        <v>1713</v>
      </c>
      <c r="AD137" s="1" t="s">
        <v>1714</v>
      </c>
      <c r="AE137" s="1" t="s">
        <v>187</v>
      </c>
      <c r="AF137" s="1" t="s">
        <v>1715</v>
      </c>
      <c r="AG137" s="1" t="s">
        <v>187</v>
      </c>
      <c r="AH137" s="1" t="s">
        <v>156</v>
      </c>
      <c r="AI137" s="6">
        <v>23856.0</v>
      </c>
      <c r="AJ137" s="1" t="s">
        <v>106</v>
      </c>
      <c r="AK137" s="1" t="s">
        <v>1716</v>
      </c>
      <c r="AL137" s="1" t="s">
        <v>1717</v>
      </c>
      <c r="AM137" s="11" t="str">
        <f>VLOOKUP(N137,Sheet3!$B$4:$C$10,2,1)</f>
        <v>31-40</v>
      </c>
      <c r="AN137" s="12" t="str">
        <f>VLOOKUP(Z137,Sheet3!$F$4:$G$10,2,1)</f>
        <v>5-10</v>
      </c>
      <c r="AO137" s="5" t="str">
        <f>VLOOKUP(AA137,Sheet3!$I$3:$J$16,2,1)</f>
        <v>180000-200000</v>
      </c>
      <c r="AP137" s="5" t="str">
        <f>VLOOKUP(AB137,Sheet3!$L$4:$M$14,2,1)</f>
        <v>21% - 25%</v>
      </c>
    </row>
    <row r="138">
      <c r="A138" s="6">
        <v>793523.0</v>
      </c>
      <c r="B138" s="1" t="s">
        <v>227</v>
      </c>
      <c r="C138" s="1" t="s">
        <v>1718</v>
      </c>
      <c r="D138" s="1" t="s">
        <v>257</v>
      </c>
      <c r="E138" s="1" t="s">
        <v>432</v>
      </c>
      <c r="F138" s="1" t="s">
        <v>70</v>
      </c>
      <c r="G138" s="1" t="s">
        <v>1719</v>
      </c>
      <c r="H138" s="1" t="s">
        <v>1395</v>
      </c>
      <c r="I138" s="1" t="s">
        <v>1720</v>
      </c>
      <c r="J138" s="1" t="s">
        <v>1721</v>
      </c>
      <c r="K138" s="1" t="s">
        <v>1722</v>
      </c>
      <c r="L138" s="14">
        <v>31839.0</v>
      </c>
      <c r="M138" s="8">
        <v>0.47857638888888887</v>
      </c>
      <c r="N138" s="6">
        <v>30.42</v>
      </c>
      <c r="O138" s="6">
        <v>84.0</v>
      </c>
      <c r="P138" s="9">
        <v>40802.0</v>
      </c>
      <c r="Q138" s="1" t="s">
        <v>308</v>
      </c>
      <c r="R138" s="1" t="s">
        <v>53</v>
      </c>
      <c r="S138" s="6">
        <v>2011.0</v>
      </c>
      <c r="T138" s="6">
        <v>9.0</v>
      </c>
      <c r="U138" s="1" t="s">
        <v>309</v>
      </c>
      <c r="V138" s="1" t="s">
        <v>310</v>
      </c>
      <c r="W138" s="6">
        <v>16.0</v>
      </c>
      <c r="X138" s="1" t="s">
        <v>263</v>
      </c>
      <c r="Y138" s="1" t="s">
        <v>264</v>
      </c>
      <c r="Z138" s="6">
        <v>5.87</v>
      </c>
      <c r="AA138" s="6">
        <v>145629.0</v>
      </c>
      <c r="AB138" s="10">
        <v>0.07</v>
      </c>
      <c r="AC138" s="1" t="s">
        <v>1723</v>
      </c>
      <c r="AD138" s="1" t="s">
        <v>1724</v>
      </c>
      <c r="AE138" s="1" t="s">
        <v>635</v>
      </c>
      <c r="AF138" s="1" t="s">
        <v>933</v>
      </c>
      <c r="AG138" s="1" t="s">
        <v>635</v>
      </c>
      <c r="AH138" s="1" t="s">
        <v>439</v>
      </c>
      <c r="AI138" s="6">
        <v>4951.0</v>
      </c>
      <c r="AJ138" s="1" t="s">
        <v>224</v>
      </c>
      <c r="AK138" s="1" t="s">
        <v>1725</v>
      </c>
      <c r="AL138" s="1" t="s">
        <v>1726</v>
      </c>
      <c r="AM138" s="11" t="str">
        <f>VLOOKUP(N138,Sheet3!$B$4:$C$10,2,1)</f>
        <v>21-30</v>
      </c>
      <c r="AN138" s="12" t="str">
        <f>VLOOKUP(Z138,Sheet3!$F$4:$G$10,2,1)</f>
        <v>5-10</v>
      </c>
      <c r="AO138" s="5" t="str">
        <f>VLOOKUP(AA138,Sheet3!$I$3:$J$16,2,1)</f>
        <v>140000-160000</v>
      </c>
      <c r="AP138" s="5" t="str">
        <f>VLOOKUP(AB138,Sheet3!$L$4:$M$14,2,1)</f>
        <v>5% - 10%</v>
      </c>
    </row>
    <row r="139">
      <c r="A139" s="6">
        <v>178602.0</v>
      </c>
      <c r="B139" s="1" t="s">
        <v>109</v>
      </c>
      <c r="C139" s="1" t="s">
        <v>1727</v>
      </c>
      <c r="D139" s="1" t="s">
        <v>389</v>
      </c>
      <c r="E139" s="1" t="s">
        <v>1728</v>
      </c>
      <c r="F139" s="1" t="s">
        <v>46</v>
      </c>
      <c r="G139" s="1" t="s">
        <v>1729</v>
      </c>
      <c r="H139" s="1" t="s">
        <v>1395</v>
      </c>
      <c r="I139" s="1" t="s">
        <v>1730</v>
      </c>
      <c r="J139" s="1" t="s">
        <v>1731</v>
      </c>
      <c r="K139" s="1" t="s">
        <v>221</v>
      </c>
      <c r="L139" s="9">
        <v>28731.0</v>
      </c>
      <c r="M139" s="8">
        <v>0.18958333333333333</v>
      </c>
      <c r="N139" s="6">
        <v>38.94</v>
      </c>
      <c r="O139" s="6">
        <v>60.0</v>
      </c>
      <c r="P139" s="14">
        <v>39213.0</v>
      </c>
      <c r="Q139" s="1" t="s">
        <v>75</v>
      </c>
      <c r="R139" s="1" t="s">
        <v>76</v>
      </c>
      <c r="S139" s="6">
        <v>2007.0</v>
      </c>
      <c r="T139" s="6">
        <v>5.0</v>
      </c>
      <c r="U139" s="1" t="s">
        <v>294</v>
      </c>
      <c r="V139" s="1" t="s">
        <v>294</v>
      </c>
      <c r="W139" s="6">
        <v>11.0</v>
      </c>
      <c r="X139" s="1" t="s">
        <v>263</v>
      </c>
      <c r="Y139" s="1" t="s">
        <v>264</v>
      </c>
      <c r="Z139" s="6">
        <v>10.22</v>
      </c>
      <c r="AA139" s="6">
        <v>185016.0</v>
      </c>
      <c r="AB139" s="10">
        <v>0.16</v>
      </c>
      <c r="AC139" s="1" t="s">
        <v>1732</v>
      </c>
      <c r="AD139" s="1" t="s">
        <v>1733</v>
      </c>
      <c r="AE139" s="1" t="s">
        <v>1734</v>
      </c>
      <c r="AF139" s="1" t="s">
        <v>1734</v>
      </c>
      <c r="AG139" s="1" t="s">
        <v>1734</v>
      </c>
      <c r="AH139" s="1" t="s">
        <v>238</v>
      </c>
      <c r="AI139" s="6">
        <v>95348.0</v>
      </c>
      <c r="AJ139" s="1" t="s">
        <v>63</v>
      </c>
      <c r="AK139" s="1" t="s">
        <v>1735</v>
      </c>
      <c r="AL139" s="1" t="s">
        <v>1736</v>
      </c>
      <c r="AM139" s="11" t="str">
        <f>VLOOKUP(N139,Sheet3!$B$4:$C$10,2,1)</f>
        <v>31-40</v>
      </c>
      <c r="AN139" s="12" t="str">
        <f>VLOOKUP(Z139,Sheet3!$F$4:$G$10,2,1)</f>
        <v>5-10</v>
      </c>
      <c r="AO139" s="5" t="str">
        <f>VLOOKUP(AA139,Sheet3!$I$3:$J$16,2,1)</f>
        <v>180000-200000</v>
      </c>
      <c r="AP139" s="5" t="str">
        <f>VLOOKUP(AB139,Sheet3!$L$4:$M$14,2,1)</f>
        <v>16% - 20%</v>
      </c>
    </row>
    <row r="140">
      <c r="A140" s="6">
        <v>346662.0</v>
      </c>
      <c r="B140" s="1" t="s">
        <v>66</v>
      </c>
      <c r="C140" s="1" t="s">
        <v>1737</v>
      </c>
      <c r="D140" s="1" t="s">
        <v>466</v>
      </c>
      <c r="E140" s="1" t="s">
        <v>1738</v>
      </c>
      <c r="F140" s="1" t="s">
        <v>70</v>
      </c>
      <c r="G140" s="1" t="s">
        <v>1739</v>
      </c>
      <c r="H140" s="1" t="s">
        <v>1395</v>
      </c>
      <c r="I140" s="1" t="s">
        <v>1740</v>
      </c>
      <c r="J140" s="1" t="s">
        <v>1741</v>
      </c>
      <c r="K140" s="1" t="s">
        <v>1742</v>
      </c>
      <c r="L140" s="7">
        <v>25518.0</v>
      </c>
      <c r="M140" s="8">
        <v>0.2270601851851852</v>
      </c>
      <c r="N140" s="6">
        <v>47.74</v>
      </c>
      <c r="O140" s="6">
        <v>54.0</v>
      </c>
      <c r="P140" s="14">
        <v>42315.0</v>
      </c>
      <c r="Q140" s="1" t="s">
        <v>52</v>
      </c>
      <c r="R140" s="1" t="s">
        <v>53</v>
      </c>
      <c r="S140" s="6">
        <v>2015.0</v>
      </c>
      <c r="T140" s="6">
        <v>11.0</v>
      </c>
      <c r="U140" s="1" t="s">
        <v>148</v>
      </c>
      <c r="V140" s="1" t="s">
        <v>149</v>
      </c>
      <c r="W140" s="6">
        <v>7.0</v>
      </c>
      <c r="X140" s="1" t="s">
        <v>56</v>
      </c>
      <c r="Y140" s="1" t="s">
        <v>57</v>
      </c>
      <c r="Z140" s="6">
        <v>1.72</v>
      </c>
      <c r="AA140" s="6">
        <v>80047.0</v>
      </c>
      <c r="AB140" s="10">
        <v>0.25</v>
      </c>
      <c r="AC140" s="1" t="s">
        <v>1743</v>
      </c>
      <c r="AD140" s="1" t="s">
        <v>1744</v>
      </c>
      <c r="AE140" s="1" t="s">
        <v>1745</v>
      </c>
      <c r="AF140" s="1" t="s">
        <v>1593</v>
      </c>
      <c r="AG140" s="1" t="s">
        <v>1745</v>
      </c>
      <c r="AH140" s="1" t="s">
        <v>105</v>
      </c>
      <c r="AI140" s="6">
        <v>41554.0</v>
      </c>
      <c r="AJ140" s="1" t="s">
        <v>106</v>
      </c>
      <c r="AK140" s="1" t="s">
        <v>1746</v>
      </c>
      <c r="AL140" s="1" t="s">
        <v>1747</v>
      </c>
      <c r="AM140" s="11" t="str">
        <f>VLOOKUP(N140,Sheet3!$B$4:$C$10,2,1)</f>
        <v>41-50</v>
      </c>
      <c r="AN140" s="13" t="str">
        <f>VLOOKUP(Z140,Sheet3!$F$4:$G$10,2,1)</f>
        <v>&lt; 5</v>
      </c>
      <c r="AO140" s="5" t="str">
        <f>VLOOKUP(AA140,Sheet3!$I$3:$J$16,2,1)</f>
        <v>80000-100000</v>
      </c>
      <c r="AP140" s="5" t="str">
        <f>VLOOKUP(AB140,Sheet3!$L$4:$M$14,2,1)</f>
        <v>21% - 25%</v>
      </c>
    </row>
    <row r="141">
      <c r="A141" s="6">
        <v>817037.0</v>
      </c>
      <c r="B141" s="1" t="s">
        <v>66</v>
      </c>
      <c r="C141" s="1" t="s">
        <v>1748</v>
      </c>
      <c r="D141" s="1" t="s">
        <v>44</v>
      </c>
      <c r="E141" s="1" t="s">
        <v>1749</v>
      </c>
      <c r="F141" s="1" t="s">
        <v>70</v>
      </c>
      <c r="G141" s="1" t="s">
        <v>1750</v>
      </c>
      <c r="H141" s="1" t="s">
        <v>1395</v>
      </c>
      <c r="I141" s="1" t="s">
        <v>1751</v>
      </c>
      <c r="J141" s="1" t="s">
        <v>1752</v>
      </c>
      <c r="K141" s="1" t="s">
        <v>926</v>
      </c>
      <c r="L141" s="9">
        <v>27286.0</v>
      </c>
      <c r="M141" s="8">
        <v>0.5971759259259259</v>
      </c>
      <c r="N141" s="6">
        <v>42.9</v>
      </c>
      <c r="O141" s="6">
        <v>61.0</v>
      </c>
      <c r="P141" s="9">
        <v>37086.0</v>
      </c>
      <c r="Q141" s="1" t="s">
        <v>308</v>
      </c>
      <c r="R141" s="1" t="s">
        <v>53</v>
      </c>
      <c r="S141" s="6">
        <v>2001.0</v>
      </c>
      <c r="T141" s="6">
        <v>7.0</v>
      </c>
      <c r="U141" s="1" t="s">
        <v>366</v>
      </c>
      <c r="V141" s="1" t="s">
        <v>367</v>
      </c>
      <c r="W141" s="6">
        <v>14.0</v>
      </c>
      <c r="X141" s="1" t="s">
        <v>56</v>
      </c>
      <c r="Y141" s="1" t="s">
        <v>57</v>
      </c>
      <c r="Z141" s="6">
        <v>16.05</v>
      </c>
      <c r="AA141" s="6">
        <v>105374.0</v>
      </c>
      <c r="AB141" s="10">
        <v>0.27</v>
      </c>
      <c r="AC141" s="1" t="s">
        <v>1753</v>
      </c>
      <c r="AD141" s="1" t="s">
        <v>1754</v>
      </c>
      <c r="AE141" s="1" t="s">
        <v>1755</v>
      </c>
      <c r="AF141" s="1" t="s">
        <v>1756</v>
      </c>
      <c r="AG141" s="1" t="s">
        <v>1755</v>
      </c>
      <c r="AH141" s="1" t="s">
        <v>1527</v>
      </c>
      <c r="AI141" s="6">
        <v>35960.0</v>
      </c>
      <c r="AJ141" s="1" t="s">
        <v>106</v>
      </c>
      <c r="AK141" s="1" t="s">
        <v>1757</v>
      </c>
      <c r="AL141" s="1" t="s">
        <v>1758</v>
      </c>
      <c r="AM141" s="11" t="str">
        <f>VLOOKUP(N141,Sheet3!$B$4:$C$10,2,1)</f>
        <v>41-50</v>
      </c>
      <c r="AN141" s="12" t="str">
        <f>VLOOKUP(Z141,Sheet3!$F$4:$G$10,2,1)</f>
        <v>11-20</v>
      </c>
      <c r="AO141" s="5" t="str">
        <f>VLOOKUP(AA141,Sheet3!$I$3:$J$16,2,1)</f>
        <v>100000-120000</v>
      </c>
      <c r="AP141" s="5" t="str">
        <f>VLOOKUP(AB141,Sheet3!$L$4:$M$14,2,1)</f>
        <v>26% - 30%</v>
      </c>
    </row>
    <row r="142">
      <c r="A142" s="6">
        <v>648913.0</v>
      </c>
      <c r="B142" s="1" t="s">
        <v>66</v>
      </c>
      <c r="C142" s="1" t="s">
        <v>1759</v>
      </c>
      <c r="D142" s="1" t="s">
        <v>360</v>
      </c>
      <c r="E142" s="1" t="s">
        <v>1760</v>
      </c>
      <c r="F142" s="1" t="s">
        <v>70</v>
      </c>
      <c r="G142" s="1" t="s">
        <v>1761</v>
      </c>
      <c r="H142" s="1" t="s">
        <v>1395</v>
      </c>
      <c r="I142" s="1" t="s">
        <v>1762</v>
      </c>
      <c r="J142" s="1" t="s">
        <v>1763</v>
      </c>
      <c r="K142" s="1" t="s">
        <v>1764</v>
      </c>
      <c r="L142" s="9">
        <v>27534.0</v>
      </c>
      <c r="M142" s="8">
        <v>0.24672453703703703</v>
      </c>
      <c r="N142" s="6">
        <v>42.22</v>
      </c>
      <c r="O142" s="6">
        <v>75.0</v>
      </c>
      <c r="P142" s="9">
        <v>41417.0</v>
      </c>
      <c r="Q142" s="1" t="s">
        <v>75</v>
      </c>
      <c r="R142" s="1" t="s">
        <v>76</v>
      </c>
      <c r="S142" s="6">
        <v>2013.0</v>
      </c>
      <c r="T142" s="6">
        <v>5.0</v>
      </c>
      <c r="U142" s="1" t="s">
        <v>294</v>
      </c>
      <c r="V142" s="1" t="s">
        <v>294</v>
      </c>
      <c r="W142" s="6">
        <v>23.0</v>
      </c>
      <c r="X142" s="1" t="s">
        <v>150</v>
      </c>
      <c r="Y142" s="1" t="s">
        <v>151</v>
      </c>
      <c r="Z142" s="6">
        <v>4.18</v>
      </c>
      <c r="AA142" s="6">
        <v>48133.0</v>
      </c>
      <c r="AB142" s="10">
        <v>0.2</v>
      </c>
      <c r="AC142" s="1" t="s">
        <v>1765</v>
      </c>
      <c r="AD142" s="1" t="s">
        <v>1766</v>
      </c>
      <c r="AE142" s="1" t="s">
        <v>1767</v>
      </c>
      <c r="AF142" s="1" t="s">
        <v>1768</v>
      </c>
      <c r="AG142" s="1" t="s">
        <v>1767</v>
      </c>
      <c r="AH142" s="1" t="s">
        <v>85</v>
      </c>
      <c r="AI142" s="6">
        <v>49685.0</v>
      </c>
      <c r="AJ142" s="1" t="s">
        <v>86</v>
      </c>
      <c r="AK142" s="1" t="s">
        <v>1769</v>
      </c>
      <c r="AL142" s="1" t="s">
        <v>1770</v>
      </c>
      <c r="AM142" s="11" t="str">
        <f>VLOOKUP(N142,Sheet3!$B$4:$C$10,2,1)</f>
        <v>41-50</v>
      </c>
      <c r="AN142" s="13" t="str">
        <f>VLOOKUP(Z142,Sheet3!$F$4:$G$10,2,1)</f>
        <v>&lt; 5</v>
      </c>
      <c r="AO142" s="5" t="str">
        <f>VLOOKUP(AA142,Sheet3!$I$3:$J$16,2,1)</f>
        <v>40000-60000</v>
      </c>
      <c r="AP142" s="5" t="str">
        <f>VLOOKUP(AB142,Sheet3!$L$4:$M$14,2,1)</f>
        <v>16% - 20%</v>
      </c>
    </row>
    <row r="143">
      <c r="A143" s="6">
        <v>924281.0</v>
      </c>
      <c r="B143" s="1" t="s">
        <v>66</v>
      </c>
      <c r="C143" s="1" t="s">
        <v>1771</v>
      </c>
      <c r="D143" s="1" t="s">
        <v>554</v>
      </c>
      <c r="E143" s="1" t="s">
        <v>1772</v>
      </c>
      <c r="F143" s="1" t="s">
        <v>70</v>
      </c>
      <c r="G143" s="1" t="s">
        <v>1773</v>
      </c>
      <c r="H143" s="1" t="s">
        <v>1395</v>
      </c>
      <c r="I143" s="1" t="s">
        <v>1774</v>
      </c>
      <c r="J143" s="1" t="s">
        <v>1775</v>
      </c>
      <c r="K143" s="1" t="s">
        <v>1776</v>
      </c>
      <c r="L143" s="9">
        <v>24030.0</v>
      </c>
      <c r="M143" s="8">
        <v>0.14498842592592592</v>
      </c>
      <c r="N143" s="6">
        <v>51.82</v>
      </c>
      <c r="O143" s="6">
        <v>73.0</v>
      </c>
      <c r="P143" s="14">
        <v>32631.0</v>
      </c>
      <c r="Q143" s="1" t="s">
        <v>75</v>
      </c>
      <c r="R143" s="1" t="s">
        <v>76</v>
      </c>
      <c r="S143" s="6">
        <v>1989.0</v>
      </c>
      <c r="T143" s="6">
        <v>5.0</v>
      </c>
      <c r="U143" s="1" t="s">
        <v>294</v>
      </c>
      <c r="V143" s="1" t="s">
        <v>294</v>
      </c>
      <c r="W143" s="6">
        <v>3.0</v>
      </c>
      <c r="X143" s="1" t="s">
        <v>278</v>
      </c>
      <c r="Y143" s="1" t="s">
        <v>279</v>
      </c>
      <c r="Z143" s="6">
        <v>28.25</v>
      </c>
      <c r="AA143" s="6">
        <v>153633.0</v>
      </c>
      <c r="AB143" s="10">
        <v>0.12</v>
      </c>
      <c r="AC143" s="1" t="s">
        <v>1777</v>
      </c>
      <c r="AD143" s="1" t="s">
        <v>1778</v>
      </c>
      <c r="AE143" s="1" t="s">
        <v>1779</v>
      </c>
      <c r="AF143" s="1" t="s">
        <v>1779</v>
      </c>
      <c r="AG143" s="1" t="s">
        <v>1779</v>
      </c>
      <c r="AH143" s="1" t="s">
        <v>356</v>
      </c>
      <c r="AI143" s="6">
        <v>11446.0</v>
      </c>
      <c r="AJ143" s="1" t="s">
        <v>224</v>
      </c>
      <c r="AK143" s="1" t="s">
        <v>1780</v>
      </c>
      <c r="AL143" s="1" t="s">
        <v>1781</v>
      </c>
      <c r="AM143" s="11" t="str">
        <f>VLOOKUP(N143,Sheet3!$B$4:$C$10,2,1)</f>
        <v>51-60</v>
      </c>
      <c r="AN143" s="13" t="str">
        <f>VLOOKUP(Z143,Sheet3!$F$4:$G$10,2,1)</f>
        <v>21-30</v>
      </c>
      <c r="AO143" s="5" t="str">
        <f>VLOOKUP(AA143,Sheet3!$I$3:$J$16,2,1)</f>
        <v>140000-160000</v>
      </c>
      <c r="AP143" s="5" t="str">
        <f>VLOOKUP(AB143,Sheet3!$L$4:$M$14,2,1)</f>
        <v>11% - 15%</v>
      </c>
    </row>
    <row r="144">
      <c r="A144" s="6">
        <v>951857.0</v>
      </c>
      <c r="B144" s="1" t="s">
        <v>89</v>
      </c>
      <c r="C144" s="1" t="s">
        <v>1782</v>
      </c>
      <c r="D144" s="1" t="s">
        <v>861</v>
      </c>
      <c r="E144" s="1" t="s">
        <v>1783</v>
      </c>
      <c r="F144" s="1" t="s">
        <v>46</v>
      </c>
      <c r="G144" s="1" t="s">
        <v>1784</v>
      </c>
      <c r="H144" s="1" t="s">
        <v>1395</v>
      </c>
      <c r="I144" s="1" t="s">
        <v>1785</v>
      </c>
      <c r="J144" s="1" t="s">
        <v>1786</v>
      </c>
      <c r="K144" s="1" t="s">
        <v>1787</v>
      </c>
      <c r="L144" s="9">
        <v>33388.0</v>
      </c>
      <c r="M144" s="8">
        <v>0.04658564814814815</v>
      </c>
      <c r="N144" s="6">
        <v>26.18</v>
      </c>
      <c r="O144" s="6">
        <v>47.0</v>
      </c>
      <c r="P144" s="9">
        <v>41507.0</v>
      </c>
      <c r="Q144" s="1" t="s">
        <v>308</v>
      </c>
      <c r="R144" s="1" t="s">
        <v>53</v>
      </c>
      <c r="S144" s="6">
        <v>2013.0</v>
      </c>
      <c r="T144" s="6">
        <v>8.0</v>
      </c>
      <c r="U144" s="1" t="s">
        <v>433</v>
      </c>
      <c r="V144" s="1" t="s">
        <v>434</v>
      </c>
      <c r="W144" s="6">
        <v>21.0</v>
      </c>
      <c r="X144" s="1" t="s">
        <v>278</v>
      </c>
      <c r="Y144" s="1" t="s">
        <v>279</v>
      </c>
      <c r="Z144" s="6">
        <v>3.94</v>
      </c>
      <c r="AA144" s="6">
        <v>65798.0</v>
      </c>
      <c r="AB144" s="10">
        <v>0.0</v>
      </c>
      <c r="AC144" s="1" t="s">
        <v>1788</v>
      </c>
      <c r="AD144" s="1" t="s">
        <v>1789</v>
      </c>
      <c r="AE144" s="1" t="s">
        <v>1790</v>
      </c>
      <c r="AF144" s="1" t="s">
        <v>1791</v>
      </c>
      <c r="AG144" s="1" t="s">
        <v>1790</v>
      </c>
      <c r="AH144" s="1" t="s">
        <v>857</v>
      </c>
      <c r="AI144" s="6">
        <v>63132.0</v>
      </c>
      <c r="AJ144" s="1" t="s">
        <v>86</v>
      </c>
      <c r="AK144" s="1" t="s">
        <v>1792</v>
      </c>
      <c r="AL144" s="1" t="s">
        <v>1793</v>
      </c>
      <c r="AM144" s="11" t="str">
        <f>VLOOKUP(N144,Sheet3!$B$4:$C$10,2,1)</f>
        <v>21-30</v>
      </c>
      <c r="AN144" s="13" t="str">
        <f>VLOOKUP(Z144,Sheet3!$F$4:$G$10,2,1)</f>
        <v>&lt; 5</v>
      </c>
      <c r="AO144" s="5" t="str">
        <f>VLOOKUP(AA144,Sheet3!$I$3:$J$16,2,1)</f>
        <v>60000-80000</v>
      </c>
      <c r="AP144" s="5" t="str">
        <f>VLOOKUP(AB144,Sheet3!$L$4:$M$14,2,1)</f>
        <v>&lt; 5%</v>
      </c>
    </row>
    <row r="145">
      <c r="A145" s="6">
        <v>474759.0</v>
      </c>
      <c r="B145" s="1" t="s">
        <v>66</v>
      </c>
      <c r="C145" s="1" t="s">
        <v>1794</v>
      </c>
      <c r="D145" s="1" t="s">
        <v>288</v>
      </c>
      <c r="E145" s="1" t="s">
        <v>1795</v>
      </c>
      <c r="F145" s="1" t="s">
        <v>70</v>
      </c>
      <c r="G145" s="1" t="s">
        <v>1796</v>
      </c>
      <c r="H145" s="1" t="s">
        <v>1395</v>
      </c>
      <c r="I145" s="1" t="s">
        <v>1797</v>
      </c>
      <c r="J145" s="1" t="s">
        <v>1798</v>
      </c>
      <c r="K145" s="1" t="s">
        <v>1799</v>
      </c>
      <c r="L145" s="14">
        <v>22952.0</v>
      </c>
      <c r="M145" s="8">
        <v>0.5280324074074074</v>
      </c>
      <c r="N145" s="6">
        <v>54.77</v>
      </c>
      <c r="O145" s="6">
        <v>81.0</v>
      </c>
      <c r="P145" s="9">
        <v>41105.0</v>
      </c>
      <c r="Q145" s="1" t="s">
        <v>308</v>
      </c>
      <c r="R145" s="1" t="s">
        <v>53</v>
      </c>
      <c r="S145" s="6">
        <v>2012.0</v>
      </c>
      <c r="T145" s="6">
        <v>7.0</v>
      </c>
      <c r="U145" s="1" t="s">
        <v>366</v>
      </c>
      <c r="V145" s="1" t="s">
        <v>367</v>
      </c>
      <c r="W145" s="6">
        <v>15.0</v>
      </c>
      <c r="X145" s="1" t="s">
        <v>534</v>
      </c>
      <c r="Y145" s="1" t="s">
        <v>535</v>
      </c>
      <c r="Z145" s="6">
        <v>5.04</v>
      </c>
      <c r="AA145" s="6">
        <v>193315.0</v>
      </c>
      <c r="AB145" s="10">
        <v>0.02</v>
      </c>
      <c r="AC145" s="1" t="s">
        <v>1800</v>
      </c>
      <c r="AD145" s="1" t="s">
        <v>1801</v>
      </c>
      <c r="AE145" s="1" t="s">
        <v>1802</v>
      </c>
      <c r="AF145" s="1" t="s">
        <v>1759</v>
      </c>
      <c r="AG145" s="1" t="s">
        <v>1802</v>
      </c>
      <c r="AH145" s="1" t="s">
        <v>882</v>
      </c>
      <c r="AI145" s="6">
        <v>31760.0</v>
      </c>
      <c r="AJ145" s="1" t="s">
        <v>106</v>
      </c>
      <c r="AK145" s="1" t="s">
        <v>1803</v>
      </c>
      <c r="AL145" s="1" t="s">
        <v>1804</v>
      </c>
      <c r="AM145" s="11" t="str">
        <f>VLOOKUP(N145,Sheet3!$B$4:$C$10,2,1)</f>
        <v>51-60</v>
      </c>
      <c r="AN145" s="12" t="str">
        <f>VLOOKUP(Z145,Sheet3!$F$4:$G$10,2,1)</f>
        <v>5-10</v>
      </c>
      <c r="AO145" s="5" t="str">
        <f>VLOOKUP(AA145,Sheet3!$I$3:$J$16,2,1)</f>
        <v>180000-200000</v>
      </c>
      <c r="AP145" s="5" t="str">
        <f>VLOOKUP(AB145,Sheet3!$L$4:$M$14,2,1)</f>
        <v>&lt; 5%</v>
      </c>
    </row>
    <row r="146">
      <c r="A146" s="6">
        <v>144715.0</v>
      </c>
      <c r="B146" s="1" t="s">
        <v>66</v>
      </c>
      <c r="C146" s="1" t="s">
        <v>1805</v>
      </c>
      <c r="D146" s="1" t="s">
        <v>529</v>
      </c>
      <c r="E146" s="1" t="s">
        <v>1806</v>
      </c>
      <c r="F146" s="1" t="s">
        <v>70</v>
      </c>
      <c r="G146" s="1" t="s">
        <v>1807</v>
      </c>
      <c r="H146" s="1" t="s">
        <v>1395</v>
      </c>
      <c r="I146" s="1" t="s">
        <v>1808</v>
      </c>
      <c r="J146" s="1" t="s">
        <v>1809</v>
      </c>
      <c r="K146" s="1" t="s">
        <v>1810</v>
      </c>
      <c r="L146" s="14">
        <v>23802.0</v>
      </c>
      <c r="M146" s="8">
        <v>0.24224537037037036</v>
      </c>
      <c r="N146" s="6">
        <v>52.44</v>
      </c>
      <c r="O146" s="6">
        <v>57.0</v>
      </c>
      <c r="P146" s="9">
        <v>38616.0</v>
      </c>
      <c r="Q146" s="1" t="s">
        <v>308</v>
      </c>
      <c r="R146" s="1" t="s">
        <v>53</v>
      </c>
      <c r="S146" s="6">
        <v>2005.0</v>
      </c>
      <c r="T146" s="6">
        <v>9.0</v>
      </c>
      <c r="U146" s="1" t="s">
        <v>309</v>
      </c>
      <c r="V146" s="1" t="s">
        <v>310</v>
      </c>
      <c r="W146" s="6">
        <v>21.0</v>
      </c>
      <c r="X146" s="1" t="s">
        <v>278</v>
      </c>
      <c r="Y146" s="1" t="s">
        <v>279</v>
      </c>
      <c r="Z146" s="6">
        <v>11.86</v>
      </c>
      <c r="AA146" s="6">
        <v>168726.0</v>
      </c>
      <c r="AB146" s="10">
        <v>0.3</v>
      </c>
      <c r="AC146" s="1" t="s">
        <v>1811</v>
      </c>
      <c r="AD146" s="1" t="s">
        <v>1812</v>
      </c>
      <c r="AE146" s="1" t="s">
        <v>1813</v>
      </c>
      <c r="AF146" s="1" t="s">
        <v>1814</v>
      </c>
      <c r="AG146" s="1" t="s">
        <v>1813</v>
      </c>
      <c r="AH146" s="1" t="s">
        <v>439</v>
      </c>
      <c r="AI146" s="6">
        <v>4759.0</v>
      </c>
      <c r="AJ146" s="1" t="s">
        <v>224</v>
      </c>
      <c r="AK146" s="1" t="s">
        <v>1815</v>
      </c>
      <c r="AL146" s="1" t="s">
        <v>1816</v>
      </c>
      <c r="AM146" s="11" t="str">
        <f>VLOOKUP(N146,Sheet3!$B$4:$C$10,2,1)</f>
        <v>51-60</v>
      </c>
      <c r="AN146" s="12" t="str">
        <f>VLOOKUP(Z146,Sheet3!$F$4:$G$10,2,1)</f>
        <v>11-20</v>
      </c>
      <c r="AO146" s="5" t="str">
        <f>VLOOKUP(AA146,Sheet3!$I$3:$J$16,2,1)</f>
        <v>160000-180000</v>
      </c>
      <c r="AP146" s="5" t="str">
        <f>VLOOKUP(AB146,Sheet3!$L$4:$M$14,2,1)</f>
        <v>26% - 30%</v>
      </c>
    </row>
    <row r="147">
      <c r="A147" s="6">
        <v>141086.0</v>
      </c>
      <c r="B147" s="1" t="s">
        <v>255</v>
      </c>
      <c r="C147" s="1" t="s">
        <v>270</v>
      </c>
      <c r="D147" s="1" t="s">
        <v>389</v>
      </c>
      <c r="E147" s="1" t="s">
        <v>1817</v>
      </c>
      <c r="F147" s="1" t="s">
        <v>70</v>
      </c>
      <c r="G147" s="1" t="s">
        <v>1818</v>
      </c>
      <c r="H147" s="1" t="s">
        <v>1395</v>
      </c>
      <c r="I147" s="1" t="s">
        <v>1819</v>
      </c>
      <c r="J147" s="1" t="s">
        <v>1820</v>
      </c>
      <c r="K147" s="1" t="s">
        <v>1821</v>
      </c>
      <c r="L147" s="9">
        <v>23159.0</v>
      </c>
      <c r="M147" s="8">
        <v>0.7841550925925926</v>
      </c>
      <c r="N147" s="6">
        <v>54.21</v>
      </c>
      <c r="O147" s="6">
        <v>86.0</v>
      </c>
      <c r="P147" s="9">
        <v>37735.0</v>
      </c>
      <c r="Q147" s="1" t="s">
        <v>75</v>
      </c>
      <c r="R147" s="1" t="s">
        <v>76</v>
      </c>
      <c r="S147" s="6">
        <v>2003.0</v>
      </c>
      <c r="T147" s="6">
        <v>4.0</v>
      </c>
      <c r="U147" s="1" t="s">
        <v>77</v>
      </c>
      <c r="V147" s="1" t="s">
        <v>78</v>
      </c>
      <c r="W147" s="6">
        <v>24.0</v>
      </c>
      <c r="X147" s="1" t="s">
        <v>150</v>
      </c>
      <c r="Y147" s="1" t="s">
        <v>151</v>
      </c>
      <c r="Z147" s="6">
        <v>14.27</v>
      </c>
      <c r="AA147" s="6">
        <v>118615.0</v>
      </c>
      <c r="AB147" s="10">
        <v>0.23</v>
      </c>
      <c r="AC147" s="1" t="s">
        <v>1822</v>
      </c>
      <c r="AD147" s="1" t="s">
        <v>1823</v>
      </c>
      <c r="AE147" s="1" t="s">
        <v>1824</v>
      </c>
      <c r="AF147" s="1" t="s">
        <v>1825</v>
      </c>
      <c r="AG147" s="1" t="s">
        <v>1824</v>
      </c>
      <c r="AH147" s="1" t="s">
        <v>488</v>
      </c>
      <c r="AI147" s="6">
        <v>33026.0</v>
      </c>
      <c r="AJ147" s="1" t="s">
        <v>106</v>
      </c>
      <c r="AK147" s="1" t="s">
        <v>1826</v>
      </c>
      <c r="AL147" s="1" t="s">
        <v>1827</v>
      </c>
      <c r="AM147" s="11" t="str">
        <f>VLOOKUP(N147,Sheet3!$B$4:$C$10,2,1)</f>
        <v>51-60</v>
      </c>
      <c r="AN147" s="12" t="str">
        <f>VLOOKUP(Z147,Sheet3!$F$4:$G$10,2,1)</f>
        <v>11-20</v>
      </c>
      <c r="AO147" s="5" t="str">
        <f>VLOOKUP(AA147,Sheet3!$I$3:$J$16,2,1)</f>
        <v>100000-120000</v>
      </c>
      <c r="AP147" s="5" t="str">
        <f>VLOOKUP(AB147,Sheet3!$L$4:$M$14,2,1)</f>
        <v>21% - 25%</v>
      </c>
    </row>
    <row r="148">
      <c r="A148" s="6">
        <v>633255.0</v>
      </c>
      <c r="B148" s="1" t="s">
        <v>125</v>
      </c>
      <c r="C148" s="1" t="s">
        <v>1828</v>
      </c>
      <c r="D148" s="1" t="s">
        <v>173</v>
      </c>
      <c r="E148" s="1" t="s">
        <v>1829</v>
      </c>
      <c r="F148" s="1" t="s">
        <v>46</v>
      </c>
      <c r="G148" s="1" t="s">
        <v>1830</v>
      </c>
      <c r="H148" s="1" t="s">
        <v>1395</v>
      </c>
      <c r="I148" s="1" t="s">
        <v>1831</v>
      </c>
      <c r="J148" s="1" t="s">
        <v>1832</v>
      </c>
      <c r="K148" s="1" t="s">
        <v>1833</v>
      </c>
      <c r="L148" s="9">
        <v>35233.0</v>
      </c>
      <c r="M148" s="8">
        <v>0.3228125</v>
      </c>
      <c r="N148" s="6">
        <v>21.13</v>
      </c>
      <c r="O148" s="6">
        <v>50.0</v>
      </c>
      <c r="P148" s="14">
        <v>42925.0</v>
      </c>
      <c r="Q148" s="1" t="s">
        <v>308</v>
      </c>
      <c r="R148" s="1" t="s">
        <v>53</v>
      </c>
      <c r="S148" s="6">
        <v>2017.0</v>
      </c>
      <c r="T148" s="6">
        <v>7.0</v>
      </c>
      <c r="U148" s="1" t="s">
        <v>366</v>
      </c>
      <c r="V148" s="1" t="s">
        <v>367</v>
      </c>
      <c r="W148" s="6">
        <v>9.0</v>
      </c>
      <c r="X148" s="1" t="s">
        <v>534</v>
      </c>
      <c r="Y148" s="1" t="s">
        <v>535</v>
      </c>
      <c r="Z148" s="6">
        <v>0.05</v>
      </c>
      <c r="AA148" s="6">
        <v>190579.0</v>
      </c>
      <c r="AB148" s="10">
        <v>0.07</v>
      </c>
      <c r="AC148" s="1" t="s">
        <v>1834</v>
      </c>
      <c r="AD148" s="1" t="s">
        <v>1835</v>
      </c>
      <c r="AE148" s="1" t="s">
        <v>1836</v>
      </c>
      <c r="AF148" s="1" t="s">
        <v>1755</v>
      </c>
      <c r="AG148" s="1" t="s">
        <v>1836</v>
      </c>
      <c r="AH148" s="1" t="s">
        <v>223</v>
      </c>
      <c r="AI148" s="6">
        <v>16864.0</v>
      </c>
      <c r="AJ148" s="1" t="s">
        <v>224</v>
      </c>
      <c r="AK148" s="1" t="s">
        <v>1837</v>
      </c>
      <c r="AL148" s="1" t="s">
        <v>1838</v>
      </c>
      <c r="AM148" s="11" t="str">
        <f>VLOOKUP(N148,Sheet3!$B$4:$C$10,2,1)</f>
        <v>21-30</v>
      </c>
      <c r="AN148" s="13" t="str">
        <f>VLOOKUP(Z148,Sheet3!$F$4:$G$10,2,1)</f>
        <v>&lt; 5</v>
      </c>
      <c r="AO148" s="5" t="str">
        <f>VLOOKUP(AA148,Sheet3!$I$3:$J$16,2,1)</f>
        <v>180000-200000</v>
      </c>
      <c r="AP148" s="5" t="str">
        <f>VLOOKUP(AB148,Sheet3!$L$4:$M$14,2,1)</f>
        <v>5% - 10%</v>
      </c>
    </row>
    <row r="149">
      <c r="A149" s="6">
        <v>768457.0</v>
      </c>
      <c r="B149" s="1" t="s">
        <v>66</v>
      </c>
      <c r="C149" s="1" t="s">
        <v>1839</v>
      </c>
      <c r="D149" s="1" t="s">
        <v>173</v>
      </c>
      <c r="E149" s="1" t="s">
        <v>1840</v>
      </c>
      <c r="F149" s="1" t="s">
        <v>70</v>
      </c>
      <c r="G149" s="1" t="s">
        <v>1841</v>
      </c>
      <c r="H149" s="1" t="s">
        <v>1395</v>
      </c>
      <c r="I149" s="1" t="s">
        <v>1842</v>
      </c>
      <c r="J149" s="1" t="s">
        <v>1843</v>
      </c>
      <c r="K149" s="1" t="s">
        <v>1844</v>
      </c>
      <c r="L149" s="9">
        <v>27108.0</v>
      </c>
      <c r="M149" s="8">
        <v>0.11466435185185185</v>
      </c>
      <c r="N149" s="6">
        <v>43.39</v>
      </c>
      <c r="O149" s="6">
        <v>82.0</v>
      </c>
      <c r="P149" s="14">
        <v>39153.0</v>
      </c>
      <c r="Q149" s="1" t="s">
        <v>96</v>
      </c>
      <c r="R149" s="1" t="s">
        <v>76</v>
      </c>
      <c r="S149" s="6">
        <v>2007.0</v>
      </c>
      <c r="T149" s="6">
        <v>3.0</v>
      </c>
      <c r="U149" s="1" t="s">
        <v>97</v>
      </c>
      <c r="V149" s="1" t="s">
        <v>98</v>
      </c>
      <c r="W149" s="6">
        <v>12.0</v>
      </c>
      <c r="X149" s="1" t="s">
        <v>99</v>
      </c>
      <c r="Y149" s="1" t="s">
        <v>100</v>
      </c>
      <c r="Z149" s="6">
        <v>10.39</v>
      </c>
      <c r="AA149" s="6">
        <v>119793.0</v>
      </c>
      <c r="AB149" s="10">
        <v>0.25</v>
      </c>
      <c r="AC149" s="1" t="s">
        <v>1845</v>
      </c>
      <c r="AD149" s="1" t="s">
        <v>1846</v>
      </c>
      <c r="AE149" s="1" t="s">
        <v>1847</v>
      </c>
      <c r="AF149" s="1" t="s">
        <v>1848</v>
      </c>
      <c r="AG149" s="1" t="s">
        <v>1847</v>
      </c>
      <c r="AH149" s="1" t="s">
        <v>385</v>
      </c>
      <c r="AI149" s="6">
        <v>99152.0</v>
      </c>
      <c r="AJ149" s="1" t="s">
        <v>63</v>
      </c>
      <c r="AK149" s="1" t="s">
        <v>1849</v>
      </c>
      <c r="AL149" s="1" t="s">
        <v>1850</v>
      </c>
      <c r="AM149" s="11" t="str">
        <f>VLOOKUP(N149,Sheet3!$B$4:$C$10,2,1)</f>
        <v>41-50</v>
      </c>
      <c r="AN149" s="12" t="str">
        <f>VLOOKUP(Z149,Sheet3!$F$4:$G$10,2,1)</f>
        <v>5-10</v>
      </c>
      <c r="AO149" s="5" t="str">
        <f>VLOOKUP(AA149,Sheet3!$I$3:$J$16,2,1)</f>
        <v>100000-120000</v>
      </c>
      <c r="AP149" s="5" t="str">
        <f>VLOOKUP(AB149,Sheet3!$L$4:$M$14,2,1)</f>
        <v>21% - 25%</v>
      </c>
    </row>
    <row r="150">
      <c r="A150" s="6">
        <v>583282.0</v>
      </c>
      <c r="B150" s="1" t="s">
        <v>109</v>
      </c>
      <c r="C150" s="1" t="s">
        <v>1851</v>
      </c>
      <c r="D150" s="1" t="s">
        <v>403</v>
      </c>
      <c r="E150" s="1" t="s">
        <v>1289</v>
      </c>
      <c r="F150" s="1" t="s">
        <v>46</v>
      </c>
      <c r="G150" s="1" t="s">
        <v>1852</v>
      </c>
      <c r="H150" s="1" t="s">
        <v>1395</v>
      </c>
      <c r="I150" s="1" t="s">
        <v>1853</v>
      </c>
      <c r="J150" s="1" t="s">
        <v>1854</v>
      </c>
      <c r="K150" s="1" t="s">
        <v>1855</v>
      </c>
      <c r="L150" s="9">
        <v>34637.0</v>
      </c>
      <c r="M150" s="8">
        <v>0.7770138888888889</v>
      </c>
      <c r="N150" s="6">
        <v>22.76</v>
      </c>
      <c r="O150" s="6">
        <v>53.0</v>
      </c>
      <c r="P150" s="14">
        <v>42552.0</v>
      </c>
      <c r="Q150" s="1" t="s">
        <v>308</v>
      </c>
      <c r="R150" s="1" t="s">
        <v>53</v>
      </c>
      <c r="S150" s="6">
        <v>2016.0</v>
      </c>
      <c r="T150" s="6">
        <v>7.0</v>
      </c>
      <c r="U150" s="1" t="s">
        <v>366</v>
      </c>
      <c r="V150" s="1" t="s">
        <v>367</v>
      </c>
      <c r="W150" s="6">
        <v>1.0</v>
      </c>
      <c r="X150" s="1" t="s">
        <v>263</v>
      </c>
      <c r="Y150" s="1" t="s">
        <v>264</v>
      </c>
      <c r="Z150" s="6">
        <v>1.07</v>
      </c>
      <c r="AA150" s="6">
        <v>166828.0</v>
      </c>
      <c r="AB150" s="10">
        <v>0.18</v>
      </c>
      <c r="AC150" s="1" t="s">
        <v>1856</v>
      </c>
      <c r="AD150" s="1" t="s">
        <v>1857</v>
      </c>
      <c r="AE150" s="1" t="s">
        <v>1858</v>
      </c>
      <c r="AF150" s="1" t="s">
        <v>1859</v>
      </c>
      <c r="AG150" s="1" t="s">
        <v>1858</v>
      </c>
      <c r="AH150" s="1" t="s">
        <v>488</v>
      </c>
      <c r="AI150" s="6">
        <v>32771.0</v>
      </c>
      <c r="AJ150" s="1" t="s">
        <v>106</v>
      </c>
      <c r="AK150" s="1" t="s">
        <v>1860</v>
      </c>
      <c r="AL150" s="1" t="s">
        <v>1861</v>
      </c>
      <c r="AM150" s="11" t="str">
        <f>VLOOKUP(N150,Sheet3!$B$4:$C$10,2,1)</f>
        <v>21-30</v>
      </c>
      <c r="AN150" s="13" t="str">
        <f>VLOOKUP(Z150,Sheet3!$F$4:$G$10,2,1)</f>
        <v>&lt; 5</v>
      </c>
      <c r="AO150" s="5" t="str">
        <f>VLOOKUP(AA150,Sheet3!$I$3:$J$16,2,1)</f>
        <v>160000-180000</v>
      </c>
      <c r="AP150" s="5" t="str">
        <f>VLOOKUP(AB150,Sheet3!$L$4:$M$14,2,1)</f>
        <v>16% - 20%</v>
      </c>
    </row>
    <row r="151">
      <c r="A151" s="6">
        <v>421955.0</v>
      </c>
      <c r="B151" s="1" t="s">
        <v>42</v>
      </c>
      <c r="C151" s="1" t="s">
        <v>1862</v>
      </c>
      <c r="D151" s="1" t="s">
        <v>529</v>
      </c>
      <c r="E151" s="1" t="s">
        <v>692</v>
      </c>
      <c r="F151" s="1" t="s">
        <v>46</v>
      </c>
      <c r="G151" s="1" t="s">
        <v>1863</v>
      </c>
      <c r="H151" s="1" t="s">
        <v>1395</v>
      </c>
      <c r="I151" s="1" t="s">
        <v>1864</v>
      </c>
      <c r="J151" s="1" t="s">
        <v>1865</v>
      </c>
      <c r="K151" s="1" t="s">
        <v>1866</v>
      </c>
      <c r="L151" s="14">
        <v>23926.0</v>
      </c>
      <c r="M151" s="8">
        <v>0.6239467592592592</v>
      </c>
      <c r="N151" s="6">
        <v>52.1</v>
      </c>
      <c r="O151" s="6">
        <v>48.0</v>
      </c>
      <c r="P151" s="9">
        <v>41268.0</v>
      </c>
      <c r="Q151" s="1" t="s">
        <v>52</v>
      </c>
      <c r="R151" s="1" t="s">
        <v>53</v>
      </c>
      <c r="S151" s="6">
        <v>2012.0</v>
      </c>
      <c r="T151" s="6">
        <v>12.0</v>
      </c>
      <c r="U151" s="1" t="s">
        <v>54</v>
      </c>
      <c r="V151" s="1" t="s">
        <v>55</v>
      </c>
      <c r="W151" s="6">
        <v>25.0</v>
      </c>
      <c r="X151" s="1" t="s">
        <v>79</v>
      </c>
      <c r="Y151" s="1" t="s">
        <v>80</v>
      </c>
      <c r="Z151" s="6">
        <v>4.59</v>
      </c>
      <c r="AA151" s="6">
        <v>191691.0</v>
      </c>
      <c r="AB151" s="10">
        <v>0.23</v>
      </c>
      <c r="AC151" s="1" t="s">
        <v>1867</v>
      </c>
      <c r="AD151" s="1" t="s">
        <v>1868</v>
      </c>
      <c r="AE151" s="1" t="s">
        <v>1869</v>
      </c>
      <c r="AF151" s="1" t="s">
        <v>783</v>
      </c>
      <c r="AG151" s="1" t="s">
        <v>1869</v>
      </c>
      <c r="AH151" s="1" t="s">
        <v>156</v>
      </c>
      <c r="AI151" s="6">
        <v>24134.0</v>
      </c>
      <c r="AJ151" s="1" t="s">
        <v>106</v>
      </c>
      <c r="AK151" s="1" t="s">
        <v>1870</v>
      </c>
      <c r="AL151" s="1" t="s">
        <v>1871</v>
      </c>
      <c r="AM151" s="11" t="str">
        <f>VLOOKUP(N151,Sheet3!$B$4:$C$10,2,1)</f>
        <v>51-60</v>
      </c>
      <c r="AN151" s="13" t="str">
        <f>VLOOKUP(Z151,Sheet3!$F$4:$G$10,2,1)</f>
        <v>&lt; 5</v>
      </c>
      <c r="AO151" s="5" t="str">
        <f>VLOOKUP(AA151,Sheet3!$I$3:$J$16,2,1)</f>
        <v>180000-200000</v>
      </c>
      <c r="AP151" s="5" t="str">
        <f>VLOOKUP(AB151,Sheet3!$L$4:$M$14,2,1)</f>
        <v>21% - 25%</v>
      </c>
    </row>
    <row r="152">
      <c r="A152" s="6">
        <v>556491.0</v>
      </c>
      <c r="B152" s="1" t="s">
        <v>227</v>
      </c>
      <c r="C152" s="1" t="s">
        <v>1872</v>
      </c>
      <c r="D152" s="1" t="s">
        <v>111</v>
      </c>
      <c r="E152" s="1" t="s">
        <v>1873</v>
      </c>
      <c r="F152" s="1" t="s">
        <v>70</v>
      </c>
      <c r="G152" s="1" t="s">
        <v>1874</v>
      </c>
      <c r="H152" s="1" t="s">
        <v>1395</v>
      </c>
      <c r="I152" s="1" t="s">
        <v>1875</v>
      </c>
      <c r="J152" s="1" t="s">
        <v>1876</v>
      </c>
      <c r="K152" s="1" t="s">
        <v>1877</v>
      </c>
      <c r="L152" s="14">
        <v>25580.0</v>
      </c>
      <c r="M152" s="8">
        <v>0.8612847222222222</v>
      </c>
      <c r="N152" s="6">
        <v>47.57</v>
      </c>
      <c r="O152" s="6">
        <v>63.0</v>
      </c>
      <c r="P152" s="9">
        <v>39156.0</v>
      </c>
      <c r="Q152" s="1" t="s">
        <v>96</v>
      </c>
      <c r="R152" s="1" t="s">
        <v>76</v>
      </c>
      <c r="S152" s="6">
        <v>2007.0</v>
      </c>
      <c r="T152" s="6">
        <v>3.0</v>
      </c>
      <c r="U152" s="1" t="s">
        <v>97</v>
      </c>
      <c r="V152" s="1" t="s">
        <v>98</v>
      </c>
      <c r="W152" s="6">
        <v>15.0</v>
      </c>
      <c r="X152" s="1" t="s">
        <v>150</v>
      </c>
      <c r="Y152" s="1" t="s">
        <v>151</v>
      </c>
      <c r="Z152" s="6">
        <v>10.38</v>
      </c>
      <c r="AA152" s="6">
        <v>129203.0</v>
      </c>
      <c r="AB152" s="10">
        <v>0.3</v>
      </c>
      <c r="AC152" s="1" t="s">
        <v>1878</v>
      </c>
      <c r="AD152" s="1" t="s">
        <v>1879</v>
      </c>
      <c r="AE152" s="1" t="s">
        <v>1880</v>
      </c>
      <c r="AF152" s="1" t="s">
        <v>1880</v>
      </c>
      <c r="AG152" s="1" t="s">
        <v>1880</v>
      </c>
      <c r="AH152" s="1" t="s">
        <v>563</v>
      </c>
      <c r="AI152" s="6">
        <v>25158.0</v>
      </c>
      <c r="AJ152" s="1" t="s">
        <v>106</v>
      </c>
      <c r="AK152" s="1" t="s">
        <v>1881</v>
      </c>
      <c r="AL152" s="1" t="s">
        <v>1882</v>
      </c>
      <c r="AM152" s="11" t="str">
        <f>VLOOKUP(N152,Sheet3!$B$4:$C$10,2,1)</f>
        <v>41-50</v>
      </c>
      <c r="AN152" s="12" t="str">
        <f>VLOOKUP(Z152,Sheet3!$F$4:$G$10,2,1)</f>
        <v>5-10</v>
      </c>
      <c r="AO152" s="5" t="str">
        <f>VLOOKUP(AA152,Sheet3!$I$3:$J$16,2,1)</f>
        <v>120000-140000</v>
      </c>
      <c r="AP152" s="5" t="str">
        <f>VLOOKUP(AB152,Sheet3!$L$4:$M$14,2,1)</f>
        <v>26% - 30%</v>
      </c>
    </row>
    <row r="153">
      <c r="A153" s="6">
        <v>701223.0</v>
      </c>
      <c r="B153" s="1" t="s">
        <v>42</v>
      </c>
      <c r="C153" s="1" t="s">
        <v>1883</v>
      </c>
      <c r="D153" s="1" t="s">
        <v>554</v>
      </c>
      <c r="E153" s="1" t="s">
        <v>1884</v>
      </c>
      <c r="F153" s="1" t="s">
        <v>46</v>
      </c>
      <c r="G153" s="1" t="s">
        <v>1885</v>
      </c>
      <c r="H153" s="1" t="s">
        <v>1395</v>
      </c>
      <c r="I153" s="1" t="s">
        <v>1886</v>
      </c>
      <c r="J153" s="1" t="s">
        <v>1887</v>
      </c>
      <c r="K153" s="1" t="s">
        <v>1888</v>
      </c>
      <c r="L153" s="9">
        <v>33226.0</v>
      </c>
      <c r="M153" s="8">
        <v>0.020370370370370372</v>
      </c>
      <c r="N153" s="6">
        <v>26.62</v>
      </c>
      <c r="O153" s="6">
        <v>48.0</v>
      </c>
      <c r="P153" s="9">
        <v>41298.0</v>
      </c>
      <c r="Q153" s="1" t="s">
        <v>96</v>
      </c>
      <c r="R153" s="1" t="s">
        <v>76</v>
      </c>
      <c r="S153" s="6">
        <v>2013.0</v>
      </c>
      <c r="T153" s="6">
        <v>1.0</v>
      </c>
      <c r="U153" s="1" t="s">
        <v>276</v>
      </c>
      <c r="V153" s="1" t="s">
        <v>277</v>
      </c>
      <c r="W153" s="6">
        <v>24.0</v>
      </c>
      <c r="X153" s="1" t="s">
        <v>150</v>
      </c>
      <c r="Y153" s="1" t="s">
        <v>151</v>
      </c>
      <c r="Z153" s="6">
        <v>4.51</v>
      </c>
      <c r="AA153" s="6">
        <v>190367.0</v>
      </c>
      <c r="AB153" s="10">
        <v>0.19</v>
      </c>
      <c r="AC153" s="1" t="s">
        <v>1889</v>
      </c>
      <c r="AD153" s="1" t="s">
        <v>1890</v>
      </c>
      <c r="AE153" s="1" t="s">
        <v>1891</v>
      </c>
      <c r="AF153" s="1" t="s">
        <v>1892</v>
      </c>
      <c r="AG153" s="1" t="s">
        <v>1891</v>
      </c>
      <c r="AH153" s="1" t="s">
        <v>1561</v>
      </c>
      <c r="AI153" s="6">
        <v>53586.0</v>
      </c>
      <c r="AJ153" s="1" t="s">
        <v>86</v>
      </c>
      <c r="AK153" s="1" t="s">
        <v>1893</v>
      </c>
      <c r="AL153" s="1" t="s">
        <v>1894</v>
      </c>
      <c r="AM153" s="11" t="str">
        <f>VLOOKUP(N153,Sheet3!$B$4:$C$10,2,1)</f>
        <v>21-30</v>
      </c>
      <c r="AN153" s="13" t="str">
        <f>VLOOKUP(Z153,Sheet3!$F$4:$G$10,2,1)</f>
        <v>&lt; 5</v>
      </c>
      <c r="AO153" s="5" t="str">
        <f>VLOOKUP(AA153,Sheet3!$I$3:$J$16,2,1)</f>
        <v>180000-200000</v>
      </c>
      <c r="AP153" s="5" t="str">
        <f>VLOOKUP(AB153,Sheet3!$L$4:$M$14,2,1)</f>
        <v>16% - 20%</v>
      </c>
    </row>
    <row r="154">
      <c r="A154" s="6">
        <v>122005.0</v>
      </c>
      <c r="B154" s="1" t="s">
        <v>125</v>
      </c>
      <c r="C154" s="1" t="s">
        <v>1895</v>
      </c>
      <c r="D154" s="1" t="s">
        <v>1663</v>
      </c>
      <c r="E154" s="1" t="s">
        <v>380</v>
      </c>
      <c r="F154" s="1" t="s">
        <v>46</v>
      </c>
      <c r="G154" s="1" t="s">
        <v>1896</v>
      </c>
      <c r="H154" s="1" t="s">
        <v>1395</v>
      </c>
      <c r="I154" s="1" t="s">
        <v>1897</v>
      </c>
      <c r="J154" s="1" t="s">
        <v>1898</v>
      </c>
      <c r="K154" s="1" t="s">
        <v>1899</v>
      </c>
      <c r="L154" s="9">
        <v>29766.0</v>
      </c>
      <c r="M154" s="8">
        <v>0.5677893518518519</v>
      </c>
      <c r="N154" s="6">
        <v>36.1</v>
      </c>
      <c r="O154" s="6">
        <v>47.0</v>
      </c>
      <c r="P154" s="14">
        <v>42836.0</v>
      </c>
      <c r="Q154" s="1" t="s">
        <v>75</v>
      </c>
      <c r="R154" s="1" t="s">
        <v>76</v>
      </c>
      <c r="S154" s="6">
        <v>2017.0</v>
      </c>
      <c r="T154" s="6">
        <v>4.0</v>
      </c>
      <c r="U154" s="1" t="s">
        <v>77</v>
      </c>
      <c r="V154" s="1" t="s">
        <v>78</v>
      </c>
      <c r="W154" s="6">
        <v>11.0</v>
      </c>
      <c r="X154" s="1" t="s">
        <v>79</v>
      </c>
      <c r="Y154" s="1" t="s">
        <v>80</v>
      </c>
      <c r="Z154" s="6">
        <v>0.3</v>
      </c>
      <c r="AA154" s="6">
        <v>175771.0</v>
      </c>
      <c r="AB154" s="10">
        <v>0.1</v>
      </c>
      <c r="AC154" s="1" t="s">
        <v>1900</v>
      </c>
      <c r="AD154" s="1" t="s">
        <v>1901</v>
      </c>
      <c r="AE154" s="1" t="s">
        <v>1902</v>
      </c>
      <c r="AF154" s="1" t="s">
        <v>1903</v>
      </c>
      <c r="AG154" s="1" t="s">
        <v>1902</v>
      </c>
      <c r="AH154" s="1" t="s">
        <v>1527</v>
      </c>
      <c r="AI154" s="6">
        <v>36093.0</v>
      </c>
      <c r="AJ154" s="1" t="s">
        <v>106</v>
      </c>
      <c r="AK154" s="1" t="s">
        <v>1904</v>
      </c>
      <c r="AL154" s="1" t="s">
        <v>1905</v>
      </c>
      <c r="AM154" s="11" t="str">
        <f>VLOOKUP(N154,Sheet3!$B$4:$C$10,2,1)</f>
        <v>31-40</v>
      </c>
      <c r="AN154" s="13" t="str">
        <f>VLOOKUP(Z154,Sheet3!$F$4:$G$10,2,1)</f>
        <v>&lt; 5</v>
      </c>
      <c r="AO154" s="5" t="str">
        <f>VLOOKUP(AA154,Sheet3!$I$3:$J$16,2,1)</f>
        <v>160000-180000</v>
      </c>
      <c r="AP154" s="5" t="str">
        <f>VLOOKUP(AB154,Sheet3!$L$4:$M$14,2,1)</f>
        <v>5% - 10%</v>
      </c>
    </row>
    <row r="155">
      <c r="A155" s="6">
        <v>461385.0</v>
      </c>
      <c r="B155" s="1" t="s">
        <v>109</v>
      </c>
      <c r="C155" s="1" t="s">
        <v>1906</v>
      </c>
      <c r="D155" s="1" t="s">
        <v>288</v>
      </c>
      <c r="E155" s="1" t="s">
        <v>1907</v>
      </c>
      <c r="F155" s="1" t="s">
        <v>46</v>
      </c>
      <c r="G155" s="1" t="s">
        <v>1908</v>
      </c>
      <c r="H155" s="1" t="s">
        <v>1395</v>
      </c>
      <c r="I155" s="1" t="s">
        <v>1909</v>
      </c>
      <c r="J155" s="1" t="s">
        <v>1910</v>
      </c>
      <c r="K155" s="1" t="s">
        <v>1911</v>
      </c>
      <c r="L155" s="9">
        <v>24365.0</v>
      </c>
      <c r="M155" s="8">
        <v>0.18716435185185185</v>
      </c>
      <c r="N155" s="6">
        <v>50.9</v>
      </c>
      <c r="O155" s="6">
        <v>56.0</v>
      </c>
      <c r="P155" s="14">
        <v>41245.0</v>
      </c>
      <c r="Q155" s="1" t="s">
        <v>52</v>
      </c>
      <c r="R155" s="1" t="s">
        <v>53</v>
      </c>
      <c r="S155" s="6">
        <v>2012.0</v>
      </c>
      <c r="T155" s="6">
        <v>12.0</v>
      </c>
      <c r="U155" s="1" t="s">
        <v>54</v>
      </c>
      <c r="V155" s="1" t="s">
        <v>55</v>
      </c>
      <c r="W155" s="6">
        <v>2.0</v>
      </c>
      <c r="X155" s="1" t="s">
        <v>534</v>
      </c>
      <c r="Y155" s="1" t="s">
        <v>535</v>
      </c>
      <c r="Z155" s="6">
        <v>4.65</v>
      </c>
      <c r="AA155" s="6">
        <v>182870.0</v>
      </c>
      <c r="AB155" s="10">
        <v>0.05</v>
      </c>
      <c r="AC155" s="1" t="s">
        <v>1912</v>
      </c>
      <c r="AD155" s="1" t="s">
        <v>1913</v>
      </c>
      <c r="AE155" s="1" t="s">
        <v>1914</v>
      </c>
      <c r="AF155" s="1" t="s">
        <v>1915</v>
      </c>
      <c r="AG155" s="1" t="s">
        <v>1914</v>
      </c>
      <c r="AH155" s="1" t="s">
        <v>1561</v>
      </c>
      <c r="AI155" s="6">
        <v>53920.0</v>
      </c>
      <c r="AJ155" s="1" t="s">
        <v>86</v>
      </c>
      <c r="AK155" s="1" t="s">
        <v>1916</v>
      </c>
      <c r="AL155" s="1" t="s">
        <v>1917</v>
      </c>
      <c r="AM155" s="11" t="str">
        <f>VLOOKUP(N155,Sheet3!$B$4:$C$10,2,1)</f>
        <v>41-50</v>
      </c>
      <c r="AN155" s="13" t="str">
        <f>VLOOKUP(Z155,Sheet3!$F$4:$G$10,2,1)</f>
        <v>&lt; 5</v>
      </c>
      <c r="AO155" s="5" t="str">
        <f>VLOOKUP(AA155,Sheet3!$I$3:$J$16,2,1)</f>
        <v>180000-200000</v>
      </c>
      <c r="AP155" s="5" t="str">
        <f>VLOOKUP(AB155,Sheet3!$L$4:$M$14,2,1)</f>
        <v>5% - 10%</v>
      </c>
    </row>
    <row r="156">
      <c r="A156" s="6">
        <v>249180.0</v>
      </c>
      <c r="B156" s="1" t="s">
        <v>255</v>
      </c>
      <c r="C156" s="1" t="s">
        <v>1918</v>
      </c>
      <c r="D156" s="1" t="s">
        <v>70</v>
      </c>
      <c r="E156" s="1" t="s">
        <v>1919</v>
      </c>
      <c r="F156" s="1" t="s">
        <v>70</v>
      </c>
      <c r="G156" s="1" t="s">
        <v>1920</v>
      </c>
      <c r="H156" s="1" t="s">
        <v>1395</v>
      </c>
      <c r="I156" s="1" t="s">
        <v>1921</v>
      </c>
      <c r="J156" s="1" t="s">
        <v>1922</v>
      </c>
      <c r="K156" s="1" t="s">
        <v>1923</v>
      </c>
      <c r="L156" s="9">
        <v>29433.0</v>
      </c>
      <c r="M156" s="8">
        <v>0.8467592592592592</v>
      </c>
      <c r="N156" s="6">
        <v>37.02</v>
      </c>
      <c r="O156" s="6">
        <v>84.0</v>
      </c>
      <c r="P156" s="9">
        <v>40358.0</v>
      </c>
      <c r="Q156" s="1" t="s">
        <v>75</v>
      </c>
      <c r="R156" s="1" t="s">
        <v>76</v>
      </c>
      <c r="S156" s="6">
        <v>2010.0</v>
      </c>
      <c r="T156" s="6">
        <v>6.0</v>
      </c>
      <c r="U156" s="1" t="s">
        <v>324</v>
      </c>
      <c r="V156" s="1" t="s">
        <v>325</v>
      </c>
      <c r="W156" s="6">
        <v>29.0</v>
      </c>
      <c r="X156" s="1" t="s">
        <v>79</v>
      </c>
      <c r="Y156" s="1" t="s">
        <v>80</v>
      </c>
      <c r="Z156" s="6">
        <v>7.08</v>
      </c>
      <c r="AA156" s="6">
        <v>141641.0</v>
      </c>
      <c r="AB156" s="10">
        <v>0.01</v>
      </c>
      <c r="AC156" s="1" t="s">
        <v>1924</v>
      </c>
      <c r="AD156" s="1" t="s">
        <v>1925</v>
      </c>
      <c r="AE156" s="1" t="s">
        <v>1926</v>
      </c>
      <c r="AF156" s="1" t="s">
        <v>1926</v>
      </c>
      <c r="AG156" s="1" t="s">
        <v>1926</v>
      </c>
      <c r="AH156" s="1" t="s">
        <v>284</v>
      </c>
      <c r="AI156" s="6">
        <v>50574.0</v>
      </c>
      <c r="AJ156" s="1" t="s">
        <v>86</v>
      </c>
      <c r="AK156" s="1" t="s">
        <v>1927</v>
      </c>
      <c r="AL156" s="1" t="s">
        <v>1928</v>
      </c>
      <c r="AM156" s="11" t="str">
        <f>VLOOKUP(N156,Sheet3!$B$4:$C$10,2,1)</f>
        <v>31-40</v>
      </c>
      <c r="AN156" s="12" t="str">
        <f>VLOOKUP(Z156,Sheet3!$F$4:$G$10,2,1)</f>
        <v>5-10</v>
      </c>
      <c r="AO156" s="5" t="str">
        <f>VLOOKUP(AA156,Sheet3!$I$3:$J$16,2,1)</f>
        <v>140000-160000</v>
      </c>
      <c r="AP156" s="5" t="str">
        <f>VLOOKUP(AB156,Sheet3!$L$4:$M$14,2,1)</f>
        <v>&lt; 5%</v>
      </c>
    </row>
    <row r="157">
      <c r="A157" s="6">
        <v>634658.0</v>
      </c>
      <c r="B157" s="1" t="s">
        <v>66</v>
      </c>
      <c r="C157" s="1" t="s">
        <v>1929</v>
      </c>
      <c r="D157" s="1" t="s">
        <v>360</v>
      </c>
      <c r="E157" s="1" t="s">
        <v>1930</v>
      </c>
      <c r="F157" s="1" t="s">
        <v>70</v>
      </c>
      <c r="G157" s="1" t="s">
        <v>1931</v>
      </c>
      <c r="H157" s="1" t="s">
        <v>1395</v>
      </c>
      <c r="I157" s="1" t="s">
        <v>1932</v>
      </c>
      <c r="J157" s="1" t="s">
        <v>1933</v>
      </c>
      <c r="K157" s="1" t="s">
        <v>1934</v>
      </c>
      <c r="L157" s="14">
        <v>24324.0</v>
      </c>
      <c r="M157" s="8">
        <v>0.4891666666666667</v>
      </c>
      <c r="N157" s="6">
        <v>51.01</v>
      </c>
      <c r="O157" s="6">
        <v>50.0</v>
      </c>
      <c r="P157" s="9">
        <v>42030.0</v>
      </c>
      <c r="Q157" s="1" t="s">
        <v>96</v>
      </c>
      <c r="R157" s="1" t="s">
        <v>76</v>
      </c>
      <c r="S157" s="6">
        <v>2015.0</v>
      </c>
      <c r="T157" s="6">
        <v>1.0</v>
      </c>
      <c r="U157" s="1" t="s">
        <v>276</v>
      </c>
      <c r="V157" s="1" t="s">
        <v>277</v>
      </c>
      <c r="W157" s="6">
        <v>26.0</v>
      </c>
      <c r="X157" s="1" t="s">
        <v>99</v>
      </c>
      <c r="Y157" s="1" t="s">
        <v>100</v>
      </c>
      <c r="Z157" s="6">
        <v>2.5</v>
      </c>
      <c r="AA157" s="6">
        <v>75123.0</v>
      </c>
      <c r="AB157" s="10">
        <v>0.24</v>
      </c>
      <c r="AC157" s="1" t="s">
        <v>1935</v>
      </c>
      <c r="AD157" s="1" t="s">
        <v>1936</v>
      </c>
      <c r="AE157" s="1" t="s">
        <v>764</v>
      </c>
      <c r="AF157" s="1" t="s">
        <v>1937</v>
      </c>
      <c r="AG157" s="1" t="s">
        <v>764</v>
      </c>
      <c r="AH157" s="1" t="s">
        <v>811</v>
      </c>
      <c r="AI157" s="6">
        <v>39216.0</v>
      </c>
      <c r="AJ157" s="1" t="s">
        <v>106</v>
      </c>
      <c r="AK157" s="1" t="s">
        <v>1938</v>
      </c>
      <c r="AL157" s="1" t="s">
        <v>1939</v>
      </c>
      <c r="AM157" s="11" t="str">
        <f>VLOOKUP(N157,Sheet3!$B$4:$C$10,2,1)</f>
        <v>51-60</v>
      </c>
      <c r="AN157" s="13" t="str">
        <f>VLOOKUP(Z157,Sheet3!$F$4:$G$10,2,1)</f>
        <v>&lt; 5</v>
      </c>
      <c r="AO157" s="5" t="str">
        <f>VLOOKUP(AA157,Sheet3!$I$3:$J$16,2,1)</f>
        <v>60000-80000</v>
      </c>
      <c r="AP157" s="5" t="str">
        <f>VLOOKUP(AB157,Sheet3!$L$4:$M$14,2,1)</f>
        <v>21% - 25%</v>
      </c>
    </row>
    <row r="158">
      <c r="A158" s="6">
        <v>842752.0</v>
      </c>
      <c r="B158" s="1" t="s">
        <v>109</v>
      </c>
      <c r="C158" s="1" t="s">
        <v>1940</v>
      </c>
      <c r="D158" s="1" t="s">
        <v>334</v>
      </c>
      <c r="E158" s="1" t="s">
        <v>1941</v>
      </c>
      <c r="F158" s="1" t="s">
        <v>46</v>
      </c>
      <c r="G158" s="1" t="s">
        <v>1942</v>
      </c>
      <c r="H158" s="1" t="s">
        <v>1395</v>
      </c>
      <c r="I158" s="1" t="s">
        <v>1943</v>
      </c>
      <c r="J158" s="1" t="s">
        <v>1944</v>
      </c>
      <c r="K158" s="1" t="s">
        <v>1945</v>
      </c>
      <c r="L158" s="14">
        <v>27186.0</v>
      </c>
      <c r="M158" s="8">
        <v>0.6672685185185185</v>
      </c>
      <c r="N158" s="6">
        <v>43.17</v>
      </c>
      <c r="O158" s="6">
        <v>60.0</v>
      </c>
      <c r="P158" s="9">
        <v>35698.0</v>
      </c>
      <c r="Q158" s="1" t="s">
        <v>308</v>
      </c>
      <c r="R158" s="1" t="s">
        <v>53</v>
      </c>
      <c r="S158" s="6">
        <v>1997.0</v>
      </c>
      <c r="T158" s="6">
        <v>9.0</v>
      </c>
      <c r="U158" s="1" t="s">
        <v>309</v>
      </c>
      <c r="V158" s="1" t="s">
        <v>310</v>
      </c>
      <c r="W158" s="6">
        <v>25.0</v>
      </c>
      <c r="X158" s="1" t="s">
        <v>150</v>
      </c>
      <c r="Y158" s="1" t="s">
        <v>151</v>
      </c>
      <c r="Z158" s="6">
        <v>19.85</v>
      </c>
      <c r="AA158" s="6">
        <v>155291.0</v>
      </c>
      <c r="AB158" s="10">
        <v>0.01</v>
      </c>
      <c r="AC158" s="1" t="s">
        <v>1946</v>
      </c>
      <c r="AD158" s="1" t="s">
        <v>1947</v>
      </c>
      <c r="AE158" s="1" t="s">
        <v>1948</v>
      </c>
      <c r="AF158" s="1" t="s">
        <v>229</v>
      </c>
      <c r="AG158" s="1" t="s">
        <v>1948</v>
      </c>
      <c r="AH158" s="1" t="s">
        <v>1527</v>
      </c>
      <c r="AI158" s="6">
        <v>36278.0</v>
      </c>
      <c r="AJ158" s="1" t="s">
        <v>106</v>
      </c>
      <c r="AK158" s="1" t="s">
        <v>1949</v>
      </c>
      <c r="AL158" s="1" t="s">
        <v>1950</v>
      </c>
      <c r="AM158" s="11" t="str">
        <f>VLOOKUP(N158,Sheet3!$B$4:$C$10,2,1)</f>
        <v>41-50</v>
      </c>
      <c r="AN158" s="12" t="str">
        <f>VLOOKUP(Z158,Sheet3!$F$4:$G$10,2,1)</f>
        <v>11-20</v>
      </c>
      <c r="AO158" s="5" t="str">
        <f>VLOOKUP(AA158,Sheet3!$I$3:$J$16,2,1)</f>
        <v>140000-160000</v>
      </c>
      <c r="AP158" s="5" t="str">
        <f>VLOOKUP(AB158,Sheet3!$L$4:$M$14,2,1)</f>
        <v>&lt; 5%</v>
      </c>
    </row>
    <row r="159">
      <c r="A159" s="6">
        <v>513773.0</v>
      </c>
      <c r="B159" s="1" t="s">
        <v>227</v>
      </c>
      <c r="C159" s="1" t="s">
        <v>1951</v>
      </c>
      <c r="D159" s="1" t="s">
        <v>318</v>
      </c>
      <c r="E159" s="1" t="s">
        <v>1952</v>
      </c>
      <c r="F159" s="1" t="s">
        <v>70</v>
      </c>
      <c r="G159" s="1" t="s">
        <v>1953</v>
      </c>
      <c r="H159" s="1" t="s">
        <v>1395</v>
      </c>
      <c r="I159" s="1" t="s">
        <v>1954</v>
      </c>
      <c r="J159" s="1" t="s">
        <v>1955</v>
      </c>
      <c r="K159" s="1" t="s">
        <v>1473</v>
      </c>
      <c r="L159" s="9">
        <v>29849.0</v>
      </c>
      <c r="M159" s="8">
        <v>0.9443287037037037</v>
      </c>
      <c r="N159" s="6">
        <v>35.88</v>
      </c>
      <c r="O159" s="6">
        <v>88.0</v>
      </c>
      <c r="P159" s="9">
        <v>42476.0</v>
      </c>
      <c r="Q159" s="1" t="s">
        <v>75</v>
      </c>
      <c r="R159" s="1" t="s">
        <v>76</v>
      </c>
      <c r="S159" s="6">
        <v>2016.0</v>
      </c>
      <c r="T159" s="6">
        <v>4.0</v>
      </c>
      <c r="U159" s="1" t="s">
        <v>77</v>
      </c>
      <c r="V159" s="1" t="s">
        <v>78</v>
      </c>
      <c r="W159" s="6">
        <v>16.0</v>
      </c>
      <c r="X159" s="1" t="s">
        <v>56</v>
      </c>
      <c r="Y159" s="1" t="s">
        <v>57</v>
      </c>
      <c r="Z159" s="6">
        <v>1.28</v>
      </c>
      <c r="AA159" s="6">
        <v>102944.0</v>
      </c>
      <c r="AB159" s="10">
        <v>0.27</v>
      </c>
      <c r="AC159" s="1" t="s">
        <v>1956</v>
      </c>
      <c r="AD159" s="1" t="s">
        <v>1957</v>
      </c>
      <c r="AE159" s="1" t="s">
        <v>1958</v>
      </c>
      <c r="AF159" s="1" t="s">
        <v>1959</v>
      </c>
      <c r="AG159" s="1" t="s">
        <v>1958</v>
      </c>
      <c r="AH159" s="1" t="s">
        <v>488</v>
      </c>
      <c r="AI159" s="6">
        <v>33763.0</v>
      </c>
      <c r="AJ159" s="1" t="s">
        <v>106</v>
      </c>
      <c r="AK159" s="1" t="s">
        <v>1960</v>
      </c>
      <c r="AL159" s="1" t="s">
        <v>1961</v>
      </c>
      <c r="AM159" s="11" t="str">
        <f>VLOOKUP(N159,Sheet3!$B$4:$C$10,2,1)</f>
        <v>31-40</v>
      </c>
      <c r="AN159" s="13" t="str">
        <f>VLOOKUP(Z159,Sheet3!$F$4:$G$10,2,1)</f>
        <v>&lt; 5</v>
      </c>
      <c r="AO159" s="5" t="str">
        <f>VLOOKUP(AA159,Sheet3!$I$3:$J$16,2,1)</f>
        <v>100000-120000</v>
      </c>
      <c r="AP159" s="5" t="str">
        <f>VLOOKUP(AB159,Sheet3!$L$4:$M$14,2,1)</f>
        <v>26% - 30%</v>
      </c>
    </row>
    <row r="160">
      <c r="A160" s="6">
        <v>781472.0</v>
      </c>
      <c r="B160" s="1" t="s">
        <v>66</v>
      </c>
      <c r="C160" s="1" t="s">
        <v>1962</v>
      </c>
      <c r="D160" s="1" t="s">
        <v>861</v>
      </c>
      <c r="E160" s="1" t="s">
        <v>1963</v>
      </c>
      <c r="F160" s="1" t="s">
        <v>70</v>
      </c>
      <c r="G160" s="1" t="s">
        <v>1964</v>
      </c>
      <c r="H160" s="1" t="s">
        <v>1395</v>
      </c>
      <c r="I160" s="1" t="s">
        <v>1965</v>
      </c>
      <c r="J160" s="1" t="s">
        <v>1966</v>
      </c>
      <c r="K160" s="1" t="s">
        <v>1967</v>
      </c>
      <c r="L160" s="9">
        <v>23973.0</v>
      </c>
      <c r="M160" s="8">
        <v>0.27402777777777776</v>
      </c>
      <c r="N160" s="6">
        <v>51.98</v>
      </c>
      <c r="O160" s="6">
        <v>61.0</v>
      </c>
      <c r="P160" s="14">
        <v>39939.0</v>
      </c>
      <c r="Q160" s="1" t="s">
        <v>75</v>
      </c>
      <c r="R160" s="1" t="s">
        <v>76</v>
      </c>
      <c r="S160" s="6">
        <v>2009.0</v>
      </c>
      <c r="T160" s="6">
        <v>5.0</v>
      </c>
      <c r="U160" s="1" t="s">
        <v>294</v>
      </c>
      <c r="V160" s="1" t="s">
        <v>294</v>
      </c>
      <c r="W160" s="6">
        <v>6.0</v>
      </c>
      <c r="X160" s="1" t="s">
        <v>278</v>
      </c>
      <c r="Y160" s="1" t="s">
        <v>279</v>
      </c>
      <c r="Z160" s="6">
        <v>8.23</v>
      </c>
      <c r="AA160" s="6">
        <v>45519.0</v>
      </c>
      <c r="AB160" s="10">
        <v>0.25</v>
      </c>
      <c r="AC160" s="1" t="s">
        <v>1968</v>
      </c>
      <c r="AD160" s="1" t="s">
        <v>1969</v>
      </c>
      <c r="AE160" s="1" t="s">
        <v>1970</v>
      </c>
      <c r="AF160" s="1" t="s">
        <v>1971</v>
      </c>
      <c r="AG160" s="1" t="s">
        <v>1970</v>
      </c>
      <c r="AH160" s="1" t="s">
        <v>1972</v>
      </c>
      <c r="AI160" s="6">
        <v>84032.0</v>
      </c>
      <c r="AJ160" s="1" t="s">
        <v>63</v>
      </c>
      <c r="AK160" s="1" t="s">
        <v>1973</v>
      </c>
      <c r="AL160" s="1" t="s">
        <v>1974</v>
      </c>
      <c r="AM160" s="11" t="str">
        <f>VLOOKUP(N160,Sheet3!$B$4:$C$10,2,1)</f>
        <v>51-60</v>
      </c>
      <c r="AN160" s="12" t="str">
        <f>VLOOKUP(Z160,Sheet3!$F$4:$G$10,2,1)</f>
        <v>5-10</v>
      </c>
      <c r="AO160" s="5" t="str">
        <f>VLOOKUP(AA160,Sheet3!$I$3:$J$16,2,1)</f>
        <v>40000-60000</v>
      </c>
      <c r="AP160" s="5" t="str">
        <f>VLOOKUP(AB160,Sheet3!$L$4:$M$14,2,1)</f>
        <v>21% - 25%</v>
      </c>
    </row>
    <row r="161">
      <c r="A161" s="6">
        <v>747200.0</v>
      </c>
      <c r="B161" s="1" t="s">
        <v>109</v>
      </c>
      <c r="C161" s="1" t="s">
        <v>1975</v>
      </c>
      <c r="D161" s="1" t="s">
        <v>389</v>
      </c>
      <c r="E161" s="1" t="s">
        <v>1976</v>
      </c>
      <c r="F161" s="1" t="s">
        <v>46</v>
      </c>
      <c r="G161" s="1" t="s">
        <v>1977</v>
      </c>
      <c r="H161" s="1" t="s">
        <v>1395</v>
      </c>
      <c r="I161" s="1" t="s">
        <v>1978</v>
      </c>
      <c r="J161" s="1" t="s">
        <v>1979</v>
      </c>
      <c r="K161" s="1" t="s">
        <v>1980</v>
      </c>
      <c r="L161" s="9">
        <v>22793.0</v>
      </c>
      <c r="M161" s="8">
        <v>0.3959837962962963</v>
      </c>
      <c r="N161" s="6">
        <v>55.21</v>
      </c>
      <c r="O161" s="6">
        <v>41.0</v>
      </c>
      <c r="P161" s="9">
        <v>36354.0</v>
      </c>
      <c r="Q161" s="1" t="s">
        <v>308</v>
      </c>
      <c r="R161" s="1" t="s">
        <v>53</v>
      </c>
      <c r="S161" s="6">
        <v>1999.0</v>
      </c>
      <c r="T161" s="6">
        <v>7.0</v>
      </c>
      <c r="U161" s="1" t="s">
        <v>366</v>
      </c>
      <c r="V161" s="1" t="s">
        <v>367</v>
      </c>
      <c r="W161" s="6">
        <v>13.0</v>
      </c>
      <c r="X161" s="1" t="s">
        <v>79</v>
      </c>
      <c r="Y161" s="1" t="s">
        <v>80</v>
      </c>
      <c r="Z161" s="6">
        <v>18.05</v>
      </c>
      <c r="AA161" s="6">
        <v>131182.0</v>
      </c>
      <c r="AB161" s="10">
        <v>0.3</v>
      </c>
      <c r="AC161" s="1" t="s">
        <v>1981</v>
      </c>
      <c r="AD161" s="1" t="s">
        <v>1982</v>
      </c>
      <c r="AE161" s="1" t="s">
        <v>1983</v>
      </c>
      <c r="AF161" s="1" t="s">
        <v>1984</v>
      </c>
      <c r="AG161" s="1" t="s">
        <v>1983</v>
      </c>
      <c r="AH161" s="1" t="s">
        <v>156</v>
      </c>
      <c r="AI161" s="6">
        <v>22040.0</v>
      </c>
      <c r="AJ161" s="1" t="s">
        <v>106</v>
      </c>
      <c r="AK161" s="1" t="s">
        <v>1985</v>
      </c>
      <c r="AL161" s="1" t="s">
        <v>1986</v>
      </c>
      <c r="AM161" s="11" t="str">
        <f>VLOOKUP(N161,Sheet3!$B$4:$C$10,2,1)</f>
        <v>51-60</v>
      </c>
      <c r="AN161" s="12" t="str">
        <f>VLOOKUP(Z161,Sheet3!$F$4:$G$10,2,1)</f>
        <v>11-20</v>
      </c>
      <c r="AO161" s="5" t="str">
        <f>VLOOKUP(AA161,Sheet3!$I$3:$J$16,2,1)</f>
        <v>120000-140000</v>
      </c>
      <c r="AP161" s="5" t="str">
        <f>VLOOKUP(AB161,Sheet3!$L$4:$M$14,2,1)</f>
        <v>26% - 30%</v>
      </c>
    </row>
    <row r="162">
      <c r="A162" s="6">
        <v>932425.0</v>
      </c>
      <c r="B162" s="1" t="s">
        <v>66</v>
      </c>
      <c r="C162" s="1" t="s">
        <v>1987</v>
      </c>
      <c r="D162" s="1" t="s">
        <v>403</v>
      </c>
      <c r="E162" s="1" t="s">
        <v>1988</v>
      </c>
      <c r="F162" s="1" t="s">
        <v>70</v>
      </c>
      <c r="G162" s="1" t="s">
        <v>1989</v>
      </c>
      <c r="H162" s="1" t="s">
        <v>1395</v>
      </c>
      <c r="I162" s="1" t="s">
        <v>1990</v>
      </c>
      <c r="J162" s="1" t="s">
        <v>1991</v>
      </c>
      <c r="K162" s="1" t="s">
        <v>856</v>
      </c>
      <c r="L162" s="14">
        <v>29099.0</v>
      </c>
      <c r="M162" s="8">
        <v>0.6182407407407408</v>
      </c>
      <c r="N162" s="6">
        <v>37.93</v>
      </c>
      <c r="O162" s="6">
        <v>63.0</v>
      </c>
      <c r="P162" s="9">
        <v>41694.0</v>
      </c>
      <c r="Q162" s="1" t="s">
        <v>96</v>
      </c>
      <c r="R162" s="1" t="s">
        <v>76</v>
      </c>
      <c r="S162" s="6">
        <v>2014.0</v>
      </c>
      <c r="T162" s="6">
        <v>2.0</v>
      </c>
      <c r="U162" s="1" t="s">
        <v>117</v>
      </c>
      <c r="V162" s="1" t="s">
        <v>118</v>
      </c>
      <c r="W162" s="6">
        <v>24.0</v>
      </c>
      <c r="X162" s="1" t="s">
        <v>99</v>
      </c>
      <c r="Y162" s="1" t="s">
        <v>100</v>
      </c>
      <c r="Z162" s="6">
        <v>3.42</v>
      </c>
      <c r="AA162" s="6">
        <v>84029.0</v>
      </c>
      <c r="AB162" s="10">
        <v>0.03</v>
      </c>
      <c r="AC162" s="1" t="s">
        <v>1992</v>
      </c>
      <c r="AD162" s="1" t="s">
        <v>1993</v>
      </c>
      <c r="AE162" s="1" t="s">
        <v>1994</v>
      </c>
      <c r="AF162" s="1" t="s">
        <v>1995</v>
      </c>
      <c r="AG162" s="1" t="s">
        <v>1994</v>
      </c>
      <c r="AH162" s="1" t="s">
        <v>169</v>
      </c>
      <c r="AI162" s="6">
        <v>77985.0</v>
      </c>
      <c r="AJ162" s="1" t="s">
        <v>106</v>
      </c>
      <c r="AK162" s="1" t="s">
        <v>1996</v>
      </c>
      <c r="AL162" s="1" t="s">
        <v>1997</v>
      </c>
      <c r="AM162" s="11" t="str">
        <f>VLOOKUP(N162,Sheet3!$B$4:$C$10,2,1)</f>
        <v>31-40</v>
      </c>
      <c r="AN162" s="13" t="str">
        <f>VLOOKUP(Z162,Sheet3!$F$4:$G$10,2,1)</f>
        <v>&lt; 5</v>
      </c>
      <c r="AO162" s="5" t="str">
        <f>VLOOKUP(AA162,Sheet3!$I$3:$J$16,2,1)</f>
        <v>80000-100000</v>
      </c>
      <c r="AP162" s="5" t="str">
        <f>VLOOKUP(AB162,Sheet3!$L$4:$M$14,2,1)</f>
        <v>&lt; 5%</v>
      </c>
    </row>
    <row r="163">
      <c r="A163" s="6">
        <v>962851.0</v>
      </c>
      <c r="B163" s="1" t="s">
        <v>42</v>
      </c>
      <c r="C163" s="1" t="s">
        <v>1998</v>
      </c>
      <c r="D163" s="1" t="s">
        <v>288</v>
      </c>
      <c r="E163" s="1" t="s">
        <v>247</v>
      </c>
      <c r="F163" s="1" t="s">
        <v>46</v>
      </c>
      <c r="G163" s="1" t="s">
        <v>1999</v>
      </c>
      <c r="H163" s="1" t="s">
        <v>1395</v>
      </c>
      <c r="I163" s="1" t="s">
        <v>2000</v>
      </c>
      <c r="J163" s="1" t="s">
        <v>2001</v>
      </c>
      <c r="K163" s="1" t="s">
        <v>2002</v>
      </c>
      <c r="L163" s="9">
        <v>31738.0</v>
      </c>
      <c r="M163" s="8">
        <v>0.8480092592592593</v>
      </c>
      <c r="N163" s="6">
        <v>30.7</v>
      </c>
      <c r="O163" s="6">
        <v>42.0</v>
      </c>
      <c r="P163" s="9">
        <v>40754.0</v>
      </c>
      <c r="Q163" s="1" t="s">
        <v>308</v>
      </c>
      <c r="R163" s="1" t="s">
        <v>53</v>
      </c>
      <c r="S163" s="6">
        <v>2011.0</v>
      </c>
      <c r="T163" s="6">
        <v>7.0</v>
      </c>
      <c r="U163" s="1" t="s">
        <v>366</v>
      </c>
      <c r="V163" s="1" t="s">
        <v>367</v>
      </c>
      <c r="W163" s="6">
        <v>30.0</v>
      </c>
      <c r="X163" s="1" t="s">
        <v>56</v>
      </c>
      <c r="Y163" s="1" t="s">
        <v>57</v>
      </c>
      <c r="Z163" s="6">
        <v>6.0</v>
      </c>
      <c r="AA163" s="6">
        <v>65985.0</v>
      </c>
      <c r="AB163" s="10">
        <v>0.25</v>
      </c>
      <c r="AC163" s="1" t="s">
        <v>2003</v>
      </c>
      <c r="AD163" s="1" t="s">
        <v>2004</v>
      </c>
      <c r="AE163" s="1" t="s">
        <v>2005</v>
      </c>
      <c r="AF163" s="1" t="s">
        <v>2006</v>
      </c>
      <c r="AG163" s="1" t="s">
        <v>2005</v>
      </c>
      <c r="AH163" s="1" t="s">
        <v>2007</v>
      </c>
      <c r="AI163" s="6">
        <v>88008.0</v>
      </c>
      <c r="AJ163" s="1" t="s">
        <v>63</v>
      </c>
      <c r="AK163" s="1" t="s">
        <v>2008</v>
      </c>
      <c r="AL163" s="1" t="s">
        <v>2009</v>
      </c>
      <c r="AM163" s="11" t="str">
        <f>VLOOKUP(N163,Sheet3!$B$4:$C$10,2,1)</f>
        <v>21-30</v>
      </c>
      <c r="AN163" s="12" t="str">
        <f>VLOOKUP(Z163,Sheet3!$F$4:$G$10,2,1)</f>
        <v>5-10</v>
      </c>
      <c r="AO163" s="5" t="str">
        <f>VLOOKUP(AA163,Sheet3!$I$3:$J$16,2,1)</f>
        <v>60000-80000</v>
      </c>
      <c r="AP163" s="5" t="str">
        <f>VLOOKUP(AB163,Sheet3!$L$4:$M$14,2,1)</f>
        <v>21% - 25%</v>
      </c>
    </row>
    <row r="164">
      <c r="A164" s="6">
        <v>168829.0</v>
      </c>
      <c r="B164" s="1" t="s">
        <v>42</v>
      </c>
      <c r="C164" s="1" t="s">
        <v>2010</v>
      </c>
      <c r="D164" s="1" t="s">
        <v>242</v>
      </c>
      <c r="E164" s="1" t="s">
        <v>517</v>
      </c>
      <c r="F164" s="1" t="s">
        <v>46</v>
      </c>
      <c r="G164" s="1" t="s">
        <v>2011</v>
      </c>
      <c r="H164" s="1" t="s">
        <v>1395</v>
      </c>
      <c r="I164" s="1" t="s">
        <v>2012</v>
      </c>
      <c r="J164" s="1" t="s">
        <v>2013</v>
      </c>
      <c r="K164" s="1" t="s">
        <v>160</v>
      </c>
      <c r="L164" s="14">
        <v>31087.0</v>
      </c>
      <c r="M164" s="8">
        <v>0.7754513888888889</v>
      </c>
      <c r="N164" s="6">
        <v>32.48</v>
      </c>
      <c r="O164" s="6">
        <v>42.0</v>
      </c>
      <c r="P164" s="9">
        <v>38863.0</v>
      </c>
      <c r="Q164" s="1" t="s">
        <v>75</v>
      </c>
      <c r="R164" s="1" t="s">
        <v>76</v>
      </c>
      <c r="S164" s="6">
        <v>2006.0</v>
      </c>
      <c r="T164" s="6">
        <v>5.0</v>
      </c>
      <c r="U164" s="1" t="s">
        <v>294</v>
      </c>
      <c r="V164" s="1" t="s">
        <v>294</v>
      </c>
      <c r="W164" s="6">
        <v>26.0</v>
      </c>
      <c r="X164" s="1" t="s">
        <v>263</v>
      </c>
      <c r="Y164" s="1" t="s">
        <v>264</v>
      </c>
      <c r="Z164" s="6">
        <v>11.18</v>
      </c>
      <c r="AA164" s="6">
        <v>148623.0</v>
      </c>
      <c r="AB164" s="10">
        <v>0.16</v>
      </c>
      <c r="AC164" s="1" t="s">
        <v>2014</v>
      </c>
      <c r="AD164" s="1" t="s">
        <v>2015</v>
      </c>
      <c r="AE164" s="1" t="s">
        <v>2016</v>
      </c>
      <c r="AF164" s="1" t="s">
        <v>1825</v>
      </c>
      <c r="AG164" s="1" t="s">
        <v>2016</v>
      </c>
      <c r="AH164" s="1" t="s">
        <v>488</v>
      </c>
      <c r="AI164" s="6">
        <v>33348.0</v>
      </c>
      <c r="AJ164" s="1" t="s">
        <v>106</v>
      </c>
      <c r="AK164" s="1" t="s">
        <v>2017</v>
      </c>
      <c r="AL164" s="1" t="s">
        <v>2018</v>
      </c>
      <c r="AM164" s="11" t="str">
        <f>VLOOKUP(N164,Sheet3!$B$4:$C$10,2,1)</f>
        <v>31-40</v>
      </c>
      <c r="AN164" s="12" t="str">
        <f>VLOOKUP(Z164,Sheet3!$F$4:$G$10,2,1)</f>
        <v>11-20</v>
      </c>
      <c r="AO164" s="5" t="str">
        <f>VLOOKUP(AA164,Sheet3!$I$3:$J$16,2,1)</f>
        <v>140000-160000</v>
      </c>
      <c r="AP164" s="5" t="str">
        <f>VLOOKUP(AB164,Sheet3!$L$4:$M$14,2,1)</f>
        <v>16% - 20%</v>
      </c>
    </row>
    <row r="165">
      <c r="A165" s="6">
        <v>603575.0</v>
      </c>
      <c r="B165" s="1" t="s">
        <v>42</v>
      </c>
      <c r="C165" s="1" t="s">
        <v>2019</v>
      </c>
      <c r="D165" s="1" t="s">
        <v>200</v>
      </c>
      <c r="E165" s="1" t="s">
        <v>2020</v>
      </c>
      <c r="F165" s="1" t="s">
        <v>46</v>
      </c>
      <c r="G165" s="1" t="s">
        <v>2021</v>
      </c>
      <c r="H165" s="1" t="s">
        <v>1395</v>
      </c>
      <c r="I165" s="1" t="s">
        <v>2022</v>
      </c>
      <c r="J165" s="1" t="s">
        <v>2023</v>
      </c>
      <c r="K165" s="1" t="s">
        <v>1844</v>
      </c>
      <c r="L165" s="14">
        <v>26331.0</v>
      </c>
      <c r="M165" s="8">
        <v>0.4769212962962963</v>
      </c>
      <c r="N165" s="6">
        <v>45.52</v>
      </c>
      <c r="O165" s="6">
        <v>49.0</v>
      </c>
      <c r="P165" s="9">
        <v>41603.0</v>
      </c>
      <c r="Q165" s="1" t="s">
        <v>52</v>
      </c>
      <c r="R165" s="1" t="s">
        <v>53</v>
      </c>
      <c r="S165" s="6">
        <v>2013.0</v>
      </c>
      <c r="T165" s="6">
        <v>11.0</v>
      </c>
      <c r="U165" s="1" t="s">
        <v>148</v>
      </c>
      <c r="V165" s="1" t="s">
        <v>149</v>
      </c>
      <c r="W165" s="6">
        <v>25.0</v>
      </c>
      <c r="X165" s="1" t="s">
        <v>99</v>
      </c>
      <c r="Y165" s="1" t="s">
        <v>100</v>
      </c>
      <c r="Z165" s="6">
        <v>3.67</v>
      </c>
      <c r="AA165" s="6">
        <v>45192.0</v>
      </c>
      <c r="AB165" s="10">
        <v>0.12</v>
      </c>
      <c r="AC165" s="1" t="s">
        <v>2024</v>
      </c>
      <c r="AD165" s="1" t="s">
        <v>2025</v>
      </c>
      <c r="AE165" s="1" t="s">
        <v>2026</v>
      </c>
      <c r="AF165" s="1" t="s">
        <v>2027</v>
      </c>
      <c r="AG165" s="1" t="s">
        <v>2026</v>
      </c>
      <c r="AH165" s="1" t="s">
        <v>2028</v>
      </c>
      <c r="AI165" s="6">
        <v>85257.0</v>
      </c>
      <c r="AJ165" s="1" t="s">
        <v>63</v>
      </c>
      <c r="AK165" s="1" t="s">
        <v>2029</v>
      </c>
      <c r="AL165" s="1" t="s">
        <v>2030</v>
      </c>
      <c r="AM165" s="11" t="str">
        <f>VLOOKUP(N165,Sheet3!$B$4:$C$10,2,1)</f>
        <v>41-50</v>
      </c>
      <c r="AN165" s="13" t="str">
        <f>VLOOKUP(Z165,Sheet3!$F$4:$G$10,2,1)</f>
        <v>&lt; 5</v>
      </c>
      <c r="AO165" s="5" t="str">
        <f>VLOOKUP(AA165,Sheet3!$I$3:$J$16,2,1)</f>
        <v>40000-60000</v>
      </c>
      <c r="AP165" s="5" t="str">
        <f>VLOOKUP(AB165,Sheet3!$L$4:$M$14,2,1)</f>
        <v>11% - 15%</v>
      </c>
    </row>
    <row r="166">
      <c r="A166" s="6">
        <v>419075.0</v>
      </c>
      <c r="B166" s="1" t="s">
        <v>109</v>
      </c>
      <c r="C166" s="1" t="s">
        <v>2031</v>
      </c>
      <c r="D166" s="1" t="s">
        <v>1300</v>
      </c>
      <c r="E166" s="1" t="s">
        <v>376</v>
      </c>
      <c r="F166" s="1" t="s">
        <v>46</v>
      </c>
      <c r="G166" s="1" t="s">
        <v>2032</v>
      </c>
      <c r="H166" s="1" t="s">
        <v>1395</v>
      </c>
      <c r="I166" s="1" t="s">
        <v>2033</v>
      </c>
      <c r="J166" s="1" t="s">
        <v>2034</v>
      </c>
      <c r="K166" s="1" t="s">
        <v>2035</v>
      </c>
      <c r="L166" s="9">
        <v>29036.0</v>
      </c>
      <c r="M166" s="8">
        <v>0.6169444444444444</v>
      </c>
      <c r="N166" s="6">
        <v>38.1</v>
      </c>
      <c r="O166" s="6">
        <v>53.0</v>
      </c>
      <c r="P166" s="14">
        <v>42463.0</v>
      </c>
      <c r="Q166" s="1" t="s">
        <v>75</v>
      </c>
      <c r="R166" s="1" t="s">
        <v>76</v>
      </c>
      <c r="S166" s="6">
        <v>2016.0</v>
      </c>
      <c r="T166" s="6">
        <v>4.0</v>
      </c>
      <c r="U166" s="1" t="s">
        <v>77</v>
      </c>
      <c r="V166" s="1" t="s">
        <v>78</v>
      </c>
      <c r="W166" s="6">
        <v>3.0</v>
      </c>
      <c r="X166" s="1" t="s">
        <v>534</v>
      </c>
      <c r="Y166" s="1" t="s">
        <v>535</v>
      </c>
      <c r="Z166" s="6">
        <v>1.32</v>
      </c>
      <c r="AA166" s="6">
        <v>192037.0</v>
      </c>
      <c r="AB166" s="10">
        <v>0.2</v>
      </c>
      <c r="AC166" s="1" t="s">
        <v>2036</v>
      </c>
      <c r="AD166" s="1" t="s">
        <v>2037</v>
      </c>
      <c r="AE166" s="1" t="s">
        <v>2038</v>
      </c>
      <c r="AF166" s="1" t="s">
        <v>2039</v>
      </c>
      <c r="AG166" s="1" t="s">
        <v>2038</v>
      </c>
      <c r="AH166" s="1" t="s">
        <v>105</v>
      </c>
      <c r="AI166" s="6">
        <v>40164.0</v>
      </c>
      <c r="AJ166" s="1" t="s">
        <v>106</v>
      </c>
      <c r="AK166" s="1" t="s">
        <v>2040</v>
      </c>
      <c r="AL166" s="1" t="s">
        <v>2041</v>
      </c>
      <c r="AM166" s="11" t="str">
        <f>VLOOKUP(N166,Sheet3!$B$4:$C$10,2,1)</f>
        <v>31-40</v>
      </c>
      <c r="AN166" s="13" t="str">
        <f>VLOOKUP(Z166,Sheet3!$F$4:$G$10,2,1)</f>
        <v>&lt; 5</v>
      </c>
      <c r="AO166" s="5" t="str">
        <f>VLOOKUP(AA166,Sheet3!$I$3:$J$16,2,1)</f>
        <v>180000-200000</v>
      </c>
      <c r="AP166" s="5" t="str">
        <f>VLOOKUP(AB166,Sheet3!$L$4:$M$14,2,1)</f>
        <v>16% - 20%</v>
      </c>
    </row>
    <row r="167">
      <c r="A167" s="6">
        <v>224473.0</v>
      </c>
      <c r="B167" s="1" t="s">
        <v>42</v>
      </c>
      <c r="C167" s="1" t="s">
        <v>2042</v>
      </c>
      <c r="D167" s="1" t="s">
        <v>443</v>
      </c>
      <c r="E167" s="1" t="s">
        <v>2043</v>
      </c>
      <c r="F167" s="1" t="s">
        <v>46</v>
      </c>
      <c r="G167" s="1" t="s">
        <v>2044</v>
      </c>
      <c r="H167" s="1" t="s">
        <v>1395</v>
      </c>
      <c r="I167" s="1" t="s">
        <v>2045</v>
      </c>
      <c r="J167" s="1" t="s">
        <v>2046</v>
      </c>
      <c r="K167" s="1" t="s">
        <v>408</v>
      </c>
      <c r="L167" s="9">
        <v>28731.0</v>
      </c>
      <c r="M167" s="8">
        <v>0.09510416666666667</v>
      </c>
      <c r="N167" s="6">
        <v>38.94</v>
      </c>
      <c r="O167" s="6">
        <v>55.0</v>
      </c>
      <c r="P167" s="14">
        <v>36535.0</v>
      </c>
      <c r="Q167" s="1" t="s">
        <v>96</v>
      </c>
      <c r="R167" s="1" t="s">
        <v>76</v>
      </c>
      <c r="S167" s="6">
        <v>2000.0</v>
      </c>
      <c r="T167" s="6">
        <v>1.0</v>
      </c>
      <c r="U167" s="1" t="s">
        <v>276</v>
      </c>
      <c r="V167" s="1" t="s">
        <v>277</v>
      </c>
      <c r="W167" s="6">
        <v>10.0</v>
      </c>
      <c r="X167" s="1" t="s">
        <v>99</v>
      </c>
      <c r="Y167" s="1" t="s">
        <v>100</v>
      </c>
      <c r="Z167" s="6">
        <v>17.56</v>
      </c>
      <c r="AA167" s="6">
        <v>71847.0</v>
      </c>
      <c r="AB167" s="10">
        <v>0.05</v>
      </c>
      <c r="AC167" s="1" t="s">
        <v>2047</v>
      </c>
      <c r="AD167" s="1" t="s">
        <v>2048</v>
      </c>
      <c r="AE167" s="1" t="s">
        <v>218</v>
      </c>
      <c r="AF167" s="1" t="s">
        <v>2049</v>
      </c>
      <c r="AG167" s="1" t="s">
        <v>218</v>
      </c>
      <c r="AH167" s="1" t="s">
        <v>372</v>
      </c>
      <c r="AI167" s="6">
        <v>69343.0</v>
      </c>
      <c r="AJ167" s="1" t="s">
        <v>86</v>
      </c>
      <c r="AK167" s="1" t="s">
        <v>2050</v>
      </c>
      <c r="AL167" s="1" t="s">
        <v>2051</v>
      </c>
      <c r="AM167" s="11" t="str">
        <f>VLOOKUP(N167,Sheet3!$B$4:$C$10,2,1)</f>
        <v>31-40</v>
      </c>
      <c r="AN167" s="12" t="str">
        <f>VLOOKUP(Z167,Sheet3!$F$4:$G$10,2,1)</f>
        <v>11-20</v>
      </c>
      <c r="AO167" s="5" t="str">
        <f>VLOOKUP(AA167,Sheet3!$I$3:$J$16,2,1)</f>
        <v>60000-80000</v>
      </c>
      <c r="AP167" s="5" t="str">
        <f>VLOOKUP(AB167,Sheet3!$L$4:$M$14,2,1)</f>
        <v>5% - 10%</v>
      </c>
    </row>
    <row r="168">
      <c r="A168" s="6">
        <v>552582.0</v>
      </c>
      <c r="B168" s="1" t="s">
        <v>125</v>
      </c>
      <c r="C168" s="1" t="s">
        <v>2052</v>
      </c>
      <c r="D168" s="1" t="s">
        <v>127</v>
      </c>
      <c r="E168" s="1" t="s">
        <v>116</v>
      </c>
      <c r="F168" s="1" t="s">
        <v>46</v>
      </c>
      <c r="G168" s="1" t="s">
        <v>2053</v>
      </c>
      <c r="H168" s="1" t="s">
        <v>1395</v>
      </c>
      <c r="I168" s="1" t="s">
        <v>2054</v>
      </c>
      <c r="J168" s="1" t="s">
        <v>2055</v>
      </c>
      <c r="K168" s="1" t="s">
        <v>2056</v>
      </c>
      <c r="L168" s="14">
        <v>24841.0</v>
      </c>
      <c r="M168" s="8">
        <v>0.4166666666666667</v>
      </c>
      <c r="N168" s="6">
        <v>49.6</v>
      </c>
      <c r="O168" s="6">
        <v>43.0</v>
      </c>
      <c r="P168" s="14">
        <v>36680.0</v>
      </c>
      <c r="Q168" s="1" t="s">
        <v>75</v>
      </c>
      <c r="R168" s="1" t="s">
        <v>76</v>
      </c>
      <c r="S168" s="6">
        <v>2000.0</v>
      </c>
      <c r="T168" s="6">
        <v>6.0</v>
      </c>
      <c r="U168" s="1" t="s">
        <v>324</v>
      </c>
      <c r="V168" s="1" t="s">
        <v>325</v>
      </c>
      <c r="W168" s="6">
        <v>3.0</v>
      </c>
      <c r="X168" s="1" t="s">
        <v>56</v>
      </c>
      <c r="Y168" s="1" t="s">
        <v>57</v>
      </c>
      <c r="Z168" s="6">
        <v>17.16</v>
      </c>
      <c r="AA168" s="6">
        <v>141390.0</v>
      </c>
      <c r="AB168" s="10">
        <v>0.24</v>
      </c>
      <c r="AC168" s="1" t="s">
        <v>2057</v>
      </c>
      <c r="AD168" s="1" t="s">
        <v>2058</v>
      </c>
      <c r="AE168" s="1" t="s">
        <v>2059</v>
      </c>
      <c r="AF168" s="1" t="s">
        <v>1738</v>
      </c>
      <c r="AG168" s="1" t="s">
        <v>2059</v>
      </c>
      <c r="AH168" s="1" t="s">
        <v>882</v>
      </c>
      <c r="AI168" s="6">
        <v>30606.0</v>
      </c>
      <c r="AJ168" s="1" t="s">
        <v>106</v>
      </c>
      <c r="AK168" s="1" t="s">
        <v>2060</v>
      </c>
      <c r="AL168" s="1" t="s">
        <v>2061</v>
      </c>
      <c r="AM168" s="11" t="str">
        <f>VLOOKUP(N168,Sheet3!$B$4:$C$10,2,1)</f>
        <v>41-50</v>
      </c>
      <c r="AN168" s="12" t="str">
        <f>VLOOKUP(Z168,Sheet3!$F$4:$G$10,2,1)</f>
        <v>11-20</v>
      </c>
      <c r="AO168" s="5" t="str">
        <f>VLOOKUP(AA168,Sheet3!$I$3:$J$16,2,1)</f>
        <v>140000-160000</v>
      </c>
      <c r="AP168" s="5" t="str">
        <f>VLOOKUP(AB168,Sheet3!$L$4:$M$14,2,1)</f>
        <v>21% - 25%</v>
      </c>
    </row>
    <row r="169">
      <c r="A169" s="6">
        <v>724235.0</v>
      </c>
      <c r="B169" s="1" t="s">
        <v>66</v>
      </c>
      <c r="C169" s="1" t="s">
        <v>2062</v>
      </c>
      <c r="D169" s="1" t="s">
        <v>186</v>
      </c>
      <c r="E169" s="1" t="s">
        <v>2063</v>
      </c>
      <c r="F169" s="1" t="s">
        <v>70</v>
      </c>
      <c r="G169" s="1" t="s">
        <v>2064</v>
      </c>
      <c r="H169" s="1" t="s">
        <v>1395</v>
      </c>
      <c r="I169" s="1" t="s">
        <v>2065</v>
      </c>
      <c r="J169" s="1" t="s">
        <v>2066</v>
      </c>
      <c r="K169" s="1" t="s">
        <v>2067</v>
      </c>
      <c r="L169" s="9">
        <v>29301.0</v>
      </c>
      <c r="M169" s="8">
        <v>0.5665972222222222</v>
      </c>
      <c r="N169" s="6">
        <v>37.38</v>
      </c>
      <c r="O169" s="6">
        <v>60.0</v>
      </c>
      <c r="P169" s="9">
        <v>41381.0</v>
      </c>
      <c r="Q169" s="1" t="s">
        <v>75</v>
      </c>
      <c r="R169" s="1" t="s">
        <v>76</v>
      </c>
      <c r="S169" s="6">
        <v>2013.0</v>
      </c>
      <c r="T169" s="6">
        <v>4.0</v>
      </c>
      <c r="U169" s="1" t="s">
        <v>77</v>
      </c>
      <c r="V169" s="1" t="s">
        <v>78</v>
      </c>
      <c r="W169" s="6">
        <v>17.0</v>
      </c>
      <c r="X169" s="1" t="s">
        <v>278</v>
      </c>
      <c r="Y169" s="1" t="s">
        <v>279</v>
      </c>
      <c r="Z169" s="6">
        <v>4.28</v>
      </c>
      <c r="AA169" s="6">
        <v>75837.0</v>
      </c>
      <c r="AB169" s="10">
        <v>0.28</v>
      </c>
      <c r="AC169" s="1" t="s">
        <v>2068</v>
      </c>
      <c r="AD169" s="1" t="s">
        <v>2069</v>
      </c>
      <c r="AE169" s="1" t="s">
        <v>2070</v>
      </c>
      <c r="AF169" s="1" t="s">
        <v>2071</v>
      </c>
      <c r="AG169" s="1" t="s">
        <v>2070</v>
      </c>
      <c r="AH169" s="1" t="s">
        <v>1561</v>
      </c>
      <c r="AI169" s="6">
        <v>54774.0</v>
      </c>
      <c r="AJ169" s="1" t="s">
        <v>86</v>
      </c>
      <c r="AK169" s="1" t="s">
        <v>2072</v>
      </c>
      <c r="AL169" s="1" t="s">
        <v>2073</v>
      </c>
      <c r="AM169" s="11" t="str">
        <f>VLOOKUP(N169,Sheet3!$B$4:$C$10,2,1)</f>
        <v>31-40</v>
      </c>
      <c r="AN169" s="13" t="str">
        <f>VLOOKUP(Z169,Sheet3!$F$4:$G$10,2,1)</f>
        <v>&lt; 5</v>
      </c>
      <c r="AO169" s="5" t="str">
        <f>VLOOKUP(AA169,Sheet3!$I$3:$J$16,2,1)</f>
        <v>60000-80000</v>
      </c>
      <c r="AP169" s="5" t="str">
        <f>VLOOKUP(AB169,Sheet3!$L$4:$M$14,2,1)</f>
        <v>26% - 30%</v>
      </c>
    </row>
    <row r="170">
      <c r="A170" s="6">
        <v>908007.0</v>
      </c>
      <c r="B170" s="1" t="s">
        <v>109</v>
      </c>
      <c r="C170" s="1" t="s">
        <v>2074</v>
      </c>
      <c r="D170" s="1" t="s">
        <v>416</v>
      </c>
      <c r="E170" s="1" t="s">
        <v>509</v>
      </c>
      <c r="F170" s="1" t="s">
        <v>46</v>
      </c>
      <c r="G170" s="1" t="s">
        <v>2075</v>
      </c>
      <c r="H170" s="1" t="s">
        <v>1395</v>
      </c>
      <c r="I170" s="1" t="s">
        <v>2076</v>
      </c>
      <c r="J170" s="1" t="s">
        <v>2077</v>
      </c>
      <c r="K170" s="1" t="s">
        <v>1282</v>
      </c>
      <c r="L170" s="9">
        <v>33202.0</v>
      </c>
      <c r="M170" s="8">
        <v>0.22729166666666667</v>
      </c>
      <c r="N170" s="6">
        <v>26.69</v>
      </c>
      <c r="O170" s="6">
        <v>44.0</v>
      </c>
      <c r="P170" s="9">
        <v>42264.0</v>
      </c>
      <c r="Q170" s="1" t="s">
        <v>308</v>
      </c>
      <c r="R170" s="1" t="s">
        <v>53</v>
      </c>
      <c r="S170" s="6">
        <v>2015.0</v>
      </c>
      <c r="T170" s="6">
        <v>9.0</v>
      </c>
      <c r="U170" s="1" t="s">
        <v>309</v>
      </c>
      <c r="V170" s="1" t="s">
        <v>310</v>
      </c>
      <c r="W170" s="6">
        <v>17.0</v>
      </c>
      <c r="X170" s="1" t="s">
        <v>150</v>
      </c>
      <c r="Y170" s="1" t="s">
        <v>151</v>
      </c>
      <c r="Z170" s="6">
        <v>1.86</v>
      </c>
      <c r="AA170" s="6">
        <v>113267.0</v>
      </c>
      <c r="AB170" s="10">
        <v>0.16</v>
      </c>
      <c r="AC170" s="1" t="s">
        <v>2078</v>
      </c>
      <c r="AD170" s="1" t="s">
        <v>2079</v>
      </c>
      <c r="AE170" s="1" t="s">
        <v>2080</v>
      </c>
      <c r="AF170" s="1" t="s">
        <v>2081</v>
      </c>
      <c r="AG170" s="1" t="s">
        <v>2080</v>
      </c>
      <c r="AH170" s="1" t="s">
        <v>223</v>
      </c>
      <c r="AI170" s="6">
        <v>16331.0</v>
      </c>
      <c r="AJ170" s="1" t="s">
        <v>224</v>
      </c>
      <c r="AK170" s="1" t="s">
        <v>2082</v>
      </c>
      <c r="AL170" s="1" t="s">
        <v>2083</v>
      </c>
      <c r="AM170" s="11" t="str">
        <f>VLOOKUP(N170,Sheet3!$B$4:$C$10,2,1)</f>
        <v>21-30</v>
      </c>
      <c r="AN170" s="13" t="str">
        <f>VLOOKUP(Z170,Sheet3!$F$4:$G$10,2,1)</f>
        <v>&lt; 5</v>
      </c>
      <c r="AO170" s="5" t="str">
        <f>VLOOKUP(AA170,Sheet3!$I$3:$J$16,2,1)</f>
        <v>100000-120000</v>
      </c>
      <c r="AP170" s="5" t="str">
        <f>VLOOKUP(AB170,Sheet3!$L$4:$M$14,2,1)</f>
        <v>16% - 20%</v>
      </c>
    </row>
    <row r="171">
      <c r="A171" s="6">
        <v>871610.0</v>
      </c>
      <c r="B171" s="1" t="s">
        <v>66</v>
      </c>
      <c r="C171" s="1" t="s">
        <v>2084</v>
      </c>
      <c r="D171" s="1" t="s">
        <v>466</v>
      </c>
      <c r="E171" s="1" t="s">
        <v>2085</v>
      </c>
      <c r="F171" s="1" t="s">
        <v>70</v>
      </c>
      <c r="G171" s="1" t="s">
        <v>2086</v>
      </c>
      <c r="H171" s="1" t="s">
        <v>1395</v>
      </c>
      <c r="I171" s="1" t="s">
        <v>2087</v>
      </c>
      <c r="J171" s="1" t="s">
        <v>2088</v>
      </c>
      <c r="K171" s="1" t="s">
        <v>2089</v>
      </c>
      <c r="L171" s="9">
        <v>33988.0</v>
      </c>
      <c r="M171" s="8">
        <v>0.5462037037037037</v>
      </c>
      <c r="N171" s="6">
        <v>24.54</v>
      </c>
      <c r="O171" s="6">
        <v>70.0</v>
      </c>
      <c r="P171" s="14">
        <v>42377.0</v>
      </c>
      <c r="Q171" s="1" t="s">
        <v>96</v>
      </c>
      <c r="R171" s="1" t="s">
        <v>76</v>
      </c>
      <c r="S171" s="6">
        <v>2016.0</v>
      </c>
      <c r="T171" s="6">
        <v>1.0</v>
      </c>
      <c r="U171" s="1" t="s">
        <v>276</v>
      </c>
      <c r="V171" s="1" t="s">
        <v>277</v>
      </c>
      <c r="W171" s="6">
        <v>8.0</v>
      </c>
      <c r="X171" s="1" t="s">
        <v>263</v>
      </c>
      <c r="Y171" s="1" t="s">
        <v>264</v>
      </c>
      <c r="Z171" s="6">
        <v>1.55</v>
      </c>
      <c r="AA171" s="6">
        <v>148664.0</v>
      </c>
      <c r="AB171" s="10">
        <v>0.2</v>
      </c>
      <c r="AC171" s="1" t="s">
        <v>2090</v>
      </c>
      <c r="AD171" s="1" t="s">
        <v>2091</v>
      </c>
      <c r="AE171" s="1" t="s">
        <v>2092</v>
      </c>
      <c r="AF171" s="1" t="s">
        <v>84</v>
      </c>
      <c r="AG171" s="1" t="s">
        <v>2092</v>
      </c>
      <c r="AH171" s="1" t="s">
        <v>210</v>
      </c>
      <c r="AI171" s="6">
        <v>60035.0</v>
      </c>
      <c r="AJ171" s="1" t="s">
        <v>86</v>
      </c>
      <c r="AK171" s="1" t="s">
        <v>2093</v>
      </c>
      <c r="AL171" s="1" t="s">
        <v>2094</v>
      </c>
      <c r="AM171" s="11" t="str">
        <f>VLOOKUP(N171,Sheet3!$B$4:$C$10,2,1)</f>
        <v>21-30</v>
      </c>
      <c r="AN171" s="13" t="str">
        <f>VLOOKUP(Z171,Sheet3!$F$4:$G$10,2,1)</f>
        <v>&lt; 5</v>
      </c>
      <c r="AO171" s="5" t="str">
        <f>VLOOKUP(AA171,Sheet3!$I$3:$J$16,2,1)</f>
        <v>140000-160000</v>
      </c>
      <c r="AP171" s="5" t="str">
        <f>VLOOKUP(AB171,Sheet3!$L$4:$M$14,2,1)</f>
        <v>16% - 20%</v>
      </c>
    </row>
    <row r="172">
      <c r="A172" s="6">
        <v>491595.0</v>
      </c>
      <c r="B172" s="1" t="s">
        <v>227</v>
      </c>
      <c r="C172" s="1" t="s">
        <v>2095</v>
      </c>
      <c r="D172" s="1" t="s">
        <v>257</v>
      </c>
      <c r="E172" s="1" t="s">
        <v>2096</v>
      </c>
      <c r="F172" s="1" t="s">
        <v>70</v>
      </c>
      <c r="G172" s="1" t="s">
        <v>2097</v>
      </c>
      <c r="H172" s="1" t="s">
        <v>1395</v>
      </c>
      <c r="I172" s="1" t="s">
        <v>2098</v>
      </c>
      <c r="J172" s="1" t="s">
        <v>2099</v>
      </c>
      <c r="K172" s="1" t="s">
        <v>1858</v>
      </c>
      <c r="L172" s="9">
        <v>24010.0</v>
      </c>
      <c r="M172" s="8">
        <v>0.16541666666666666</v>
      </c>
      <c r="N172" s="6">
        <v>51.87</v>
      </c>
      <c r="O172" s="6">
        <v>67.0</v>
      </c>
      <c r="P172" s="9">
        <v>36156.0</v>
      </c>
      <c r="Q172" s="1" t="s">
        <v>52</v>
      </c>
      <c r="R172" s="1" t="s">
        <v>53</v>
      </c>
      <c r="S172" s="6">
        <v>1998.0</v>
      </c>
      <c r="T172" s="6">
        <v>12.0</v>
      </c>
      <c r="U172" s="1" t="s">
        <v>54</v>
      </c>
      <c r="V172" s="1" t="s">
        <v>55</v>
      </c>
      <c r="W172" s="6">
        <v>27.0</v>
      </c>
      <c r="X172" s="1" t="s">
        <v>534</v>
      </c>
      <c r="Y172" s="1" t="s">
        <v>535</v>
      </c>
      <c r="Z172" s="6">
        <v>18.6</v>
      </c>
      <c r="AA172" s="6">
        <v>109416.0</v>
      </c>
      <c r="AB172" s="10">
        <v>0.15</v>
      </c>
      <c r="AC172" s="1" t="s">
        <v>2100</v>
      </c>
      <c r="AD172" s="1" t="s">
        <v>2101</v>
      </c>
      <c r="AE172" s="1" t="s">
        <v>2102</v>
      </c>
      <c r="AF172" s="1" t="s">
        <v>1019</v>
      </c>
      <c r="AG172" s="1" t="s">
        <v>2102</v>
      </c>
      <c r="AH172" s="1" t="s">
        <v>1527</v>
      </c>
      <c r="AI172" s="6">
        <v>35806.0</v>
      </c>
      <c r="AJ172" s="1" t="s">
        <v>106</v>
      </c>
      <c r="AK172" s="1" t="s">
        <v>2103</v>
      </c>
      <c r="AL172" s="1" t="s">
        <v>2104</v>
      </c>
      <c r="AM172" s="11" t="str">
        <f>VLOOKUP(N172,Sheet3!$B$4:$C$10,2,1)</f>
        <v>51-60</v>
      </c>
      <c r="AN172" s="12" t="str">
        <f>VLOOKUP(Z172,Sheet3!$F$4:$G$10,2,1)</f>
        <v>11-20</v>
      </c>
      <c r="AO172" s="5" t="str">
        <f>VLOOKUP(AA172,Sheet3!$I$3:$J$16,2,1)</f>
        <v>100000-120000</v>
      </c>
      <c r="AP172" s="5" t="str">
        <f>VLOOKUP(AB172,Sheet3!$L$4:$M$14,2,1)</f>
        <v>11% - 15%</v>
      </c>
    </row>
    <row r="173">
      <c r="A173" s="6">
        <v>821474.0</v>
      </c>
      <c r="B173" s="1" t="s">
        <v>66</v>
      </c>
      <c r="C173" s="1" t="s">
        <v>2105</v>
      </c>
      <c r="D173" s="1" t="s">
        <v>46</v>
      </c>
      <c r="E173" s="1" t="s">
        <v>2106</v>
      </c>
      <c r="F173" s="1" t="s">
        <v>70</v>
      </c>
      <c r="G173" s="1" t="s">
        <v>2107</v>
      </c>
      <c r="H173" s="1" t="s">
        <v>1395</v>
      </c>
      <c r="I173" s="1" t="s">
        <v>2108</v>
      </c>
      <c r="J173" s="1" t="s">
        <v>2109</v>
      </c>
      <c r="K173" s="1" t="s">
        <v>2110</v>
      </c>
      <c r="L173" s="9">
        <v>29847.0</v>
      </c>
      <c r="M173" s="8">
        <v>0.4308101851851852</v>
      </c>
      <c r="N173" s="6">
        <v>35.88</v>
      </c>
      <c r="O173" s="6">
        <v>79.0</v>
      </c>
      <c r="P173" s="14">
        <v>37664.0</v>
      </c>
      <c r="Q173" s="1" t="s">
        <v>96</v>
      </c>
      <c r="R173" s="1" t="s">
        <v>76</v>
      </c>
      <c r="S173" s="6">
        <v>2003.0</v>
      </c>
      <c r="T173" s="6">
        <v>2.0</v>
      </c>
      <c r="U173" s="1" t="s">
        <v>117</v>
      </c>
      <c r="V173" s="1" t="s">
        <v>118</v>
      </c>
      <c r="W173" s="6">
        <v>12.0</v>
      </c>
      <c r="X173" s="1" t="s">
        <v>278</v>
      </c>
      <c r="Y173" s="1" t="s">
        <v>279</v>
      </c>
      <c r="Z173" s="6">
        <v>14.47</v>
      </c>
      <c r="AA173" s="6">
        <v>96328.0</v>
      </c>
      <c r="AB173" s="10">
        <v>0.21</v>
      </c>
      <c r="AC173" s="1" t="s">
        <v>2111</v>
      </c>
      <c r="AD173" s="1" t="s">
        <v>2112</v>
      </c>
      <c r="AE173" s="1" t="s">
        <v>1090</v>
      </c>
      <c r="AF173" s="1" t="s">
        <v>2113</v>
      </c>
      <c r="AG173" s="1" t="s">
        <v>1090</v>
      </c>
      <c r="AH173" s="1" t="s">
        <v>1032</v>
      </c>
      <c r="AI173" s="6">
        <v>66033.0</v>
      </c>
      <c r="AJ173" s="1" t="s">
        <v>86</v>
      </c>
      <c r="AK173" s="1" t="s">
        <v>2114</v>
      </c>
      <c r="AL173" s="1" t="s">
        <v>2115</v>
      </c>
      <c r="AM173" s="11" t="str">
        <f>VLOOKUP(N173,Sheet3!$B$4:$C$10,2,1)</f>
        <v>31-40</v>
      </c>
      <c r="AN173" s="12" t="str">
        <f>VLOOKUP(Z173,Sheet3!$F$4:$G$10,2,1)</f>
        <v>11-20</v>
      </c>
      <c r="AO173" s="5" t="str">
        <f>VLOOKUP(AA173,Sheet3!$I$3:$J$16,2,1)</f>
        <v>80000-100000</v>
      </c>
      <c r="AP173" s="5" t="str">
        <f>VLOOKUP(AB173,Sheet3!$L$4:$M$14,2,1)</f>
        <v>21% - 25%</v>
      </c>
    </row>
    <row r="174">
      <c r="A174" s="6">
        <v>206783.0</v>
      </c>
      <c r="B174" s="1" t="s">
        <v>125</v>
      </c>
      <c r="C174" s="1" t="s">
        <v>2116</v>
      </c>
      <c r="D174" s="1" t="s">
        <v>529</v>
      </c>
      <c r="E174" s="1" t="s">
        <v>2117</v>
      </c>
      <c r="F174" s="1" t="s">
        <v>70</v>
      </c>
      <c r="G174" s="1" t="s">
        <v>2118</v>
      </c>
      <c r="H174" s="1" t="s">
        <v>1395</v>
      </c>
      <c r="I174" s="1" t="s">
        <v>2119</v>
      </c>
      <c r="J174" s="1" t="s">
        <v>2120</v>
      </c>
      <c r="K174" s="1" t="s">
        <v>2121</v>
      </c>
      <c r="L174" s="9">
        <v>24895.0</v>
      </c>
      <c r="M174" s="8">
        <v>0.4425</v>
      </c>
      <c r="N174" s="6">
        <v>49.45</v>
      </c>
      <c r="O174" s="6">
        <v>77.0</v>
      </c>
      <c r="P174" s="14">
        <v>33246.0</v>
      </c>
      <c r="Q174" s="1" t="s">
        <v>96</v>
      </c>
      <c r="R174" s="1" t="s">
        <v>76</v>
      </c>
      <c r="S174" s="6">
        <v>1991.0</v>
      </c>
      <c r="T174" s="6">
        <v>1.0</v>
      </c>
      <c r="U174" s="1" t="s">
        <v>276</v>
      </c>
      <c r="V174" s="1" t="s">
        <v>277</v>
      </c>
      <c r="W174" s="6">
        <v>8.0</v>
      </c>
      <c r="X174" s="1" t="s">
        <v>79</v>
      </c>
      <c r="Y174" s="1" t="s">
        <v>80</v>
      </c>
      <c r="Z174" s="6">
        <v>26.57</v>
      </c>
      <c r="AA174" s="6">
        <v>158082.0</v>
      </c>
      <c r="AB174" s="10">
        <v>0.25</v>
      </c>
      <c r="AC174" s="1" t="s">
        <v>2122</v>
      </c>
      <c r="AD174" s="1" t="s">
        <v>2123</v>
      </c>
      <c r="AE174" s="1" t="s">
        <v>2124</v>
      </c>
      <c r="AF174" s="1" t="s">
        <v>1672</v>
      </c>
      <c r="AG174" s="1" t="s">
        <v>2124</v>
      </c>
      <c r="AH174" s="1" t="s">
        <v>563</v>
      </c>
      <c r="AI174" s="6">
        <v>24836.0</v>
      </c>
      <c r="AJ174" s="1" t="s">
        <v>106</v>
      </c>
      <c r="AK174" s="1" t="s">
        <v>2125</v>
      </c>
      <c r="AL174" s="1" t="s">
        <v>2126</v>
      </c>
      <c r="AM174" s="11" t="str">
        <f>VLOOKUP(N174,Sheet3!$B$4:$C$10,2,1)</f>
        <v>41-50</v>
      </c>
      <c r="AN174" s="13" t="str">
        <f>VLOOKUP(Z174,Sheet3!$F$4:$G$10,2,1)</f>
        <v>21-30</v>
      </c>
      <c r="AO174" s="5" t="str">
        <f>VLOOKUP(AA174,Sheet3!$I$3:$J$16,2,1)</f>
        <v>140000-160000</v>
      </c>
      <c r="AP174" s="5" t="str">
        <f>VLOOKUP(AB174,Sheet3!$L$4:$M$14,2,1)</f>
        <v>21% - 25%</v>
      </c>
    </row>
    <row r="175">
      <c r="A175" s="6">
        <v>870463.0</v>
      </c>
      <c r="B175" s="1" t="s">
        <v>66</v>
      </c>
      <c r="C175" s="1" t="s">
        <v>1585</v>
      </c>
      <c r="D175" s="1" t="s">
        <v>416</v>
      </c>
      <c r="E175" s="1" t="s">
        <v>2127</v>
      </c>
      <c r="F175" s="1" t="s">
        <v>70</v>
      </c>
      <c r="G175" s="1" t="s">
        <v>2128</v>
      </c>
      <c r="H175" s="1" t="s">
        <v>1395</v>
      </c>
      <c r="I175" s="1" t="s">
        <v>2129</v>
      </c>
      <c r="J175" s="1" t="s">
        <v>2130</v>
      </c>
      <c r="K175" s="1" t="s">
        <v>2131</v>
      </c>
      <c r="L175" s="14">
        <v>25300.0</v>
      </c>
      <c r="M175" s="8">
        <v>0.46949074074074076</v>
      </c>
      <c r="N175" s="6">
        <v>48.34</v>
      </c>
      <c r="O175" s="6">
        <v>63.0</v>
      </c>
      <c r="P175" s="9">
        <v>34751.0</v>
      </c>
      <c r="Q175" s="1" t="s">
        <v>96</v>
      </c>
      <c r="R175" s="1" t="s">
        <v>76</v>
      </c>
      <c r="S175" s="6">
        <v>1995.0</v>
      </c>
      <c r="T175" s="6">
        <v>2.0</v>
      </c>
      <c r="U175" s="1" t="s">
        <v>117</v>
      </c>
      <c r="V175" s="1" t="s">
        <v>118</v>
      </c>
      <c r="W175" s="6">
        <v>21.0</v>
      </c>
      <c r="X175" s="1" t="s">
        <v>79</v>
      </c>
      <c r="Y175" s="1" t="s">
        <v>80</v>
      </c>
      <c r="Z175" s="6">
        <v>22.45</v>
      </c>
      <c r="AA175" s="6">
        <v>55351.0</v>
      </c>
      <c r="AB175" s="10">
        <v>0.06</v>
      </c>
      <c r="AC175" s="1" t="s">
        <v>2132</v>
      </c>
      <c r="AD175" s="1" t="s">
        <v>2133</v>
      </c>
      <c r="AE175" s="1" t="s">
        <v>2134</v>
      </c>
      <c r="AF175" s="1" t="s">
        <v>692</v>
      </c>
      <c r="AG175" s="1" t="s">
        <v>2134</v>
      </c>
      <c r="AH175" s="1" t="s">
        <v>210</v>
      </c>
      <c r="AI175" s="6">
        <v>60827.0</v>
      </c>
      <c r="AJ175" s="1" t="s">
        <v>86</v>
      </c>
      <c r="AK175" s="1" t="s">
        <v>2135</v>
      </c>
      <c r="AL175" s="1" t="s">
        <v>2136</v>
      </c>
      <c r="AM175" s="11" t="str">
        <f>VLOOKUP(N175,Sheet3!$B$4:$C$10,2,1)</f>
        <v>41-50</v>
      </c>
      <c r="AN175" s="13" t="str">
        <f>VLOOKUP(Z175,Sheet3!$F$4:$G$10,2,1)</f>
        <v>21-30</v>
      </c>
      <c r="AO175" s="5" t="str">
        <f>VLOOKUP(AA175,Sheet3!$I$3:$J$16,2,1)</f>
        <v>40000-60000</v>
      </c>
      <c r="AP175" s="5" t="str">
        <f>VLOOKUP(AB175,Sheet3!$L$4:$M$14,2,1)</f>
        <v>5% - 10%</v>
      </c>
    </row>
    <row r="176">
      <c r="A176" s="6">
        <v>809491.0</v>
      </c>
      <c r="B176" s="1" t="s">
        <v>66</v>
      </c>
      <c r="C176" s="1" t="s">
        <v>2137</v>
      </c>
      <c r="D176" s="1" t="s">
        <v>173</v>
      </c>
      <c r="E176" s="1" t="s">
        <v>783</v>
      </c>
      <c r="F176" s="1" t="s">
        <v>70</v>
      </c>
      <c r="G176" s="1" t="s">
        <v>2138</v>
      </c>
      <c r="H176" s="1" t="s">
        <v>1395</v>
      </c>
      <c r="I176" s="1" t="s">
        <v>2139</v>
      </c>
      <c r="J176" s="1" t="s">
        <v>2140</v>
      </c>
      <c r="K176" s="1" t="s">
        <v>2141</v>
      </c>
      <c r="L176" s="9">
        <v>28018.0</v>
      </c>
      <c r="M176" s="8">
        <v>0.205</v>
      </c>
      <c r="N176" s="6">
        <v>40.89</v>
      </c>
      <c r="O176" s="6">
        <v>54.0</v>
      </c>
      <c r="P176" s="14">
        <v>40341.0</v>
      </c>
      <c r="Q176" s="1" t="s">
        <v>75</v>
      </c>
      <c r="R176" s="1" t="s">
        <v>76</v>
      </c>
      <c r="S176" s="6">
        <v>2010.0</v>
      </c>
      <c r="T176" s="6">
        <v>6.0</v>
      </c>
      <c r="U176" s="1" t="s">
        <v>324</v>
      </c>
      <c r="V176" s="1" t="s">
        <v>325</v>
      </c>
      <c r="W176" s="6">
        <v>12.0</v>
      </c>
      <c r="X176" s="1" t="s">
        <v>56</v>
      </c>
      <c r="Y176" s="1" t="s">
        <v>57</v>
      </c>
      <c r="Z176" s="6">
        <v>7.13</v>
      </c>
      <c r="AA176" s="6">
        <v>145954.0</v>
      </c>
      <c r="AB176" s="10">
        <v>0.26</v>
      </c>
      <c r="AC176" s="1" t="s">
        <v>2142</v>
      </c>
      <c r="AD176" s="1" t="s">
        <v>2143</v>
      </c>
      <c r="AE176" s="1" t="s">
        <v>2144</v>
      </c>
      <c r="AF176" s="1" t="s">
        <v>2145</v>
      </c>
      <c r="AG176" s="1" t="s">
        <v>2144</v>
      </c>
      <c r="AH176" s="1" t="s">
        <v>1527</v>
      </c>
      <c r="AI176" s="6">
        <v>35115.0</v>
      </c>
      <c r="AJ176" s="1" t="s">
        <v>106</v>
      </c>
      <c r="AK176" s="1" t="s">
        <v>2146</v>
      </c>
      <c r="AL176" s="1" t="s">
        <v>2147</v>
      </c>
      <c r="AM176" s="11" t="str">
        <f>VLOOKUP(N176,Sheet3!$B$4:$C$10,2,1)</f>
        <v>31-40</v>
      </c>
      <c r="AN176" s="12" t="str">
        <f>VLOOKUP(Z176,Sheet3!$F$4:$G$10,2,1)</f>
        <v>5-10</v>
      </c>
      <c r="AO176" s="5" t="str">
        <f>VLOOKUP(AA176,Sheet3!$I$3:$J$16,2,1)</f>
        <v>140000-160000</v>
      </c>
      <c r="AP176" s="5" t="str">
        <f>VLOOKUP(AB176,Sheet3!$L$4:$M$14,2,1)</f>
        <v>26% - 30%</v>
      </c>
    </row>
    <row r="177">
      <c r="A177" s="6">
        <v>924427.0</v>
      </c>
      <c r="B177" s="1" t="s">
        <v>66</v>
      </c>
      <c r="C177" s="1" t="s">
        <v>2148</v>
      </c>
      <c r="D177" s="1" t="s">
        <v>257</v>
      </c>
      <c r="E177" s="1" t="s">
        <v>910</v>
      </c>
      <c r="F177" s="1" t="s">
        <v>70</v>
      </c>
      <c r="G177" s="1" t="s">
        <v>2149</v>
      </c>
      <c r="H177" s="1" t="s">
        <v>1395</v>
      </c>
      <c r="I177" s="1" t="s">
        <v>2150</v>
      </c>
      <c r="J177" s="1" t="s">
        <v>2151</v>
      </c>
      <c r="K177" s="1" t="s">
        <v>2152</v>
      </c>
      <c r="L177" s="14">
        <v>22776.0</v>
      </c>
      <c r="M177" s="8">
        <v>0.6522222222222223</v>
      </c>
      <c r="N177" s="6">
        <v>55.25</v>
      </c>
      <c r="O177" s="6">
        <v>69.0</v>
      </c>
      <c r="P177" s="9">
        <v>34361.0</v>
      </c>
      <c r="Q177" s="1" t="s">
        <v>96</v>
      </c>
      <c r="R177" s="1" t="s">
        <v>76</v>
      </c>
      <c r="S177" s="6">
        <v>1994.0</v>
      </c>
      <c r="T177" s="6">
        <v>1.0</v>
      </c>
      <c r="U177" s="1" t="s">
        <v>276</v>
      </c>
      <c r="V177" s="1" t="s">
        <v>277</v>
      </c>
      <c r="W177" s="6">
        <v>27.0</v>
      </c>
      <c r="X177" s="1" t="s">
        <v>150</v>
      </c>
      <c r="Y177" s="1" t="s">
        <v>151</v>
      </c>
      <c r="Z177" s="6">
        <v>23.52</v>
      </c>
      <c r="AA177" s="6">
        <v>116911.0</v>
      </c>
      <c r="AB177" s="10">
        <v>0.26</v>
      </c>
      <c r="AC177" s="1" t="s">
        <v>2153</v>
      </c>
      <c r="AD177" s="1" t="s">
        <v>2154</v>
      </c>
      <c r="AE177" s="1" t="s">
        <v>2155</v>
      </c>
      <c r="AF177" s="1" t="s">
        <v>237</v>
      </c>
      <c r="AG177" s="1" t="s">
        <v>2155</v>
      </c>
      <c r="AH177" s="1" t="s">
        <v>238</v>
      </c>
      <c r="AI177" s="6">
        <v>90501.0</v>
      </c>
      <c r="AJ177" s="1" t="s">
        <v>63</v>
      </c>
      <c r="AK177" s="1" t="s">
        <v>2156</v>
      </c>
      <c r="AL177" s="1" t="s">
        <v>2157</v>
      </c>
      <c r="AM177" s="11" t="str">
        <f>VLOOKUP(N177,Sheet3!$B$4:$C$10,2,1)</f>
        <v>51-60</v>
      </c>
      <c r="AN177" s="13" t="str">
        <f>VLOOKUP(Z177,Sheet3!$F$4:$G$10,2,1)</f>
        <v>21-30</v>
      </c>
      <c r="AO177" s="5" t="str">
        <f>VLOOKUP(AA177,Sheet3!$I$3:$J$16,2,1)</f>
        <v>100000-120000</v>
      </c>
      <c r="AP177" s="5" t="str">
        <f>VLOOKUP(AB177,Sheet3!$L$4:$M$14,2,1)</f>
        <v>26% - 30%</v>
      </c>
    </row>
    <row r="178">
      <c r="A178" s="6">
        <v>505780.0</v>
      </c>
      <c r="B178" s="1" t="s">
        <v>89</v>
      </c>
      <c r="C178" s="1" t="s">
        <v>2158</v>
      </c>
      <c r="D178" s="1" t="s">
        <v>68</v>
      </c>
      <c r="E178" s="1" t="s">
        <v>1148</v>
      </c>
      <c r="F178" s="1" t="s">
        <v>46</v>
      </c>
      <c r="G178" s="1" t="s">
        <v>2159</v>
      </c>
      <c r="H178" s="1" t="s">
        <v>1395</v>
      </c>
      <c r="I178" s="1" t="s">
        <v>2160</v>
      </c>
      <c r="J178" s="1" t="s">
        <v>2161</v>
      </c>
      <c r="K178" s="1" t="s">
        <v>2035</v>
      </c>
      <c r="L178" s="14">
        <v>28561.0</v>
      </c>
      <c r="M178" s="8">
        <v>0.41841435185185183</v>
      </c>
      <c r="N178" s="6">
        <v>39.41</v>
      </c>
      <c r="O178" s="6">
        <v>59.0</v>
      </c>
      <c r="P178" s="14">
        <v>39264.0</v>
      </c>
      <c r="Q178" s="1" t="s">
        <v>308</v>
      </c>
      <c r="R178" s="1" t="s">
        <v>53</v>
      </c>
      <c r="S178" s="6">
        <v>2007.0</v>
      </c>
      <c r="T178" s="6">
        <v>7.0</v>
      </c>
      <c r="U178" s="1" t="s">
        <v>366</v>
      </c>
      <c r="V178" s="1" t="s">
        <v>367</v>
      </c>
      <c r="W178" s="6">
        <v>1.0</v>
      </c>
      <c r="X178" s="1" t="s">
        <v>534</v>
      </c>
      <c r="Y178" s="1" t="s">
        <v>535</v>
      </c>
      <c r="Z178" s="6">
        <v>10.08</v>
      </c>
      <c r="AA178" s="6">
        <v>65748.0</v>
      </c>
      <c r="AB178" s="10">
        <v>0.19</v>
      </c>
      <c r="AC178" s="1" t="s">
        <v>2162</v>
      </c>
      <c r="AD178" s="1" t="s">
        <v>2163</v>
      </c>
      <c r="AE178" s="1" t="s">
        <v>2164</v>
      </c>
      <c r="AF178" s="1" t="s">
        <v>2165</v>
      </c>
      <c r="AG178" s="1" t="s">
        <v>2164</v>
      </c>
      <c r="AH178" s="1" t="s">
        <v>223</v>
      </c>
      <c r="AI178" s="6">
        <v>17303.0</v>
      </c>
      <c r="AJ178" s="1" t="s">
        <v>224</v>
      </c>
      <c r="AK178" s="1" t="s">
        <v>2166</v>
      </c>
      <c r="AL178" s="1" t="s">
        <v>2167</v>
      </c>
      <c r="AM178" s="11" t="str">
        <f>VLOOKUP(N178,Sheet3!$B$4:$C$10,2,1)</f>
        <v>31-40</v>
      </c>
      <c r="AN178" s="12" t="str">
        <f>VLOOKUP(Z178,Sheet3!$F$4:$G$10,2,1)</f>
        <v>5-10</v>
      </c>
      <c r="AO178" s="5" t="str">
        <f>VLOOKUP(AA178,Sheet3!$I$3:$J$16,2,1)</f>
        <v>60000-80000</v>
      </c>
      <c r="AP178" s="5" t="str">
        <f>VLOOKUP(AB178,Sheet3!$L$4:$M$14,2,1)</f>
        <v>16% - 20%</v>
      </c>
    </row>
    <row r="179">
      <c r="A179" s="6">
        <v>149904.0</v>
      </c>
      <c r="B179" s="1" t="s">
        <v>42</v>
      </c>
      <c r="C179" s="1" t="s">
        <v>2168</v>
      </c>
      <c r="D179" s="1" t="s">
        <v>443</v>
      </c>
      <c r="E179" s="1" t="s">
        <v>2169</v>
      </c>
      <c r="F179" s="1" t="s">
        <v>46</v>
      </c>
      <c r="G179" s="1" t="s">
        <v>2170</v>
      </c>
      <c r="H179" s="1" t="s">
        <v>1395</v>
      </c>
      <c r="I179" s="1" t="s">
        <v>2171</v>
      </c>
      <c r="J179" s="1" t="s">
        <v>2172</v>
      </c>
      <c r="K179" s="1" t="s">
        <v>2173</v>
      </c>
      <c r="L179" s="14">
        <v>23387.0</v>
      </c>
      <c r="M179" s="8">
        <v>0.5736342592592593</v>
      </c>
      <c r="N179" s="6">
        <v>53.58</v>
      </c>
      <c r="O179" s="6">
        <v>49.0</v>
      </c>
      <c r="P179" s="14">
        <v>31175.0</v>
      </c>
      <c r="Q179" s="1" t="s">
        <v>75</v>
      </c>
      <c r="R179" s="1" t="s">
        <v>76</v>
      </c>
      <c r="S179" s="6">
        <v>1985.0</v>
      </c>
      <c r="T179" s="6">
        <v>5.0</v>
      </c>
      <c r="U179" s="1" t="s">
        <v>294</v>
      </c>
      <c r="V179" s="1" t="s">
        <v>294</v>
      </c>
      <c r="W179" s="6">
        <v>8.0</v>
      </c>
      <c r="X179" s="1" t="s">
        <v>278</v>
      </c>
      <c r="Y179" s="1" t="s">
        <v>279</v>
      </c>
      <c r="Z179" s="6">
        <v>32.24</v>
      </c>
      <c r="AA179" s="6">
        <v>144108.0</v>
      </c>
      <c r="AB179" s="10">
        <v>0.27</v>
      </c>
      <c r="AC179" s="1" t="s">
        <v>2174</v>
      </c>
      <c r="AD179" s="1" t="s">
        <v>2175</v>
      </c>
      <c r="AE179" s="1" t="s">
        <v>2176</v>
      </c>
      <c r="AF179" s="1" t="s">
        <v>371</v>
      </c>
      <c r="AG179" s="1" t="s">
        <v>2176</v>
      </c>
      <c r="AH179" s="1" t="s">
        <v>439</v>
      </c>
      <c r="AI179" s="6">
        <v>4413.0</v>
      </c>
      <c r="AJ179" s="1" t="s">
        <v>224</v>
      </c>
      <c r="AK179" s="1" t="s">
        <v>2177</v>
      </c>
      <c r="AL179" s="1" t="s">
        <v>2178</v>
      </c>
      <c r="AM179" s="11" t="str">
        <f>VLOOKUP(N179,Sheet3!$B$4:$C$10,2,1)</f>
        <v>51-60</v>
      </c>
      <c r="AN179" s="13" t="str">
        <f>VLOOKUP(Z179,Sheet3!$F$4:$G$10,2,1)</f>
        <v>31-40</v>
      </c>
      <c r="AO179" s="5" t="str">
        <f>VLOOKUP(AA179,Sheet3!$I$3:$J$16,2,1)</f>
        <v>140000-160000</v>
      </c>
      <c r="AP179" s="5" t="str">
        <f>VLOOKUP(AB179,Sheet3!$L$4:$M$14,2,1)</f>
        <v>26% - 30%</v>
      </c>
    </row>
    <row r="180">
      <c r="A180" s="6">
        <v>886315.0</v>
      </c>
      <c r="B180" s="1" t="s">
        <v>255</v>
      </c>
      <c r="C180" s="1" t="s">
        <v>2179</v>
      </c>
      <c r="D180" s="1" t="s">
        <v>416</v>
      </c>
      <c r="E180" s="1" t="s">
        <v>2180</v>
      </c>
      <c r="F180" s="1" t="s">
        <v>70</v>
      </c>
      <c r="G180" s="1" t="s">
        <v>2181</v>
      </c>
      <c r="H180" s="1" t="s">
        <v>1395</v>
      </c>
      <c r="I180" s="1" t="s">
        <v>2182</v>
      </c>
      <c r="J180" s="1" t="s">
        <v>2183</v>
      </c>
      <c r="K180" s="1" t="s">
        <v>2152</v>
      </c>
      <c r="L180" s="14">
        <v>24053.0</v>
      </c>
      <c r="M180" s="8">
        <v>0.6354050925925926</v>
      </c>
      <c r="N180" s="6">
        <v>51.76</v>
      </c>
      <c r="O180" s="6">
        <v>81.0</v>
      </c>
      <c r="P180" s="14">
        <v>35435.0</v>
      </c>
      <c r="Q180" s="1" t="s">
        <v>96</v>
      </c>
      <c r="R180" s="1" t="s">
        <v>76</v>
      </c>
      <c r="S180" s="6">
        <v>1997.0</v>
      </c>
      <c r="T180" s="6">
        <v>1.0</v>
      </c>
      <c r="U180" s="1" t="s">
        <v>276</v>
      </c>
      <c r="V180" s="1" t="s">
        <v>277</v>
      </c>
      <c r="W180" s="6">
        <v>5.0</v>
      </c>
      <c r="X180" s="1" t="s">
        <v>534</v>
      </c>
      <c r="Y180" s="1" t="s">
        <v>535</v>
      </c>
      <c r="Z180" s="6">
        <v>20.57</v>
      </c>
      <c r="AA180" s="6">
        <v>164411.0</v>
      </c>
      <c r="AB180" s="10">
        <v>0.23</v>
      </c>
      <c r="AC180" s="1" t="s">
        <v>2184</v>
      </c>
      <c r="AD180" s="1" t="s">
        <v>2185</v>
      </c>
      <c r="AE180" s="1" t="s">
        <v>2186</v>
      </c>
      <c r="AF180" s="1" t="s">
        <v>2187</v>
      </c>
      <c r="AG180" s="1" t="s">
        <v>2186</v>
      </c>
      <c r="AH180" s="1" t="s">
        <v>196</v>
      </c>
      <c r="AI180" s="6">
        <v>37763.0</v>
      </c>
      <c r="AJ180" s="1" t="s">
        <v>106</v>
      </c>
      <c r="AK180" s="1" t="s">
        <v>2188</v>
      </c>
      <c r="AL180" s="1" t="s">
        <v>2189</v>
      </c>
      <c r="AM180" s="11" t="str">
        <f>VLOOKUP(N180,Sheet3!$B$4:$C$10,2,1)</f>
        <v>51-60</v>
      </c>
      <c r="AN180" s="12" t="str">
        <f>VLOOKUP(Z180,Sheet3!$F$4:$G$10,2,1)</f>
        <v>11-20</v>
      </c>
      <c r="AO180" s="5" t="str">
        <f>VLOOKUP(AA180,Sheet3!$I$3:$J$16,2,1)</f>
        <v>160000-180000</v>
      </c>
      <c r="AP180" s="5" t="str">
        <f>VLOOKUP(AB180,Sheet3!$L$4:$M$14,2,1)</f>
        <v>21% - 25%</v>
      </c>
    </row>
    <row r="181">
      <c r="A181" s="6">
        <v>948512.0</v>
      </c>
      <c r="B181" s="1" t="s">
        <v>66</v>
      </c>
      <c r="C181" s="1" t="s">
        <v>2190</v>
      </c>
      <c r="D181" s="1" t="s">
        <v>389</v>
      </c>
      <c r="E181" s="1" t="s">
        <v>2191</v>
      </c>
      <c r="F181" s="1" t="s">
        <v>70</v>
      </c>
      <c r="G181" s="1" t="s">
        <v>2192</v>
      </c>
      <c r="H181" s="1" t="s">
        <v>1395</v>
      </c>
      <c r="I181" s="1" t="s">
        <v>2193</v>
      </c>
      <c r="J181" s="1" t="s">
        <v>2194</v>
      </c>
      <c r="K181" s="1" t="s">
        <v>2195</v>
      </c>
      <c r="L181" s="9">
        <v>35150.0</v>
      </c>
      <c r="M181" s="8">
        <v>0.7750810185185185</v>
      </c>
      <c r="N181" s="6">
        <v>21.35</v>
      </c>
      <c r="O181" s="6">
        <v>62.0</v>
      </c>
      <c r="P181" s="14">
        <v>42865.0</v>
      </c>
      <c r="Q181" s="1" t="s">
        <v>75</v>
      </c>
      <c r="R181" s="1" t="s">
        <v>76</v>
      </c>
      <c r="S181" s="6">
        <v>2017.0</v>
      </c>
      <c r="T181" s="6">
        <v>5.0</v>
      </c>
      <c r="U181" s="1" t="s">
        <v>294</v>
      </c>
      <c r="V181" s="1" t="s">
        <v>294</v>
      </c>
      <c r="W181" s="6">
        <v>10.0</v>
      </c>
      <c r="X181" s="1" t="s">
        <v>278</v>
      </c>
      <c r="Y181" s="1" t="s">
        <v>279</v>
      </c>
      <c r="Z181" s="6">
        <v>0.22</v>
      </c>
      <c r="AA181" s="6">
        <v>47359.0</v>
      </c>
      <c r="AB181" s="10">
        <v>0.2</v>
      </c>
      <c r="AC181" s="1" t="s">
        <v>2196</v>
      </c>
      <c r="AD181" s="1" t="s">
        <v>2197</v>
      </c>
      <c r="AE181" s="1" t="s">
        <v>2198</v>
      </c>
      <c r="AF181" s="1" t="s">
        <v>2199</v>
      </c>
      <c r="AG181" s="1" t="s">
        <v>2198</v>
      </c>
      <c r="AH181" s="1" t="s">
        <v>356</v>
      </c>
      <c r="AI181" s="6">
        <v>14728.0</v>
      </c>
      <c r="AJ181" s="1" t="s">
        <v>224</v>
      </c>
      <c r="AK181" s="1" t="s">
        <v>2200</v>
      </c>
      <c r="AL181" s="1" t="s">
        <v>2201</v>
      </c>
      <c r="AM181" s="11" t="str">
        <f>VLOOKUP(N181,Sheet3!$B$4:$C$10,2,1)</f>
        <v>21-30</v>
      </c>
      <c r="AN181" s="13" t="str">
        <f>VLOOKUP(Z181,Sheet3!$F$4:$G$10,2,1)</f>
        <v>&lt; 5</v>
      </c>
      <c r="AO181" s="5" t="str">
        <f>VLOOKUP(AA181,Sheet3!$I$3:$J$16,2,1)</f>
        <v>40000-60000</v>
      </c>
      <c r="AP181" s="5" t="str">
        <f>VLOOKUP(AB181,Sheet3!$L$4:$M$14,2,1)</f>
        <v>16% - 20%</v>
      </c>
    </row>
    <row r="182">
      <c r="A182" s="6">
        <v>780963.0</v>
      </c>
      <c r="B182" s="1" t="s">
        <v>109</v>
      </c>
      <c r="C182" s="1" t="s">
        <v>2202</v>
      </c>
      <c r="D182" s="1" t="s">
        <v>554</v>
      </c>
      <c r="E182" s="1" t="s">
        <v>2203</v>
      </c>
      <c r="F182" s="1" t="s">
        <v>46</v>
      </c>
      <c r="G182" s="1" t="s">
        <v>2204</v>
      </c>
      <c r="H182" s="1" t="s">
        <v>1395</v>
      </c>
      <c r="I182" s="1" t="s">
        <v>2205</v>
      </c>
      <c r="J182" s="1" t="s">
        <v>2206</v>
      </c>
      <c r="K182" s="1" t="s">
        <v>2207</v>
      </c>
      <c r="L182" s="9">
        <v>31501.0</v>
      </c>
      <c r="M182" s="8">
        <v>0.14028935185185185</v>
      </c>
      <c r="N182" s="6">
        <v>31.35</v>
      </c>
      <c r="O182" s="6">
        <v>42.0</v>
      </c>
      <c r="P182" s="9">
        <v>39192.0</v>
      </c>
      <c r="Q182" s="1" t="s">
        <v>75</v>
      </c>
      <c r="R182" s="1" t="s">
        <v>76</v>
      </c>
      <c r="S182" s="6">
        <v>2007.0</v>
      </c>
      <c r="T182" s="6">
        <v>4.0</v>
      </c>
      <c r="U182" s="1" t="s">
        <v>77</v>
      </c>
      <c r="V182" s="1" t="s">
        <v>78</v>
      </c>
      <c r="W182" s="6">
        <v>20.0</v>
      </c>
      <c r="X182" s="1" t="s">
        <v>263</v>
      </c>
      <c r="Y182" s="1" t="s">
        <v>264</v>
      </c>
      <c r="Z182" s="6">
        <v>10.28</v>
      </c>
      <c r="AA182" s="6">
        <v>196942.0</v>
      </c>
      <c r="AB182" s="10">
        <v>0.29</v>
      </c>
      <c r="AC182" s="1" t="s">
        <v>2208</v>
      </c>
      <c r="AD182" s="1" t="s">
        <v>2209</v>
      </c>
      <c r="AE182" s="1" t="s">
        <v>2210</v>
      </c>
      <c r="AF182" s="1" t="s">
        <v>692</v>
      </c>
      <c r="AG182" s="1" t="s">
        <v>2210</v>
      </c>
      <c r="AH182" s="1" t="s">
        <v>210</v>
      </c>
      <c r="AI182" s="6">
        <v>60478.0</v>
      </c>
      <c r="AJ182" s="1" t="s">
        <v>86</v>
      </c>
      <c r="AK182" s="1" t="s">
        <v>2211</v>
      </c>
      <c r="AL182" s="1" t="s">
        <v>2212</v>
      </c>
      <c r="AM182" s="11" t="str">
        <f>VLOOKUP(N182,Sheet3!$B$4:$C$10,2,1)</f>
        <v>31-40</v>
      </c>
      <c r="AN182" s="12" t="str">
        <f>VLOOKUP(Z182,Sheet3!$F$4:$G$10,2,1)</f>
        <v>5-10</v>
      </c>
      <c r="AO182" s="5" t="str">
        <f>VLOOKUP(AA182,Sheet3!$I$3:$J$16,2,1)</f>
        <v>180000-200000</v>
      </c>
      <c r="AP182" s="5" t="str">
        <f>VLOOKUP(AB182,Sheet3!$L$4:$M$14,2,1)</f>
        <v>26% - 30%</v>
      </c>
    </row>
    <row r="183">
      <c r="A183" s="6">
        <v>282037.0</v>
      </c>
      <c r="B183" s="1" t="s">
        <v>66</v>
      </c>
      <c r="C183" s="1" t="s">
        <v>2213</v>
      </c>
      <c r="D183" s="1" t="s">
        <v>70</v>
      </c>
      <c r="E183" s="1" t="s">
        <v>2214</v>
      </c>
      <c r="F183" s="1" t="s">
        <v>70</v>
      </c>
      <c r="G183" s="1" t="s">
        <v>2215</v>
      </c>
      <c r="H183" s="1" t="s">
        <v>1395</v>
      </c>
      <c r="I183" s="1" t="s">
        <v>2216</v>
      </c>
      <c r="J183" s="1" t="s">
        <v>2217</v>
      </c>
      <c r="K183" s="1" t="s">
        <v>2180</v>
      </c>
      <c r="L183" s="9">
        <v>27840.0</v>
      </c>
      <c r="M183" s="8">
        <v>0.34372685185185187</v>
      </c>
      <c r="N183" s="6">
        <v>41.38</v>
      </c>
      <c r="O183" s="6">
        <v>60.0</v>
      </c>
      <c r="P183" s="14">
        <v>40272.0</v>
      </c>
      <c r="Q183" s="1" t="s">
        <v>75</v>
      </c>
      <c r="R183" s="1" t="s">
        <v>76</v>
      </c>
      <c r="S183" s="6">
        <v>2010.0</v>
      </c>
      <c r="T183" s="6">
        <v>4.0</v>
      </c>
      <c r="U183" s="1" t="s">
        <v>77</v>
      </c>
      <c r="V183" s="1" t="s">
        <v>78</v>
      </c>
      <c r="W183" s="6">
        <v>4.0</v>
      </c>
      <c r="X183" s="1" t="s">
        <v>534</v>
      </c>
      <c r="Y183" s="1" t="s">
        <v>535</v>
      </c>
      <c r="Z183" s="6">
        <v>7.32</v>
      </c>
      <c r="AA183" s="6">
        <v>182912.0</v>
      </c>
      <c r="AB183" s="10">
        <v>0.3</v>
      </c>
      <c r="AC183" s="1" t="s">
        <v>2218</v>
      </c>
      <c r="AD183" s="1" t="s">
        <v>2219</v>
      </c>
      <c r="AE183" s="1" t="s">
        <v>2220</v>
      </c>
      <c r="AF183" s="1" t="s">
        <v>2221</v>
      </c>
      <c r="AG183" s="1" t="s">
        <v>2220</v>
      </c>
      <c r="AH183" s="1" t="s">
        <v>1527</v>
      </c>
      <c r="AI183" s="6">
        <v>35645.0</v>
      </c>
      <c r="AJ183" s="1" t="s">
        <v>106</v>
      </c>
      <c r="AK183" s="1" t="s">
        <v>2222</v>
      </c>
      <c r="AL183" s="1" t="s">
        <v>2223</v>
      </c>
      <c r="AM183" s="11" t="str">
        <f>VLOOKUP(N183,Sheet3!$B$4:$C$10,2,1)</f>
        <v>41-50</v>
      </c>
      <c r="AN183" s="12" t="str">
        <f>VLOOKUP(Z183,Sheet3!$F$4:$G$10,2,1)</f>
        <v>5-10</v>
      </c>
      <c r="AO183" s="5" t="str">
        <f>VLOOKUP(AA183,Sheet3!$I$3:$J$16,2,1)</f>
        <v>180000-200000</v>
      </c>
      <c r="AP183" s="5" t="str">
        <f>VLOOKUP(AB183,Sheet3!$L$4:$M$14,2,1)</f>
        <v>26% - 30%</v>
      </c>
    </row>
    <row r="184">
      <c r="A184" s="6">
        <v>505758.0</v>
      </c>
      <c r="B184" s="1" t="s">
        <v>66</v>
      </c>
      <c r="C184" s="1" t="s">
        <v>2224</v>
      </c>
      <c r="D184" s="1" t="s">
        <v>389</v>
      </c>
      <c r="E184" s="1" t="s">
        <v>2225</v>
      </c>
      <c r="F184" s="1" t="s">
        <v>70</v>
      </c>
      <c r="G184" s="1" t="s">
        <v>2226</v>
      </c>
      <c r="H184" s="1" t="s">
        <v>1395</v>
      </c>
      <c r="I184" s="1" t="s">
        <v>2227</v>
      </c>
      <c r="J184" s="1" t="s">
        <v>2228</v>
      </c>
      <c r="K184" s="1" t="s">
        <v>201</v>
      </c>
      <c r="L184" s="9">
        <v>22660.0</v>
      </c>
      <c r="M184" s="8">
        <v>0.683599537037037</v>
      </c>
      <c r="N184" s="6">
        <v>55.57</v>
      </c>
      <c r="O184" s="6">
        <v>53.0</v>
      </c>
      <c r="P184" s="9">
        <v>39717.0</v>
      </c>
      <c r="Q184" s="1" t="s">
        <v>308</v>
      </c>
      <c r="R184" s="1" t="s">
        <v>53</v>
      </c>
      <c r="S184" s="6">
        <v>2008.0</v>
      </c>
      <c r="T184" s="6">
        <v>9.0</v>
      </c>
      <c r="U184" s="1" t="s">
        <v>309</v>
      </c>
      <c r="V184" s="1" t="s">
        <v>310</v>
      </c>
      <c r="W184" s="6">
        <v>26.0</v>
      </c>
      <c r="X184" s="1" t="s">
        <v>263</v>
      </c>
      <c r="Y184" s="1" t="s">
        <v>264</v>
      </c>
      <c r="Z184" s="6">
        <v>8.84</v>
      </c>
      <c r="AA184" s="6">
        <v>70852.0</v>
      </c>
      <c r="AB184" s="10">
        <v>0.09</v>
      </c>
      <c r="AC184" s="1" t="s">
        <v>2229</v>
      </c>
      <c r="AD184" s="1" t="s">
        <v>2230</v>
      </c>
      <c r="AE184" s="1" t="s">
        <v>2231</v>
      </c>
      <c r="AF184" s="1" t="s">
        <v>2232</v>
      </c>
      <c r="AG184" s="1" t="s">
        <v>2231</v>
      </c>
      <c r="AH184" s="1" t="s">
        <v>169</v>
      </c>
      <c r="AI184" s="6">
        <v>76652.0</v>
      </c>
      <c r="AJ184" s="1" t="s">
        <v>106</v>
      </c>
      <c r="AK184" s="1" t="s">
        <v>2233</v>
      </c>
      <c r="AL184" s="1" t="s">
        <v>2234</v>
      </c>
      <c r="AM184" s="11" t="str">
        <f>VLOOKUP(N184,Sheet3!$B$4:$C$10,2,1)</f>
        <v>51-60</v>
      </c>
      <c r="AN184" s="12" t="str">
        <f>VLOOKUP(Z184,Sheet3!$F$4:$G$10,2,1)</f>
        <v>5-10</v>
      </c>
      <c r="AO184" s="5" t="str">
        <f>VLOOKUP(AA184,Sheet3!$I$3:$J$16,2,1)</f>
        <v>60000-80000</v>
      </c>
      <c r="AP184" s="5" t="str">
        <f>VLOOKUP(AB184,Sheet3!$L$4:$M$14,2,1)</f>
        <v>5% - 10%</v>
      </c>
    </row>
    <row r="185">
      <c r="A185" s="6">
        <v>487100.0</v>
      </c>
      <c r="B185" s="1" t="s">
        <v>66</v>
      </c>
      <c r="C185" s="1" t="s">
        <v>2235</v>
      </c>
      <c r="D185" s="1" t="s">
        <v>288</v>
      </c>
      <c r="E185" s="1" t="s">
        <v>2236</v>
      </c>
      <c r="F185" s="1" t="s">
        <v>70</v>
      </c>
      <c r="G185" s="1" t="s">
        <v>2237</v>
      </c>
      <c r="H185" s="1" t="s">
        <v>1395</v>
      </c>
      <c r="I185" s="1" t="s">
        <v>2238</v>
      </c>
      <c r="J185" s="1" t="s">
        <v>2239</v>
      </c>
      <c r="K185" s="1" t="s">
        <v>2240</v>
      </c>
      <c r="L185" s="9">
        <v>33749.0</v>
      </c>
      <c r="M185" s="8">
        <v>0.7530787037037037</v>
      </c>
      <c r="N185" s="6">
        <v>25.19</v>
      </c>
      <c r="O185" s="6">
        <v>61.0</v>
      </c>
      <c r="P185" s="14">
        <v>42583.0</v>
      </c>
      <c r="Q185" s="1" t="s">
        <v>308</v>
      </c>
      <c r="R185" s="1" t="s">
        <v>53</v>
      </c>
      <c r="S185" s="6">
        <v>2016.0</v>
      </c>
      <c r="T185" s="6">
        <v>8.0</v>
      </c>
      <c r="U185" s="1" t="s">
        <v>433</v>
      </c>
      <c r="V185" s="1" t="s">
        <v>434</v>
      </c>
      <c r="W185" s="6">
        <v>1.0</v>
      </c>
      <c r="X185" s="1" t="s">
        <v>99</v>
      </c>
      <c r="Y185" s="1" t="s">
        <v>100</v>
      </c>
      <c r="Z185" s="6">
        <v>0.99</v>
      </c>
      <c r="AA185" s="6">
        <v>139481.0</v>
      </c>
      <c r="AB185" s="10">
        <v>0.16</v>
      </c>
      <c r="AC185" s="1" t="s">
        <v>2241</v>
      </c>
      <c r="AD185" s="1" t="s">
        <v>2242</v>
      </c>
      <c r="AE185" s="1" t="s">
        <v>2243</v>
      </c>
      <c r="AF185" s="1" t="s">
        <v>764</v>
      </c>
      <c r="AG185" s="1" t="s">
        <v>2243</v>
      </c>
      <c r="AH185" s="1" t="s">
        <v>85</v>
      </c>
      <c r="AI185" s="6">
        <v>49261.0</v>
      </c>
      <c r="AJ185" s="1" t="s">
        <v>86</v>
      </c>
      <c r="AK185" s="1" t="s">
        <v>2244</v>
      </c>
      <c r="AL185" s="1" t="s">
        <v>2245</v>
      </c>
      <c r="AM185" s="11" t="str">
        <f>VLOOKUP(N185,Sheet3!$B$4:$C$10,2,1)</f>
        <v>21-30</v>
      </c>
      <c r="AN185" s="13" t="str">
        <f>VLOOKUP(Z185,Sheet3!$F$4:$G$10,2,1)</f>
        <v>&lt; 5</v>
      </c>
      <c r="AO185" s="5" t="str">
        <f>VLOOKUP(AA185,Sheet3!$I$3:$J$16,2,1)</f>
        <v>120000-140000</v>
      </c>
      <c r="AP185" s="5" t="str">
        <f>VLOOKUP(AB185,Sheet3!$L$4:$M$14,2,1)</f>
        <v>16% - 20%</v>
      </c>
    </row>
    <row r="186">
      <c r="A186" s="6">
        <v>974444.0</v>
      </c>
      <c r="B186" s="1" t="s">
        <v>227</v>
      </c>
      <c r="C186" s="1" t="s">
        <v>2246</v>
      </c>
      <c r="D186" s="1" t="s">
        <v>46</v>
      </c>
      <c r="E186" s="1" t="s">
        <v>2247</v>
      </c>
      <c r="F186" s="1" t="s">
        <v>70</v>
      </c>
      <c r="G186" s="1" t="s">
        <v>2248</v>
      </c>
      <c r="H186" s="1" t="s">
        <v>1395</v>
      </c>
      <c r="I186" s="1" t="s">
        <v>2249</v>
      </c>
      <c r="J186" s="1" t="s">
        <v>2250</v>
      </c>
      <c r="K186" s="1" t="s">
        <v>2251</v>
      </c>
      <c r="L186" s="9">
        <v>33694.0</v>
      </c>
      <c r="M186" s="8">
        <v>0.8023842592592593</v>
      </c>
      <c r="N186" s="6">
        <v>25.34</v>
      </c>
      <c r="O186" s="6">
        <v>75.0</v>
      </c>
      <c r="P186" s="14">
        <v>41731.0</v>
      </c>
      <c r="Q186" s="1" t="s">
        <v>75</v>
      </c>
      <c r="R186" s="1" t="s">
        <v>76</v>
      </c>
      <c r="S186" s="6">
        <v>2014.0</v>
      </c>
      <c r="T186" s="6">
        <v>4.0</v>
      </c>
      <c r="U186" s="1" t="s">
        <v>77</v>
      </c>
      <c r="V186" s="1" t="s">
        <v>78</v>
      </c>
      <c r="W186" s="6">
        <v>2.0</v>
      </c>
      <c r="X186" s="1" t="s">
        <v>278</v>
      </c>
      <c r="Y186" s="1" t="s">
        <v>279</v>
      </c>
      <c r="Z186" s="6">
        <v>3.32</v>
      </c>
      <c r="AA186" s="6">
        <v>46241.0</v>
      </c>
      <c r="AB186" s="10">
        <v>0.28</v>
      </c>
      <c r="AC186" s="1" t="s">
        <v>2252</v>
      </c>
      <c r="AD186" s="1" t="s">
        <v>2253</v>
      </c>
      <c r="AE186" s="1" t="s">
        <v>2254</v>
      </c>
      <c r="AF186" s="1" t="s">
        <v>84</v>
      </c>
      <c r="AG186" s="1" t="s">
        <v>2254</v>
      </c>
      <c r="AH186" s="1" t="s">
        <v>210</v>
      </c>
      <c r="AI186" s="6">
        <v>60096.0</v>
      </c>
      <c r="AJ186" s="1" t="s">
        <v>86</v>
      </c>
      <c r="AK186" s="1" t="s">
        <v>2255</v>
      </c>
      <c r="AL186" s="1" t="s">
        <v>2256</v>
      </c>
      <c r="AM186" s="11" t="str">
        <f>VLOOKUP(N186,Sheet3!$B$4:$C$10,2,1)</f>
        <v>21-30</v>
      </c>
      <c r="AN186" s="13" t="str">
        <f>VLOOKUP(Z186,Sheet3!$F$4:$G$10,2,1)</f>
        <v>&lt; 5</v>
      </c>
      <c r="AO186" s="5" t="str">
        <f>VLOOKUP(AA186,Sheet3!$I$3:$J$16,2,1)</f>
        <v>40000-60000</v>
      </c>
      <c r="AP186" s="5" t="str">
        <f>VLOOKUP(AB186,Sheet3!$L$4:$M$14,2,1)</f>
        <v>26% - 30%</v>
      </c>
    </row>
    <row r="187">
      <c r="A187" s="6">
        <v>829416.0</v>
      </c>
      <c r="B187" s="1" t="s">
        <v>66</v>
      </c>
      <c r="C187" s="1" t="s">
        <v>2257</v>
      </c>
      <c r="D187" s="1" t="s">
        <v>111</v>
      </c>
      <c r="E187" s="1" t="s">
        <v>2258</v>
      </c>
      <c r="F187" s="1" t="s">
        <v>70</v>
      </c>
      <c r="G187" s="1" t="s">
        <v>2259</v>
      </c>
      <c r="H187" s="1" t="s">
        <v>1395</v>
      </c>
      <c r="I187" s="1" t="s">
        <v>2260</v>
      </c>
      <c r="J187" s="1" t="s">
        <v>2261</v>
      </c>
      <c r="K187" s="1" t="s">
        <v>51</v>
      </c>
      <c r="L187" s="14">
        <v>24235.0</v>
      </c>
      <c r="M187" s="8">
        <v>0.6807407407407408</v>
      </c>
      <c r="N187" s="6">
        <v>51.26</v>
      </c>
      <c r="O187" s="6">
        <v>69.0</v>
      </c>
      <c r="P187" s="7">
        <v>38636.0</v>
      </c>
      <c r="Q187" s="1" t="s">
        <v>52</v>
      </c>
      <c r="R187" s="1" t="s">
        <v>53</v>
      </c>
      <c r="S187" s="6">
        <v>2005.0</v>
      </c>
      <c r="T187" s="6">
        <v>10.0</v>
      </c>
      <c r="U187" s="1" t="s">
        <v>133</v>
      </c>
      <c r="V187" s="1" t="s">
        <v>134</v>
      </c>
      <c r="W187" s="6">
        <v>11.0</v>
      </c>
      <c r="X187" s="1" t="s">
        <v>79</v>
      </c>
      <c r="Y187" s="1" t="s">
        <v>80</v>
      </c>
      <c r="Z187" s="6">
        <v>11.8</v>
      </c>
      <c r="AA187" s="6">
        <v>138022.0</v>
      </c>
      <c r="AB187" s="10">
        <v>0.15</v>
      </c>
      <c r="AC187" s="1" t="s">
        <v>2262</v>
      </c>
      <c r="AD187" s="1" t="s">
        <v>2263</v>
      </c>
      <c r="AE187" s="1" t="s">
        <v>2264</v>
      </c>
      <c r="AF187" s="1" t="s">
        <v>562</v>
      </c>
      <c r="AG187" s="1" t="s">
        <v>2264</v>
      </c>
      <c r="AH187" s="1" t="s">
        <v>811</v>
      </c>
      <c r="AI187" s="6">
        <v>39533.0</v>
      </c>
      <c r="AJ187" s="1" t="s">
        <v>106</v>
      </c>
      <c r="AK187" s="1" t="s">
        <v>2265</v>
      </c>
      <c r="AL187" s="1" t="s">
        <v>2266</v>
      </c>
      <c r="AM187" s="11" t="str">
        <f>VLOOKUP(N187,Sheet3!$B$4:$C$10,2,1)</f>
        <v>51-60</v>
      </c>
      <c r="AN187" s="12" t="str">
        <f>VLOOKUP(Z187,Sheet3!$F$4:$G$10,2,1)</f>
        <v>11-20</v>
      </c>
      <c r="AO187" s="5" t="str">
        <f>VLOOKUP(AA187,Sheet3!$I$3:$J$16,2,1)</f>
        <v>120000-140000</v>
      </c>
      <c r="AP187" s="5" t="str">
        <f>VLOOKUP(AB187,Sheet3!$L$4:$M$14,2,1)</f>
        <v>11% - 15%</v>
      </c>
    </row>
    <row r="188">
      <c r="A188" s="6">
        <v>146825.0</v>
      </c>
      <c r="B188" s="1" t="s">
        <v>125</v>
      </c>
      <c r="C188" s="1" t="s">
        <v>1866</v>
      </c>
      <c r="D188" s="1" t="s">
        <v>389</v>
      </c>
      <c r="E188" s="1" t="s">
        <v>2267</v>
      </c>
      <c r="F188" s="1" t="s">
        <v>70</v>
      </c>
      <c r="G188" s="1" t="s">
        <v>2268</v>
      </c>
      <c r="H188" s="1" t="s">
        <v>1395</v>
      </c>
      <c r="I188" s="1" t="s">
        <v>2269</v>
      </c>
      <c r="J188" s="1" t="s">
        <v>2270</v>
      </c>
      <c r="K188" s="1" t="s">
        <v>1578</v>
      </c>
      <c r="L188" s="9">
        <v>22150.0</v>
      </c>
      <c r="M188" s="8">
        <v>0.716099537037037</v>
      </c>
      <c r="N188" s="6">
        <v>56.97</v>
      </c>
      <c r="O188" s="6">
        <v>55.0</v>
      </c>
      <c r="P188" s="9">
        <v>39492.0</v>
      </c>
      <c r="Q188" s="1" t="s">
        <v>96</v>
      </c>
      <c r="R188" s="1" t="s">
        <v>76</v>
      </c>
      <c r="S188" s="6">
        <v>2008.0</v>
      </c>
      <c r="T188" s="6">
        <v>2.0</v>
      </c>
      <c r="U188" s="1" t="s">
        <v>117</v>
      </c>
      <c r="V188" s="1" t="s">
        <v>118</v>
      </c>
      <c r="W188" s="6">
        <v>14.0</v>
      </c>
      <c r="X188" s="1" t="s">
        <v>150</v>
      </c>
      <c r="Y188" s="1" t="s">
        <v>151</v>
      </c>
      <c r="Z188" s="6">
        <v>9.46</v>
      </c>
      <c r="AA188" s="6">
        <v>136498.0</v>
      </c>
      <c r="AB188" s="10">
        <v>0.21</v>
      </c>
      <c r="AC188" s="1" t="s">
        <v>2271</v>
      </c>
      <c r="AD188" s="1" t="s">
        <v>2272</v>
      </c>
      <c r="AE188" s="1" t="s">
        <v>2084</v>
      </c>
      <c r="AF188" s="1" t="s">
        <v>2273</v>
      </c>
      <c r="AG188" s="1" t="s">
        <v>2084</v>
      </c>
      <c r="AH188" s="1" t="s">
        <v>2274</v>
      </c>
      <c r="AI188" s="6">
        <v>19955.0</v>
      </c>
      <c r="AJ188" s="1" t="s">
        <v>106</v>
      </c>
      <c r="AK188" s="1" t="s">
        <v>2275</v>
      </c>
      <c r="AL188" s="1" t="s">
        <v>2276</v>
      </c>
      <c r="AM188" s="11" t="str">
        <f>VLOOKUP(N188,Sheet3!$B$4:$C$10,2,1)</f>
        <v>51-60</v>
      </c>
      <c r="AN188" s="12" t="str">
        <f>VLOOKUP(Z188,Sheet3!$F$4:$G$10,2,1)</f>
        <v>5-10</v>
      </c>
      <c r="AO188" s="5" t="str">
        <f>VLOOKUP(AA188,Sheet3!$I$3:$J$16,2,1)</f>
        <v>120000-140000</v>
      </c>
      <c r="AP188" s="5" t="str">
        <f>VLOOKUP(AB188,Sheet3!$L$4:$M$14,2,1)</f>
        <v>21% - 25%</v>
      </c>
    </row>
    <row r="189">
      <c r="A189" s="6">
        <v>603179.0</v>
      </c>
      <c r="B189" s="1" t="s">
        <v>66</v>
      </c>
      <c r="C189" s="1" t="s">
        <v>2277</v>
      </c>
      <c r="D189" s="1" t="s">
        <v>200</v>
      </c>
      <c r="E189" s="1" t="s">
        <v>2278</v>
      </c>
      <c r="F189" s="1" t="s">
        <v>70</v>
      </c>
      <c r="G189" s="1" t="s">
        <v>2279</v>
      </c>
      <c r="H189" s="1" t="s">
        <v>1395</v>
      </c>
      <c r="I189" s="1" t="s">
        <v>2280</v>
      </c>
      <c r="J189" s="1" t="s">
        <v>2281</v>
      </c>
      <c r="K189" s="1" t="s">
        <v>2282</v>
      </c>
      <c r="L189" s="14">
        <v>31842.0</v>
      </c>
      <c r="M189" s="8">
        <v>0.5715740740740741</v>
      </c>
      <c r="N189" s="6">
        <v>30.42</v>
      </c>
      <c r="O189" s="6">
        <v>79.0</v>
      </c>
      <c r="P189" s="9">
        <v>39964.0</v>
      </c>
      <c r="Q189" s="1" t="s">
        <v>75</v>
      </c>
      <c r="R189" s="1" t="s">
        <v>76</v>
      </c>
      <c r="S189" s="6">
        <v>2009.0</v>
      </c>
      <c r="T189" s="6">
        <v>5.0</v>
      </c>
      <c r="U189" s="1" t="s">
        <v>294</v>
      </c>
      <c r="V189" s="1" t="s">
        <v>294</v>
      </c>
      <c r="W189" s="6">
        <v>31.0</v>
      </c>
      <c r="X189" s="1" t="s">
        <v>534</v>
      </c>
      <c r="Y189" s="1" t="s">
        <v>535</v>
      </c>
      <c r="Z189" s="6">
        <v>8.16</v>
      </c>
      <c r="AA189" s="6">
        <v>189614.0</v>
      </c>
      <c r="AB189" s="10">
        <v>0.24</v>
      </c>
      <c r="AC189" s="1" t="s">
        <v>2283</v>
      </c>
      <c r="AD189" s="1" t="s">
        <v>2284</v>
      </c>
      <c r="AE189" s="1" t="s">
        <v>2285</v>
      </c>
      <c r="AF189" s="1" t="s">
        <v>2286</v>
      </c>
      <c r="AG189" s="1" t="s">
        <v>2285</v>
      </c>
      <c r="AH189" s="1" t="s">
        <v>974</v>
      </c>
      <c r="AI189" s="6">
        <v>45874.0</v>
      </c>
      <c r="AJ189" s="1" t="s">
        <v>86</v>
      </c>
      <c r="AK189" s="1" t="s">
        <v>2287</v>
      </c>
      <c r="AL189" s="1" t="s">
        <v>2288</v>
      </c>
      <c r="AM189" s="11" t="str">
        <f>VLOOKUP(N189,Sheet3!$B$4:$C$10,2,1)</f>
        <v>21-30</v>
      </c>
      <c r="AN189" s="12" t="str">
        <f>VLOOKUP(Z189,Sheet3!$F$4:$G$10,2,1)</f>
        <v>5-10</v>
      </c>
      <c r="AO189" s="5" t="str">
        <f>VLOOKUP(AA189,Sheet3!$I$3:$J$16,2,1)</f>
        <v>180000-200000</v>
      </c>
      <c r="AP189" s="5" t="str">
        <f>VLOOKUP(AB189,Sheet3!$L$4:$M$14,2,1)</f>
        <v>21% - 25%</v>
      </c>
    </row>
    <row r="190">
      <c r="A190" s="6">
        <v>175035.0</v>
      </c>
      <c r="B190" s="1" t="s">
        <v>42</v>
      </c>
      <c r="C190" s="1" t="s">
        <v>2289</v>
      </c>
      <c r="D190" s="1" t="s">
        <v>127</v>
      </c>
      <c r="E190" s="1" t="s">
        <v>2290</v>
      </c>
      <c r="F190" s="1" t="s">
        <v>46</v>
      </c>
      <c r="G190" s="1" t="s">
        <v>2291</v>
      </c>
      <c r="H190" s="1" t="s">
        <v>1395</v>
      </c>
      <c r="I190" s="1" t="s">
        <v>2292</v>
      </c>
      <c r="J190" s="1" t="s">
        <v>2293</v>
      </c>
      <c r="K190" s="1" t="s">
        <v>2294</v>
      </c>
      <c r="L190" s="9">
        <v>26444.0</v>
      </c>
      <c r="M190" s="8">
        <v>0.9083912037037037</v>
      </c>
      <c r="N190" s="6">
        <v>45.21</v>
      </c>
      <c r="O190" s="6">
        <v>40.0</v>
      </c>
      <c r="P190" s="9">
        <v>38244.0</v>
      </c>
      <c r="Q190" s="1" t="s">
        <v>308</v>
      </c>
      <c r="R190" s="1" t="s">
        <v>53</v>
      </c>
      <c r="S190" s="6">
        <v>2004.0</v>
      </c>
      <c r="T190" s="6">
        <v>9.0</v>
      </c>
      <c r="U190" s="1" t="s">
        <v>309</v>
      </c>
      <c r="V190" s="1" t="s">
        <v>310</v>
      </c>
      <c r="W190" s="6">
        <v>14.0</v>
      </c>
      <c r="X190" s="1" t="s">
        <v>79</v>
      </c>
      <c r="Y190" s="1" t="s">
        <v>80</v>
      </c>
      <c r="Z190" s="6">
        <v>12.88</v>
      </c>
      <c r="AA190" s="6">
        <v>154633.0</v>
      </c>
      <c r="AB190" s="10">
        <v>0.06</v>
      </c>
      <c r="AC190" s="1" t="s">
        <v>2295</v>
      </c>
      <c r="AD190" s="1" t="s">
        <v>2296</v>
      </c>
      <c r="AE190" s="1" t="s">
        <v>2297</v>
      </c>
      <c r="AF190" s="1" t="s">
        <v>2298</v>
      </c>
      <c r="AG190" s="1" t="s">
        <v>2297</v>
      </c>
      <c r="AH190" s="1" t="s">
        <v>1527</v>
      </c>
      <c r="AI190" s="6">
        <v>35967.0</v>
      </c>
      <c r="AJ190" s="1" t="s">
        <v>106</v>
      </c>
      <c r="AK190" s="1" t="s">
        <v>2299</v>
      </c>
      <c r="AL190" s="1" t="s">
        <v>2300</v>
      </c>
      <c r="AM190" s="11" t="str">
        <f>VLOOKUP(N190,Sheet3!$B$4:$C$10,2,1)</f>
        <v>41-50</v>
      </c>
      <c r="AN190" s="12" t="str">
        <f>VLOOKUP(Z190,Sheet3!$F$4:$G$10,2,1)</f>
        <v>11-20</v>
      </c>
      <c r="AO190" s="5" t="str">
        <f>VLOOKUP(AA190,Sheet3!$I$3:$J$16,2,1)</f>
        <v>140000-160000</v>
      </c>
      <c r="AP190" s="5" t="str">
        <f>VLOOKUP(AB190,Sheet3!$L$4:$M$14,2,1)</f>
        <v>5% - 10%</v>
      </c>
    </row>
    <row r="191">
      <c r="A191" s="6">
        <v>358935.0</v>
      </c>
      <c r="B191" s="1" t="s">
        <v>42</v>
      </c>
      <c r="C191" s="1" t="s">
        <v>2301</v>
      </c>
      <c r="D191" s="1" t="s">
        <v>403</v>
      </c>
      <c r="E191" s="1" t="s">
        <v>2302</v>
      </c>
      <c r="F191" s="1" t="s">
        <v>46</v>
      </c>
      <c r="G191" s="1" t="s">
        <v>2303</v>
      </c>
      <c r="H191" s="1" t="s">
        <v>1395</v>
      </c>
      <c r="I191" s="1" t="s">
        <v>2304</v>
      </c>
      <c r="J191" s="1" t="s">
        <v>2305</v>
      </c>
      <c r="K191" s="1" t="s">
        <v>2306</v>
      </c>
      <c r="L191" s="9">
        <v>33961.0</v>
      </c>
      <c r="M191" s="8">
        <v>0.4732638888888889</v>
      </c>
      <c r="N191" s="6">
        <v>24.61</v>
      </c>
      <c r="O191" s="6">
        <v>40.0</v>
      </c>
      <c r="P191" s="14">
        <v>42826.0</v>
      </c>
      <c r="Q191" s="1" t="s">
        <v>75</v>
      </c>
      <c r="R191" s="1" t="s">
        <v>76</v>
      </c>
      <c r="S191" s="6">
        <v>2017.0</v>
      </c>
      <c r="T191" s="6">
        <v>4.0</v>
      </c>
      <c r="U191" s="1" t="s">
        <v>77</v>
      </c>
      <c r="V191" s="1" t="s">
        <v>78</v>
      </c>
      <c r="W191" s="6">
        <v>1.0</v>
      </c>
      <c r="X191" s="1" t="s">
        <v>56</v>
      </c>
      <c r="Y191" s="1" t="s">
        <v>57</v>
      </c>
      <c r="Z191" s="6">
        <v>0.32</v>
      </c>
      <c r="AA191" s="6">
        <v>196480.0</v>
      </c>
      <c r="AB191" s="10">
        <v>0.21</v>
      </c>
      <c r="AC191" s="1" t="s">
        <v>2307</v>
      </c>
      <c r="AD191" s="1" t="s">
        <v>2308</v>
      </c>
      <c r="AE191" s="1" t="s">
        <v>2309</v>
      </c>
      <c r="AF191" s="1" t="s">
        <v>221</v>
      </c>
      <c r="AG191" s="1" t="s">
        <v>2309</v>
      </c>
      <c r="AH191" s="1" t="s">
        <v>330</v>
      </c>
      <c r="AI191" s="6">
        <v>20896.0</v>
      </c>
      <c r="AJ191" s="1" t="s">
        <v>106</v>
      </c>
      <c r="AK191" s="1" t="s">
        <v>2310</v>
      </c>
      <c r="AL191" s="1" t="s">
        <v>2311</v>
      </c>
      <c r="AM191" s="11" t="str">
        <f>VLOOKUP(N191,Sheet3!$B$4:$C$10,2,1)</f>
        <v>21-30</v>
      </c>
      <c r="AN191" s="13" t="str">
        <f>VLOOKUP(Z191,Sheet3!$F$4:$G$10,2,1)</f>
        <v>&lt; 5</v>
      </c>
      <c r="AO191" s="5" t="str">
        <f>VLOOKUP(AA191,Sheet3!$I$3:$J$16,2,1)</f>
        <v>180000-200000</v>
      </c>
      <c r="AP191" s="5" t="str">
        <f>VLOOKUP(AB191,Sheet3!$L$4:$M$14,2,1)</f>
        <v>21% - 25%</v>
      </c>
    </row>
    <row r="192">
      <c r="A192" s="6">
        <v>608832.0</v>
      </c>
      <c r="B192" s="1" t="s">
        <v>109</v>
      </c>
      <c r="C192" s="1" t="s">
        <v>2312</v>
      </c>
      <c r="D192" s="1" t="s">
        <v>257</v>
      </c>
      <c r="E192" s="1" t="s">
        <v>1370</v>
      </c>
      <c r="F192" s="1" t="s">
        <v>46</v>
      </c>
      <c r="G192" s="1" t="s">
        <v>2313</v>
      </c>
      <c r="H192" s="1" t="s">
        <v>1395</v>
      </c>
      <c r="I192" s="1" t="s">
        <v>2314</v>
      </c>
      <c r="J192" s="1" t="s">
        <v>2315</v>
      </c>
      <c r="K192" s="1" t="s">
        <v>2316</v>
      </c>
      <c r="L192" s="14">
        <v>29954.0</v>
      </c>
      <c r="M192" s="8">
        <v>0.8038657407407407</v>
      </c>
      <c r="N192" s="6">
        <v>35.59</v>
      </c>
      <c r="O192" s="6">
        <v>43.0</v>
      </c>
      <c r="P192" s="9">
        <v>38915.0</v>
      </c>
      <c r="Q192" s="1" t="s">
        <v>308</v>
      </c>
      <c r="R192" s="1" t="s">
        <v>53</v>
      </c>
      <c r="S192" s="6">
        <v>2006.0</v>
      </c>
      <c r="T192" s="6">
        <v>7.0</v>
      </c>
      <c r="U192" s="1" t="s">
        <v>366</v>
      </c>
      <c r="V192" s="1" t="s">
        <v>367</v>
      </c>
      <c r="W192" s="6">
        <v>17.0</v>
      </c>
      <c r="X192" s="1" t="s">
        <v>99</v>
      </c>
      <c r="Y192" s="1" t="s">
        <v>100</v>
      </c>
      <c r="Z192" s="6">
        <v>11.04</v>
      </c>
      <c r="AA192" s="6">
        <v>130226.0</v>
      </c>
      <c r="AB192" s="10">
        <v>0.06</v>
      </c>
      <c r="AC192" s="1" t="s">
        <v>2317</v>
      </c>
      <c r="AD192" s="1" t="s">
        <v>2318</v>
      </c>
      <c r="AE192" s="1" t="s">
        <v>1047</v>
      </c>
      <c r="AF192" s="1" t="s">
        <v>2319</v>
      </c>
      <c r="AG192" s="1" t="s">
        <v>1047</v>
      </c>
      <c r="AH192" s="1" t="s">
        <v>811</v>
      </c>
      <c r="AI192" s="6">
        <v>38740.0</v>
      </c>
      <c r="AJ192" s="1" t="s">
        <v>106</v>
      </c>
      <c r="AK192" s="1" t="s">
        <v>2320</v>
      </c>
      <c r="AL192" s="1" t="s">
        <v>2321</v>
      </c>
      <c r="AM192" s="11" t="str">
        <f>VLOOKUP(N192,Sheet3!$B$4:$C$10,2,1)</f>
        <v>31-40</v>
      </c>
      <c r="AN192" s="12" t="str">
        <f>VLOOKUP(Z192,Sheet3!$F$4:$G$10,2,1)</f>
        <v>11-20</v>
      </c>
      <c r="AO192" s="5" t="str">
        <f>VLOOKUP(AA192,Sheet3!$I$3:$J$16,2,1)</f>
        <v>120000-140000</v>
      </c>
      <c r="AP192" s="5" t="str">
        <f>VLOOKUP(AB192,Sheet3!$L$4:$M$14,2,1)</f>
        <v>5% - 10%</v>
      </c>
    </row>
    <row r="193">
      <c r="A193" s="6">
        <v>509911.0</v>
      </c>
      <c r="B193" s="1" t="s">
        <v>42</v>
      </c>
      <c r="C193" s="1" t="s">
        <v>2322</v>
      </c>
      <c r="D193" s="1" t="s">
        <v>403</v>
      </c>
      <c r="E193" s="1" t="s">
        <v>1018</v>
      </c>
      <c r="F193" s="1" t="s">
        <v>46</v>
      </c>
      <c r="G193" s="1" t="s">
        <v>2323</v>
      </c>
      <c r="H193" s="1" t="s">
        <v>1395</v>
      </c>
      <c r="I193" s="1" t="s">
        <v>2324</v>
      </c>
      <c r="J193" s="1" t="s">
        <v>2325</v>
      </c>
      <c r="K193" s="1" t="s">
        <v>1086</v>
      </c>
      <c r="L193" s="9">
        <v>25127.0</v>
      </c>
      <c r="M193" s="8">
        <v>0.13599537037037038</v>
      </c>
      <c r="N193" s="6">
        <v>48.81</v>
      </c>
      <c r="O193" s="6">
        <v>43.0</v>
      </c>
      <c r="P193" s="9">
        <v>41992.0</v>
      </c>
      <c r="Q193" s="1" t="s">
        <v>52</v>
      </c>
      <c r="R193" s="1" t="s">
        <v>53</v>
      </c>
      <c r="S193" s="6">
        <v>2014.0</v>
      </c>
      <c r="T193" s="6">
        <v>12.0</v>
      </c>
      <c r="U193" s="1" t="s">
        <v>54</v>
      </c>
      <c r="V193" s="1" t="s">
        <v>55</v>
      </c>
      <c r="W193" s="6">
        <v>19.0</v>
      </c>
      <c r="X193" s="1" t="s">
        <v>263</v>
      </c>
      <c r="Y193" s="1" t="s">
        <v>264</v>
      </c>
      <c r="Z193" s="6">
        <v>2.61</v>
      </c>
      <c r="AA193" s="6">
        <v>61126.0</v>
      </c>
      <c r="AB193" s="10">
        <v>0.09</v>
      </c>
      <c r="AC193" s="1" t="s">
        <v>2326</v>
      </c>
      <c r="AD193" s="1" t="s">
        <v>2327</v>
      </c>
      <c r="AE193" s="1" t="s">
        <v>1790</v>
      </c>
      <c r="AF193" s="1" t="s">
        <v>2328</v>
      </c>
      <c r="AG193" s="1" t="s">
        <v>1790</v>
      </c>
      <c r="AH193" s="1" t="s">
        <v>857</v>
      </c>
      <c r="AI193" s="6">
        <v>63164.0</v>
      </c>
      <c r="AJ193" s="1" t="s">
        <v>86</v>
      </c>
      <c r="AK193" s="1" t="s">
        <v>2329</v>
      </c>
      <c r="AL193" s="1" t="s">
        <v>2330</v>
      </c>
      <c r="AM193" s="11" t="str">
        <f>VLOOKUP(N193,Sheet3!$B$4:$C$10,2,1)</f>
        <v>41-50</v>
      </c>
      <c r="AN193" s="13" t="str">
        <f>VLOOKUP(Z193,Sheet3!$F$4:$G$10,2,1)</f>
        <v>&lt; 5</v>
      </c>
      <c r="AO193" s="5" t="str">
        <f>VLOOKUP(AA193,Sheet3!$I$3:$J$16,2,1)</f>
        <v>60000-80000</v>
      </c>
      <c r="AP193" s="5" t="str">
        <f>VLOOKUP(AB193,Sheet3!$L$4:$M$14,2,1)</f>
        <v>5% - 10%</v>
      </c>
    </row>
    <row r="194">
      <c r="A194" s="6">
        <v>354363.0</v>
      </c>
      <c r="B194" s="1" t="s">
        <v>42</v>
      </c>
      <c r="C194" s="1" t="s">
        <v>1323</v>
      </c>
      <c r="D194" s="1" t="s">
        <v>44</v>
      </c>
      <c r="E194" s="1" t="s">
        <v>2331</v>
      </c>
      <c r="F194" s="1" t="s">
        <v>46</v>
      </c>
      <c r="G194" s="1" t="s">
        <v>2332</v>
      </c>
      <c r="H194" s="1" t="s">
        <v>1395</v>
      </c>
      <c r="I194" s="1" t="s">
        <v>2333</v>
      </c>
      <c r="J194" s="1" t="s">
        <v>2334</v>
      </c>
      <c r="K194" s="1" t="s">
        <v>2335</v>
      </c>
      <c r="L194" s="9">
        <v>27970.0</v>
      </c>
      <c r="M194" s="8">
        <v>0.09645833333333333</v>
      </c>
      <c r="N194" s="6">
        <v>41.02</v>
      </c>
      <c r="O194" s="6">
        <v>45.0</v>
      </c>
      <c r="P194" s="14">
        <v>38322.0</v>
      </c>
      <c r="Q194" s="1" t="s">
        <v>52</v>
      </c>
      <c r="R194" s="1" t="s">
        <v>53</v>
      </c>
      <c r="S194" s="6">
        <v>2004.0</v>
      </c>
      <c r="T194" s="6">
        <v>12.0</v>
      </c>
      <c r="U194" s="1" t="s">
        <v>54</v>
      </c>
      <c r="V194" s="1" t="s">
        <v>55</v>
      </c>
      <c r="W194" s="6">
        <v>1.0</v>
      </c>
      <c r="X194" s="1" t="s">
        <v>278</v>
      </c>
      <c r="Y194" s="1" t="s">
        <v>279</v>
      </c>
      <c r="Z194" s="6">
        <v>12.66</v>
      </c>
      <c r="AA194" s="6">
        <v>62009.0</v>
      </c>
      <c r="AB194" s="10">
        <v>0.24</v>
      </c>
      <c r="AC194" s="1" t="s">
        <v>2336</v>
      </c>
      <c r="AD194" s="1" t="s">
        <v>2337</v>
      </c>
      <c r="AE194" s="1" t="s">
        <v>2338</v>
      </c>
      <c r="AF194" s="1" t="s">
        <v>2339</v>
      </c>
      <c r="AG194" s="1" t="s">
        <v>2338</v>
      </c>
      <c r="AH194" s="1" t="s">
        <v>488</v>
      </c>
      <c r="AI194" s="6">
        <v>32530.0</v>
      </c>
      <c r="AJ194" s="1" t="s">
        <v>106</v>
      </c>
      <c r="AK194" s="1" t="s">
        <v>2340</v>
      </c>
      <c r="AL194" s="1" t="s">
        <v>2341</v>
      </c>
      <c r="AM194" s="11" t="str">
        <f>VLOOKUP(N194,Sheet3!$B$4:$C$10,2,1)</f>
        <v>41-50</v>
      </c>
      <c r="AN194" s="12" t="str">
        <f>VLOOKUP(Z194,Sheet3!$F$4:$G$10,2,1)</f>
        <v>11-20</v>
      </c>
      <c r="AO194" s="5" t="str">
        <f>VLOOKUP(AA194,Sheet3!$I$3:$J$16,2,1)</f>
        <v>60000-80000</v>
      </c>
      <c r="AP194" s="5" t="str">
        <f>VLOOKUP(AB194,Sheet3!$L$4:$M$14,2,1)</f>
        <v>21% - 25%</v>
      </c>
    </row>
    <row r="195">
      <c r="A195" s="6">
        <v>344607.0</v>
      </c>
      <c r="B195" s="1" t="s">
        <v>66</v>
      </c>
      <c r="C195" s="1" t="s">
        <v>2342</v>
      </c>
      <c r="D195" s="1" t="s">
        <v>861</v>
      </c>
      <c r="E195" s="1" t="s">
        <v>2343</v>
      </c>
      <c r="F195" s="1" t="s">
        <v>70</v>
      </c>
      <c r="G195" s="1" t="s">
        <v>2344</v>
      </c>
      <c r="H195" s="1" t="s">
        <v>1395</v>
      </c>
      <c r="I195" s="1" t="s">
        <v>2345</v>
      </c>
      <c r="J195" s="1" t="s">
        <v>2346</v>
      </c>
      <c r="K195" s="1" t="s">
        <v>2347</v>
      </c>
      <c r="L195" s="9">
        <v>21685.0</v>
      </c>
      <c r="M195" s="8">
        <v>0.922025462962963</v>
      </c>
      <c r="N195" s="6">
        <v>58.24</v>
      </c>
      <c r="O195" s="6">
        <v>54.0</v>
      </c>
      <c r="P195" s="14">
        <v>35985.0</v>
      </c>
      <c r="Q195" s="1" t="s">
        <v>308</v>
      </c>
      <c r="R195" s="1" t="s">
        <v>53</v>
      </c>
      <c r="S195" s="6">
        <v>1998.0</v>
      </c>
      <c r="T195" s="6">
        <v>7.0</v>
      </c>
      <c r="U195" s="1" t="s">
        <v>366</v>
      </c>
      <c r="V195" s="1" t="s">
        <v>367</v>
      </c>
      <c r="W195" s="6">
        <v>9.0</v>
      </c>
      <c r="X195" s="1" t="s">
        <v>150</v>
      </c>
      <c r="Y195" s="1" t="s">
        <v>151</v>
      </c>
      <c r="Z195" s="6">
        <v>19.07</v>
      </c>
      <c r="AA195" s="6">
        <v>188608.0</v>
      </c>
      <c r="AB195" s="10">
        <v>0.29</v>
      </c>
      <c r="AC195" s="1" t="s">
        <v>2348</v>
      </c>
      <c r="AD195" s="1" t="s">
        <v>2349</v>
      </c>
      <c r="AE195" s="1" t="s">
        <v>2350</v>
      </c>
      <c r="AF195" s="1" t="s">
        <v>2351</v>
      </c>
      <c r="AG195" s="1" t="s">
        <v>2350</v>
      </c>
      <c r="AH195" s="1" t="s">
        <v>740</v>
      </c>
      <c r="AI195" s="6">
        <v>2714.0</v>
      </c>
      <c r="AJ195" s="1" t="s">
        <v>224</v>
      </c>
      <c r="AK195" s="1" t="s">
        <v>2352</v>
      </c>
      <c r="AL195" s="1" t="s">
        <v>2353</v>
      </c>
      <c r="AM195" s="11" t="str">
        <f>VLOOKUP(N195,Sheet3!$B$4:$C$10,2,1)</f>
        <v>51-60</v>
      </c>
      <c r="AN195" s="12" t="str">
        <f>VLOOKUP(Z195,Sheet3!$F$4:$G$10,2,1)</f>
        <v>11-20</v>
      </c>
      <c r="AO195" s="5" t="str">
        <f>VLOOKUP(AA195,Sheet3!$I$3:$J$16,2,1)</f>
        <v>180000-200000</v>
      </c>
      <c r="AP195" s="5" t="str">
        <f>VLOOKUP(AB195,Sheet3!$L$4:$M$14,2,1)</f>
        <v>26% - 30%</v>
      </c>
    </row>
    <row r="196">
      <c r="A196" s="6">
        <v>191963.0</v>
      </c>
      <c r="B196" s="1" t="s">
        <v>42</v>
      </c>
      <c r="C196" s="1" t="s">
        <v>2354</v>
      </c>
      <c r="D196" s="1" t="s">
        <v>242</v>
      </c>
      <c r="E196" s="1" t="s">
        <v>2355</v>
      </c>
      <c r="F196" s="1" t="s">
        <v>46</v>
      </c>
      <c r="G196" s="1" t="s">
        <v>2356</v>
      </c>
      <c r="H196" s="1" t="s">
        <v>1395</v>
      </c>
      <c r="I196" s="1" t="s">
        <v>2357</v>
      </c>
      <c r="J196" s="1" t="s">
        <v>2358</v>
      </c>
      <c r="K196" s="1" t="s">
        <v>2359</v>
      </c>
      <c r="L196" s="14">
        <v>27032.0</v>
      </c>
      <c r="M196" s="8">
        <v>0.4608333333333333</v>
      </c>
      <c r="N196" s="6">
        <v>43.59</v>
      </c>
      <c r="O196" s="6">
        <v>52.0</v>
      </c>
      <c r="P196" s="14">
        <v>41093.0</v>
      </c>
      <c r="Q196" s="1" t="s">
        <v>308</v>
      </c>
      <c r="R196" s="1" t="s">
        <v>53</v>
      </c>
      <c r="S196" s="6">
        <v>2012.0</v>
      </c>
      <c r="T196" s="6">
        <v>7.0</v>
      </c>
      <c r="U196" s="1" t="s">
        <v>366</v>
      </c>
      <c r="V196" s="1" t="s">
        <v>367</v>
      </c>
      <c r="W196" s="6">
        <v>3.0</v>
      </c>
      <c r="X196" s="1" t="s">
        <v>79</v>
      </c>
      <c r="Y196" s="1" t="s">
        <v>80</v>
      </c>
      <c r="Z196" s="6">
        <v>5.07</v>
      </c>
      <c r="AA196" s="6">
        <v>91068.0</v>
      </c>
      <c r="AB196" s="10">
        <v>0.2</v>
      </c>
      <c r="AC196" s="1" t="s">
        <v>2360</v>
      </c>
      <c r="AD196" s="1" t="s">
        <v>2361</v>
      </c>
      <c r="AE196" s="1" t="s">
        <v>2362</v>
      </c>
      <c r="AF196" s="1" t="s">
        <v>2363</v>
      </c>
      <c r="AG196" s="1" t="s">
        <v>2362</v>
      </c>
      <c r="AH196" s="1" t="s">
        <v>284</v>
      </c>
      <c r="AI196" s="6">
        <v>51632.0</v>
      </c>
      <c r="AJ196" s="1" t="s">
        <v>86</v>
      </c>
      <c r="AK196" s="1" t="s">
        <v>2364</v>
      </c>
      <c r="AL196" s="1" t="s">
        <v>2365</v>
      </c>
      <c r="AM196" s="11" t="str">
        <f>VLOOKUP(N196,Sheet3!$B$4:$C$10,2,1)</f>
        <v>41-50</v>
      </c>
      <c r="AN196" s="12" t="str">
        <f>VLOOKUP(Z196,Sheet3!$F$4:$G$10,2,1)</f>
        <v>5-10</v>
      </c>
      <c r="AO196" s="5" t="str">
        <f>VLOOKUP(AA196,Sheet3!$I$3:$J$16,2,1)</f>
        <v>80000-100000</v>
      </c>
      <c r="AP196" s="5" t="str">
        <f>VLOOKUP(AB196,Sheet3!$L$4:$M$14,2,1)</f>
        <v>16% - 20%</v>
      </c>
    </row>
    <row r="197">
      <c r="A197" s="6">
        <v>695631.0</v>
      </c>
      <c r="B197" s="1" t="s">
        <v>109</v>
      </c>
      <c r="C197" s="1" t="s">
        <v>2366</v>
      </c>
      <c r="D197" s="1" t="s">
        <v>257</v>
      </c>
      <c r="E197" s="1" t="s">
        <v>2367</v>
      </c>
      <c r="F197" s="1" t="s">
        <v>46</v>
      </c>
      <c r="G197" s="1" t="s">
        <v>2368</v>
      </c>
      <c r="H197" s="1" t="s">
        <v>1395</v>
      </c>
      <c r="I197" s="1" t="s">
        <v>2369</v>
      </c>
      <c r="J197" s="1" t="s">
        <v>2370</v>
      </c>
      <c r="K197" s="1" t="s">
        <v>2371</v>
      </c>
      <c r="L197" s="9">
        <v>27318.0</v>
      </c>
      <c r="M197" s="8">
        <v>0.8298611111111112</v>
      </c>
      <c r="N197" s="6">
        <v>42.81</v>
      </c>
      <c r="O197" s="6">
        <v>50.0</v>
      </c>
      <c r="P197" s="9">
        <v>40500.0</v>
      </c>
      <c r="Q197" s="1" t="s">
        <v>52</v>
      </c>
      <c r="R197" s="1" t="s">
        <v>53</v>
      </c>
      <c r="S197" s="6">
        <v>2010.0</v>
      </c>
      <c r="T197" s="6">
        <v>11.0</v>
      </c>
      <c r="U197" s="1" t="s">
        <v>148</v>
      </c>
      <c r="V197" s="1" t="s">
        <v>149</v>
      </c>
      <c r="W197" s="6">
        <v>18.0</v>
      </c>
      <c r="X197" s="1" t="s">
        <v>150</v>
      </c>
      <c r="Y197" s="1" t="s">
        <v>151</v>
      </c>
      <c r="Z197" s="6">
        <v>6.7</v>
      </c>
      <c r="AA197" s="6">
        <v>86919.0</v>
      </c>
      <c r="AB197" s="10">
        <v>0.15</v>
      </c>
      <c r="AC197" s="1" t="s">
        <v>2372</v>
      </c>
      <c r="AD197" s="1" t="s">
        <v>2373</v>
      </c>
      <c r="AE197" s="1" t="s">
        <v>2374</v>
      </c>
      <c r="AF197" s="1" t="s">
        <v>2375</v>
      </c>
      <c r="AG197" s="1" t="s">
        <v>2374</v>
      </c>
      <c r="AH197" s="1" t="s">
        <v>139</v>
      </c>
      <c r="AI197" s="6">
        <v>99664.0</v>
      </c>
      <c r="AJ197" s="1" t="s">
        <v>63</v>
      </c>
      <c r="AK197" s="1" t="s">
        <v>2376</v>
      </c>
      <c r="AL197" s="1" t="s">
        <v>2377</v>
      </c>
      <c r="AM197" s="11" t="str">
        <f>VLOOKUP(N197,Sheet3!$B$4:$C$10,2,1)</f>
        <v>41-50</v>
      </c>
      <c r="AN197" s="12" t="str">
        <f>VLOOKUP(Z197,Sheet3!$F$4:$G$10,2,1)</f>
        <v>5-10</v>
      </c>
      <c r="AO197" s="5" t="str">
        <f>VLOOKUP(AA197,Sheet3!$I$3:$J$16,2,1)</f>
        <v>80000-100000</v>
      </c>
      <c r="AP197" s="5" t="str">
        <f>VLOOKUP(AB197,Sheet3!$L$4:$M$14,2,1)</f>
        <v>11% - 15%</v>
      </c>
    </row>
    <row r="198">
      <c r="A198" s="6">
        <v>547420.0</v>
      </c>
      <c r="B198" s="1" t="s">
        <v>66</v>
      </c>
      <c r="C198" s="1" t="s">
        <v>2378</v>
      </c>
      <c r="D198" s="1" t="s">
        <v>200</v>
      </c>
      <c r="E198" s="1" t="s">
        <v>2379</v>
      </c>
      <c r="F198" s="1" t="s">
        <v>70</v>
      </c>
      <c r="G198" s="1" t="s">
        <v>2380</v>
      </c>
      <c r="H198" s="1" t="s">
        <v>1395</v>
      </c>
      <c r="I198" s="1" t="s">
        <v>2381</v>
      </c>
      <c r="J198" s="1" t="s">
        <v>2382</v>
      </c>
      <c r="K198" s="1" t="s">
        <v>2383</v>
      </c>
      <c r="L198" s="14">
        <v>33580.0</v>
      </c>
      <c r="M198" s="8">
        <v>0.8344791666666667</v>
      </c>
      <c r="N198" s="6">
        <v>25.65</v>
      </c>
      <c r="O198" s="6">
        <v>66.0</v>
      </c>
      <c r="P198" s="9">
        <v>41962.0</v>
      </c>
      <c r="Q198" s="1" t="s">
        <v>52</v>
      </c>
      <c r="R198" s="1" t="s">
        <v>53</v>
      </c>
      <c r="S198" s="6">
        <v>2014.0</v>
      </c>
      <c r="T198" s="6">
        <v>11.0</v>
      </c>
      <c r="U198" s="1" t="s">
        <v>148</v>
      </c>
      <c r="V198" s="1" t="s">
        <v>149</v>
      </c>
      <c r="W198" s="6">
        <v>19.0</v>
      </c>
      <c r="X198" s="1" t="s">
        <v>278</v>
      </c>
      <c r="Y198" s="1" t="s">
        <v>279</v>
      </c>
      <c r="Z198" s="6">
        <v>2.69</v>
      </c>
      <c r="AA198" s="6">
        <v>139670.0</v>
      </c>
      <c r="AB198" s="10">
        <v>0.26</v>
      </c>
      <c r="AC198" s="1" t="s">
        <v>2384</v>
      </c>
      <c r="AD198" s="1" t="s">
        <v>2385</v>
      </c>
      <c r="AE198" s="1" t="s">
        <v>2386</v>
      </c>
      <c r="AF198" s="1" t="s">
        <v>2387</v>
      </c>
      <c r="AG198" s="1" t="s">
        <v>2386</v>
      </c>
      <c r="AH198" s="1" t="s">
        <v>156</v>
      </c>
      <c r="AI198" s="6">
        <v>24433.0</v>
      </c>
      <c r="AJ198" s="1" t="s">
        <v>106</v>
      </c>
      <c r="AK198" s="1" t="s">
        <v>2388</v>
      </c>
      <c r="AL198" s="1" t="s">
        <v>2389</v>
      </c>
      <c r="AM198" s="11" t="str">
        <f>VLOOKUP(N198,Sheet3!$B$4:$C$10,2,1)</f>
        <v>21-30</v>
      </c>
      <c r="AN198" s="13" t="str">
        <f>VLOOKUP(Z198,Sheet3!$F$4:$G$10,2,1)</f>
        <v>&lt; 5</v>
      </c>
      <c r="AO198" s="5" t="str">
        <f>VLOOKUP(AA198,Sheet3!$I$3:$J$16,2,1)</f>
        <v>120000-140000</v>
      </c>
      <c r="AP198" s="5" t="str">
        <f>VLOOKUP(AB198,Sheet3!$L$4:$M$14,2,1)</f>
        <v>26% - 30%</v>
      </c>
    </row>
    <row r="199">
      <c r="A199" s="6">
        <v>403674.0</v>
      </c>
      <c r="B199" s="1" t="s">
        <v>255</v>
      </c>
      <c r="C199" s="1" t="s">
        <v>2390</v>
      </c>
      <c r="D199" s="1" t="s">
        <v>443</v>
      </c>
      <c r="E199" s="1" t="s">
        <v>1817</v>
      </c>
      <c r="F199" s="1" t="s">
        <v>70</v>
      </c>
      <c r="G199" s="1" t="s">
        <v>2391</v>
      </c>
      <c r="H199" s="1" t="s">
        <v>1395</v>
      </c>
      <c r="I199" s="1" t="s">
        <v>2392</v>
      </c>
      <c r="J199" s="1" t="s">
        <v>2393</v>
      </c>
      <c r="K199" s="1" t="s">
        <v>2394</v>
      </c>
      <c r="L199" s="14">
        <v>30595.0</v>
      </c>
      <c r="M199" s="8">
        <v>0.6244097222222222</v>
      </c>
      <c r="N199" s="6">
        <v>33.83</v>
      </c>
      <c r="O199" s="6">
        <v>57.0</v>
      </c>
      <c r="P199" s="14">
        <v>41735.0</v>
      </c>
      <c r="Q199" s="1" t="s">
        <v>75</v>
      </c>
      <c r="R199" s="1" t="s">
        <v>76</v>
      </c>
      <c r="S199" s="6">
        <v>2014.0</v>
      </c>
      <c r="T199" s="6">
        <v>4.0</v>
      </c>
      <c r="U199" s="1" t="s">
        <v>77</v>
      </c>
      <c r="V199" s="1" t="s">
        <v>78</v>
      </c>
      <c r="W199" s="6">
        <v>6.0</v>
      </c>
      <c r="X199" s="1" t="s">
        <v>534</v>
      </c>
      <c r="Y199" s="1" t="s">
        <v>535</v>
      </c>
      <c r="Z199" s="6">
        <v>3.31</v>
      </c>
      <c r="AA199" s="6">
        <v>170510.0</v>
      </c>
      <c r="AB199" s="10">
        <v>0.01</v>
      </c>
      <c r="AC199" s="1" t="s">
        <v>2395</v>
      </c>
      <c r="AD199" s="1" t="s">
        <v>2396</v>
      </c>
      <c r="AE199" s="1" t="s">
        <v>2397</v>
      </c>
      <c r="AF199" s="1" t="s">
        <v>2398</v>
      </c>
      <c r="AG199" s="1" t="s">
        <v>2397</v>
      </c>
      <c r="AH199" s="1" t="s">
        <v>105</v>
      </c>
      <c r="AI199" s="6">
        <v>40161.0</v>
      </c>
      <c r="AJ199" s="1" t="s">
        <v>106</v>
      </c>
      <c r="AK199" s="1" t="s">
        <v>2399</v>
      </c>
      <c r="AL199" s="1" t="s">
        <v>2400</v>
      </c>
      <c r="AM199" s="11" t="str">
        <f>VLOOKUP(N199,Sheet3!$B$4:$C$10,2,1)</f>
        <v>31-40</v>
      </c>
      <c r="AN199" s="13" t="str">
        <f>VLOOKUP(Z199,Sheet3!$F$4:$G$10,2,1)</f>
        <v>&lt; 5</v>
      </c>
      <c r="AO199" s="5" t="str">
        <f>VLOOKUP(AA199,Sheet3!$I$3:$J$16,2,1)</f>
        <v>160000-180000</v>
      </c>
      <c r="AP199" s="5" t="str">
        <f>VLOOKUP(AB199,Sheet3!$L$4:$M$14,2,1)</f>
        <v>&lt; 5%</v>
      </c>
    </row>
    <row r="200">
      <c r="A200" s="6">
        <v>988937.0</v>
      </c>
      <c r="B200" s="1" t="s">
        <v>255</v>
      </c>
      <c r="C200" s="1" t="s">
        <v>2401</v>
      </c>
      <c r="D200" s="1" t="s">
        <v>127</v>
      </c>
      <c r="E200" s="1" t="s">
        <v>2402</v>
      </c>
      <c r="F200" s="1" t="s">
        <v>70</v>
      </c>
      <c r="G200" s="1" t="s">
        <v>2403</v>
      </c>
      <c r="H200" s="1" t="s">
        <v>1395</v>
      </c>
      <c r="I200" s="1" t="s">
        <v>2404</v>
      </c>
      <c r="J200" s="1" t="s">
        <v>2405</v>
      </c>
      <c r="K200" s="1" t="s">
        <v>2406</v>
      </c>
      <c r="L200" s="14">
        <v>31937.0</v>
      </c>
      <c r="M200" s="8">
        <v>0.6911111111111111</v>
      </c>
      <c r="N200" s="6">
        <v>30.16</v>
      </c>
      <c r="O200" s="6">
        <v>62.0</v>
      </c>
      <c r="P200" s="9">
        <v>42690.0</v>
      </c>
      <c r="Q200" s="1" t="s">
        <v>52</v>
      </c>
      <c r="R200" s="1" t="s">
        <v>53</v>
      </c>
      <c r="S200" s="6">
        <v>2016.0</v>
      </c>
      <c r="T200" s="6">
        <v>11.0</v>
      </c>
      <c r="U200" s="1" t="s">
        <v>148</v>
      </c>
      <c r="V200" s="1" t="s">
        <v>149</v>
      </c>
      <c r="W200" s="6">
        <v>16.0</v>
      </c>
      <c r="X200" s="1" t="s">
        <v>278</v>
      </c>
      <c r="Y200" s="1" t="s">
        <v>279</v>
      </c>
      <c r="Z200" s="6">
        <v>0.7</v>
      </c>
      <c r="AA200" s="6">
        <v>180715.0</v>
      </c>
      <c r="AB200" s="10">
        <v>0.26</v>
      </c>
      <c r="AC200" s="1" t="s">
        <v>2407</v>
      </c>
      <c r="AD200" s="1" t="s">
        <v>2408</v>
      </c>
      <c r="AE200" s="1" t="s">
        <v>2409</v>
      </c>
      <c r="AF200" s="1" t="s">
        <v>2410</v>
      </c>
      <c r="AG200" s="1" t="s">
        <v>2409</v>
      </c>
      <c r="AH200" s="1" t="s">
        <v>238</v>
      </c>
      <c r="AI200" s="6">
        <v>95140.0</v>
      </c>
      <c r="AJ200" s="1" t="s">
        <v>63</v>
      </c>
      <c r="AK200" s="1" t="s">
        <v>2411</v>
      </c>
      <c r="AL200" s="1" t="s">
        <v>2412</v>
      </c>
      <c r="AM200" s="11" t="str">
        <f>VLOOKUP(N200,Sheet3!$B$4:$C$10,2,1)</f>
        <v>21-30</v>
      </c>
      <c r="AN200" s="13" t="str">
        <f>VLOOKUP(Z200,Sheet3!$F$4:$G$10,2,1)</f>
        <v>&lt; 5</v>
      </c>
      <c r="AO200" s="5" t="str">
        <f>VLOOKUP(AA200,Sheet3!$I$3:$J$16,2,1)</f>
        <v>180000-200000</v>
      </c>
      <c r="AP200" s="5" t="str">
        <f>VLOOKUP(AB200,Sheet3!$L$4:$M$14,2,1)</f>
        <v>26% - 30%</v>
      </c>
    </row>
    <row r="201">
      <c r="A201" s="6">
        <v>937737.0</v>
      </c>
      <c r="B201" s="1" t="s">
        <v>66</v>
      </c>
      <c r="C201" s="1" t="s">
        <v>2413</v>
      </c>
      <c r="D201" s="1" t="s">
        <v>861</v>
      </c>
      <c r="E201" s="1" t="s">
        <v>862</v>
      </c>
      <c r="F201" s="1" t="s">
        <v>70</v>
      </c>
      <c r="G201" s="1" t="s">
        <v>2414</v>
      </c>
      <c r="H201" s="1" t="s">
        <v>1395</v>
      </c>
      <c r="I201" s="1" t="s">
        <v>2415</v>
      </c>
      <c r="J201" s="1" t="s">
        <v>2416</v>
      </c>
      <c r="K201" s="1" t="s">
        <v>1952</v>
      </c>
      <c r="L201" s="14">
        <v>34558.0</v>
      </c>
      <c r="M201" s="8">
        <v>0.13201388888888888</v>
      </c>
      <c r="N201" s="6">
        <v>22.98</v>
      </c>
      <c r="O201" s="6">
        <v>79.0</v>
      </c>
      <c r="P201" s="14">
        <v>42805.0</v>
      </c>
      <c r="Q201" s="1" t="s">
        <v>96</v>
      </c>
      <c r="R201" s="1" t="s">
        <v>76</v>
      </c>
      <c r="S201" s="6">
        <v>2017.0</v>
      </c>
      <c r="T201" s="6">
        <v>3.0</v>
      </c>
      <c r="U201" s="1" t="s">
        <v>97</v>
      </c>
      <c r="V201" s="1" t="s">
        <v>98</v>
      </c>
      <c r="W201" s="6">
        <v>11.0</v>
      </c>
      <c r="X201" s="1" t="s">
        <v>56</v>
      </c>
      <c r="Y201" s="1" t="s">
        <v>57</v>
      </c>
      <c r="Z201" s="6">
        <v>0.38</v>
      </c>
      <c r="AA201" s="6">
        <v>71924.0</v>
      </c>
      <c r="AB201" s="10">
        <v>0.22</v>
      </c>
      <c r="AC201" s="1" t="s">
        <v>2417</v>
      </c>
      <c r="AD201" s="1" t="s">
        <v>2418</v>
      </c>
      <c r="AE201" s="1" t="s">
        <v>2419</v>
      </c>
      <c r="AF201" s="1" t="s">
        <v>2419</v>
      </c>
      <c r="AG201" s="1" t="s">
        <v>2419</v>
      </c>
      <c r="AH201" s="1" t="s">
        <v>210</v>
      </c>
      <c r="AI201" s="6">
        <v>61639.0</v>
      </c>
      <c r="AJ201" s="1" t="s">
        <v>86</v>
      </c>
      <c r="AK201" s="1" t="s">
        <v>2420</v>
      </c>
      <c r="AL201" s="1" t="s">
        <v>2421</v>
      </c>
      <c r="AM201" s="11" t="str">
        <f>VLOOKUP(N201,Sheet3!$B$4:$C$10,2,1)</f>
        <v>21-30</v>
      </c>
      <c r="AN201" s="13" t="str">
        <f>VLOOKUP(Z201,Sheet3!$F$4:$G$10,2,1)</f>
        <v>&lt; 5</v>
      </c>
      <c r="AO201" s="5" t="str">
        <f>VLOOKUP(AA201,Sheet3!$I$3:$J$16,2,1)</f>
        <v>60000-80000</v>
      </c>
      <c r="AP201" s="5" t="str">
        <f>VLOOKUP(AB201,Sheet3!$L$4:$M$14,2,1)</f>
        <v>21% - 25%</v>
      </c>
    </row>
    <row r="202">
      <c r="A202" s="6">
        <v>144235.0</v>
      </c>
      <c r="B202" s="1" t="s">
        <v>66</v>
      </c>
      <c r="C202" s="1" t="s">
        <v>2422</v>
      </c>
      <c r="D202" s="1" t="s">
        <v>173</v>
      </c>
      <c r="E202" s="1" t="s">
        <v>2423</v>
      </c>
      <c r="F202" s="1" t="s">
        <v>70</v>
      </c>
      <c r="G202" s="1" t="s">
        <v>2424</v>
      </c>
      <c r="H202" s="1" t="s">
        <v>1395</v>
      </c>
      <c r="I202" s="1" t="s">
        <v>2425</v>
      </c>
      <c r="J202" s="1" t="s">
        <v>2426</v>
      </c>
      <c r="K202" s="1" t="s">
        <v>61</v>
      </c>
      <c r="L202" s="9">
        <v>22789.0</v>
      </c>
      <c r="M202" s="8">
        <v>0.7711574074074075</v>
      </c>
      <c r="N202" s="6">
        <v>55.22</v>
      </c>
      <c r="O202" s="6">
        <v>86.0</v>
      </c>
      <c r="P202" s="9">
        <v>36058.0</v>
      </c>
      <c r="Q202" s="1" t="s">
        <v>308</v>
      </c>
      <c r="R202" s="1" t="s">
        <v>53</v>
      </c>
      <c r="S202" s="6">
        <v>1998.0</v>
      </c>
      <c r="T202" s="6">
        <v>9.0</v>
      </c>
      <c r="U202" s="1" t="s">
        <v>309</v>
      </c>
      <c r="V202" s="1" t="s">
        <v>310</v>
      </c>
      <c r="W202" s="6">
        <v>20.0</v>
      </c>
      <c r="X202" s="1" t="s">
        <v>534</v>
      </c>
      <c r="Y202" s="1" t="s">
        <v>535</v>
      </c>
      <c r="Z202" s="6">
        <v>18.87</v>
      </c>
      <c r="AA202" s="6">
        <v>102819.0</v>
      </c>
      <c r="AB202" s="10">
        <v>0.0</v>
      </c>
      <c r="AC202" s="1" t="s">
        <v>2427</v>
      </c>
      <c r="AD202" s="1" t="s">
        <v>2428</v>
      </c>
      <c r="AE202" s="1" t="s">
        <v>2429</v>
      </c>
      <c r="AF202" s="1" t="s">
        <v>2430</v>
      </c>
      <c r="AG202" s="1" t="s">
        <v>2429</v>
      </c>
      <c r="AH202" s="1" t="s">
        <v>1344</v>
      </c>
      <c r="AI202" s="6">
        <v>6233.0</v>
      </c>
      <c r="AJ202" s="1" t="s">
        <v>224</v>
      </c>
      <c r="AK202" s="1" t="s">
        <v>2431</v>
      </c>
      <c r="AL202" s="1" t="s">
        <v>2432</v>
      </c>
      <c r="AM202" s="11" t="str">
        <f>VLOOKUP(N202,Sheet3!$B$4:$C$10,2,1)</f>
        <v>51-60</v>
      </c>
      <c r="AN202" s="12" t="str">
        <f>VLOOKUP(Z202,Sheet3!$F$4:$G$10,2,1)</f>
        <v>11-20</v>
      </c>
      <c r="AO202" s="5" t="str">
        <f>VLOOKUP(AA202,Sheet3!$I$3:$J$16,2,1)</f>
        <v>100000-120000</v>
      </c>
      <c r="AP202" s="5" t="str">
        <f>VLOOKUP(AB202,Sheet3!$L$4:$M$14,2,1)</f>
        <v>&lt; 5%</v>
      </c>
    </row>
    <row r="203">
      <c r="A203" s="6">
        <v>866051.0</v>
      </c>
      <c r="B203" s="1" t="s">
        <v>42</v>
      </c>
      <c r="C203" s="1" t="s">
        <v>2433</v>
      </c>
      <c r="D203" s="1" t="s">
        <v>443</v>
      </c>
      <c r="E203" s="1" t="s">
        <v>2434</v>
      </c>
      <c r="F203" s="1" t="s">
        <v>46</v>
      </c>
      <c r="G203" s="1" t="s">
        <v>2435</v>
      </c>
      <c r="H203" s="1" t="s">
        <v>1395</v>
      </c>
      <c r="I203" s="1" t="s">
        <v>2436</v>
      </c>
      <c r="J203" s="1" t="s">
        <v>2437</v>
      </c>
      <c r="K203" s="1" t="s">
        <v>1012</v>
      </c>
      <c r="L203" s="9">
        <v>32920.0</v>
      </c>
      <c r="M203" s="8">
        <v>0.0980324074074074</v>
      </c>
      <c r="N203" s="6">
        <v>27.46</v>
      </c>
      <c r="O203" s="6">
        <v>59.0</v>
      </c>
      <c r="P203" s="14">
        <v>40641.0</v>
      </c>
      <c r="Q203" s="1" t="s">
        <v>75</v>
      </c>
      <c r="R203" s="1" t="s">
        <v>76</v>
      </c>
      <c r="S203" s="6">
        <v>2011.0</v>
      </c>
      <c r="T203" s="6">
        <v>4.0</v>
      </c>
      <c r="U203" s="1" t="s">
        <v>77</v>
      </c>
      <c r="V203" s="1" t="s">
        <v>78</v>
      </c>
      <c r="W203" s="6">
        <v>8.0</v>
      </c>
      <c r="X203" s="1" t="s">
        <v>263</v>
      </c>
      <c r="Y203" s="1" t="s">
        <v>264</v>
      </c>
      <c r="Z203" s="6">
        <v>6.31</v>
      </c>
      <c r="AA203" s="6">
        <v>86569.0</v>
      </c>
      <c r="AB203" s="10">
        <v>0.13</v>
      </c>
      <c r="AC203" s="1" t="s">
        <v>2438</v>
      </c>
      <c r="AD203" s="1" t="s">
        <v>2439</v>
      </c>
      <c r="AE203" s="1" t="s">
        <v>2440</v>
      </c>
      <c r="AF203" s="1" t="s">
        <v>2441</v>
      </c>
      <c r="AG203" s="1" t="s">
        <v>2440</v>
      </c>
      <c r="AH203" s="1" t="s">
        <v>223</v>
      </c>
      <c r="AI203" s="6">
        <v>17239.0</v>
      </c>
      <c r="AJ203" s="1" t="s">
        <v>224</v>
      </c>
      <c r="AK203" s="1" t="s">
        <v>2442</v>
      </c>
      <c r="AL203" s="1" t="s">
        <v>2443</v>
      </c>
      <c r="AM203" s="11" t="str">
        <f>VLOOKUP(N203,Sheet3!$B$4:$C$10,2,1)</f>
        <v>21-30</v>
      </c>
      <c r="AN203" s="12" t="str">
        <f>VLOOKUP(Z203,Sheet3!$F$4:$G$10,2,1)</f>
        <v>5-10</v>
      </c>
      <c r="AO203" s="5" t="str">
        <f>VLOOKUP(AA203,Sheet3!$I$3:$J$16,2,1)</f>
        <v>80000-100000</v>
      </c>
      <c r="AP203" s="5" t="str">
        <f>VLOOKUP(AB203,Sheet3!$L$4:$M$14,2,1)</f>
        <v>11% - 15%</v>
      </c>
    </row>
    <row r="204">
      <c r="A204" s="6">
        <v>287787.0</v>
      </c>
      <c r="B204" s="1" t="s">
        <v>66</v>
      </c>
      <c r="C204" s="1" t="s">
        <v>2444</v>
      </c>
      <c r="D204" s="1" t="s">
        <v>334</v>
      </c>
      <c r="E204" s="1" t="s">
        <v>1500</v>
      </c>
      <c r="F204" s="1" t="s">
        <v>70</v>
      </c>
      <c r="G204" s="1" t="s">
        <v>2445</v>
      </c>
      <c r="H204" s="1" t="s">
        <v>1395</v>
      </c>
      <c r="I204" s="1" t="s">
        <v>2446</v>
      </c>
      <c r="J204" s="1" t="s">
        <v>2447</v>
      </c>
      <c r="K204" s="1" t="s">
        <v>2448</v>
      </c>
      <c r="L204" s="9">
        <v>22517.0</v>
      </c>
      <c r="M204" s="8">
        <v>1.273148148148148E-4</v>
      </c>
      <c r="N204" s="6">
        <v>55.96</v>
      </c>
      <c r="O204" s="6">
        <v>58.0</v>
      </c>
      <c r="P204" s="9">
        <v>41118.0</v>
      </c>
      <c r="Q204" s="1" t="s">
        <v>308</v>
      </c>
      <c r="R204" s="1" t="s">
        <v>53</v>
      </c>
      <c r="S204" s="6">
        <v>2012.0</v>
      </c>
      <c r="T204" s="6">
        <v>7.0</v>
      </c>
      <c r="U204" s="1" t="s">
        <v>366</v>
      </c>
      <c r="V204" s="1" t="s">
        <v>367</v>
      </c>
      <c r="W204" s="6">
        <v>28.0</v>
      </c>
      <c r="X204" s="1" t="s">
        <v>56</v>
      </c>
      <c r="Y204" s="1" t="s">
        <v>57</v>
      </c>
      <c r="Z204" s="6">
        <v>5.0</v>
      </c>
      <c r="AA204" s="6">
        <v>96012.0</v>
      </c>
      <c r="AB204" s="10">
        <v>0.16</v>
      </c>
      <c r="AC204" s="1" t="s">
        <v>2449</v>
      </c>
      <c r="AD204" s="1" t="s">
        <v>2450</v>
      </c>
      <c r="AE204" s="1" t="s">
        <v>2451</v>
      </c>
      <c r="AF204" s="1" t="s">
        <v>2452</v>
      </c>
      <c r="AG204" s="1" t="s">
        <v>2451</v>
      </c>
      <c r="AH204" s="1" t="s">
        <v>156</v>
      </c>
      <c r="AI204" s="6">
        <v>24313.0</v>
      </c>
      <c r="AJ204" s="1" t="s">
        <v>106</v>
      </c>
      <c r="AK204" s="1" t="s">
        <v>2453</v>
      </c>
      <c r="AL204" s="1" t="s">
        <v>2454</v>
      </c>
      <c r="AM204" s="11" t="str">
        <f>VLOOKUP(N204,Sheet3!$B$4:$C$10,2,1)</f>
        <v>51-60</v>
      </c>
      <c r="AN204" s="12" t="str">
        <f>VLOOKUP(Z204,Sheet3!$F$4:$G$10,2,1)</f>
        <v>5-10</v>
      </c>
      <c r="AO204" s="5" t="str">
        <f>VLOOKUP(AA204,Sheet3!$I$3:$J$16,2,1)</f>
        <v>80000-100000</v>
      </c>
      <c r="AP204" s="5" t="str">
        <f>VLOOKUP(AB204,Sheet3!$L$4:$M$14,2,1)</f>
        <v>16% - 20%</v>
      </c>
    </row>
    <row r="205">
      <c r="A205" s="6">
        <v>316579.0</v>
      </c>
      <c r="B205" s="1" t="s">
        <v>109</v>
      </c>
      <c r="C205" s="1" t="s">
        <v>2168</v>
      </c>
      <c r="D205" s="1" t="s">
        <v>68</v>
      </c>
      <c r="E205" s="1" t="s">
        <v>128</v>
      </c>
      <c r="F205" s="1" t="s">
        <v>46</v>
      </c>
      <c r="G205" s="1" t="s">
        <v>2455</v>
      </c>
      <c r="H205" s="1" t="s">
        <v>1395</v>
      </c>
      <c r="I205" s="1" t="s">
        <v>2456</v>
      </c>
      <c r="J205" s="1" t="s">
        <v>2457</v>
      </c>
      <c r="K205" s="1" t="s">
        <v>2343</v>
      </c>
      <c r="L205" s="9">
        <v>32533.0</v>
      </c>
      <c r="M205" s="8">
        <v>0.1971875</v>
      </c>
      <c r="N205" s="6">
        <v>28.52</v>
      </c>
      <c r="O205" s="6">
        <v>44.0</v>
      </c>
      <c r="P205" s="9">
        <v>42293.0</v>
      </c>
      <c r="Q205" s="1" t="s">
        <v>52</v>
      </c>
      <c r="R205" s="1" t="s">
        <v>53</v>
      </c>
      <c r="S205" s="6">
        <v>2015.0</v>
      </c>
      <c r="T205" s="6">
        <v>10.0</v>
      </c>
      <c r="U205" s="1" t="s">
        <v>133</v>
      </c>
      <c r="V205" s="1" t="s">
        <v>134</v>
      </c>
      <c r="W205" s="6">
        <v>16.0</v>
      </c>
      <c r="X205" s="1" t="s">
        <v>263</v>
      </c>
      <c r="Y205" s="1" t="s">
        <v>264</v>
      </c>
      <c r="Z205" s="6">
        <v>1.78</v>
      </c>
      <c r="AA205" s="6">
        <v>95604.0</v>
      </c>
      <c r="AB205" s="10">
        <v>0.19</v>
      </c>
      <c r="AC205" s="1" t="s">
        <v>2458</v>
      </c>
      <c r="AD205" s="1" t="s">
        <v>2459</v>
      </c>
      <c r="AE205" s="1" t="s">
        <v>2460</v>
      </c>
      <c r="AF205" s="1" t="s">
        <v>2461</v>
      </c>
      <c r="AG205" s="1" t="s">
        <v>2460</v>
      </c>
      <c r="AH205" s="1" t="s">
        <v>139</v>
      </c>
      <c r="AI205" s="6">
        <v>99574.0</v>
      </c>
      <c r="AJ205" s="1" t="s">
        <v>63</v>
      </c>
      <c r="AK205" s="1" t="s">
        <v>2462</v>
      </c>
      <c r="AL205" s="1" t="s">
        <v>2463</v>
      </c>
      <c r="AM205" s="11" t="str">
        <f>VLOOKUP(N205,Sheet3!$B$4:$C$10,2,1)</f>
        <v>21-30</v>
      </c>
      <c r="AN205" s="13" t="str">
        <f>VLOOKUP(Z205,Sheet3!$F$4:$G$10,2,1)</f>
        <v>&lt; 5</v>
      </c>
      <c r="AO205" s="5" t="str">
        <f>VLOOKUP(AA205,Sheet3!$I$3:$J$16,2,1)</f>
        <v>80000-100000</v>
      </c>
      <c r="AP205" s="5" t="str">
        <f>VLOOKUP(AB205,Sheet3!$L$4:$M$14,2,1)</f>
        <v>16% - 20%</v>
      </c>
    </row>
    <row r="206">
      <c r="A206" s="6">
        <v>625981.0</v>
      </c>
      <c r="B206" s="1" t="s">
        <v>66</v>
      </c>
      <c r="C206" s="1" t="s">
        <v>2464</v>
      </c>
      <c r="D206" s="1" t="s">
        <v>443</v>
      </c>
      <c r="E206" s="1" t="s">
        <v>2465</v>
      </c>
      <c r="F206" s="1" t="s">
        <v>70</v>
      </c>
      <c r="G206" s="1" t="s">
        <v>2466</v>
      </c>
      <c r="H206" s="1" t="s">
        <v>1395</v>
      </c>
      <c r="I206" s="1" t="s">
        <v>2467</v>
      </c>
      <c r="J206" s="1" t="s">
        <v>2468</v>
      </c>
      <c r="K206" s="1" t="s">
        <v>993</v>
      </c>
      <c r="L206" s="14">
        <v>23381.0</v>
      </c>
      <c r="M206" s="8">
        <v>0.5802199074074074</v>
      </c>
      <c r="N206" s="6">
        <v>53.6</v>
      </c>
      <c r="O206" s="6">
        <v>62.0</v>
      </c>
      <c r="P206" s="9">
        <v>32140.0</v>
      </c>
      <c r="Q206" s="1" t="s">
        <v>52</v>
      </c>
      <c r="R206" s="1" t="s">
        <v>53</v>
      </c>
      <c r="S206" s="6">
        <v>1987.0</v>
      </c>
      <c r="T206" s="6">
        <v>12.0</v>
      </c>
      <c r="U206" s="1" t="s">
        <v>54</v>
      </c>
      <c r="V206" s="1" t="s">
        <v>55</v>
      </c>
      <c r="W206" s="6">
        <v>29.0</v>
      </c>
      <c r="X206" s="1" t="s">
        <v>79</v>
      </c>
      <c r="Y206" s="1" t="s">
        <v>80</v>
      </c>
      <c r="Z206" s="6">
        <v>29.6</v>
      </c>
      <c r="AA206" s="6">
        <v>123069.0</v>
      </c>
      <c r="AB206" s="10">
        <v>0.23</v>
      </c>
      <c r="AC206" s="1" t="s">
        <v>2469</v>
      </c>
      <c r="AD206" s="1" t="s">
        <v>2470</v>
      </c>
      <c r="AE206" s="1" t="s">
        <v>2471</v>
      </c>
      <c r="AF206" s="1" t="s">
        <v>2472</v>
      </c>
      <c r="AG206" s="1" t="s">
        <v>2471</v>
      </c>
      <c r="AH206" s="1" t="s">
        <v>740</v>
      </c>
      <c r="AI206" s="6">
        <v>1540.0</v>
      </c>
      <c r="AJ206" s="1" t="s">
        <v>224</v>
      </c>
      <c r="AK206" s="1" t="s">
        <v>2473</v>
      </c>
      <c r="AL206" s="1" t="s">
        <v>2474</v>
      </c>
      <c r="AM206" s="11" t="str">
        <f>VLOOKUP(N206,Sheet3!$B$4:$C$10,2,1)</f>
        <v>51-60</v>
      </c>
      <c r="AN206" s="13" t="str">
        <f>VLOOKUP(Z206,Sheet3!$F$4:$G$10,2,1)</f>
        <v>21-30</v>
      </c>
      <c r="AO206" s="5" t="str">
        <f>VLOOKUP(AA206,Sheet3!$I$3:$J$16,2,1)</f>
        <v>120000-140000</v>
      </c>
      <c r="AP206" s="5" t="str">
        <f>VLOOKUP(AB206,Sheet3!$L$4:$M$14,2,1)</f>
        <v>21% - 25%</v>
      </c>
    </row>
    <row r="207">
      <c r="A207" s="6">
        <v>232661.0</v>
      </c>
      <c r="B207" s="1" t="s">
        <v>42</v>
      </c>
      <c r="C207" s="1" t="s">
        <v>2475</v>
      </c>
      <c r="D207" s="1" t="s">
        <v>1300</v>
      </c>
      <c r="E207" s="1" t="s">
        <v>293</v>
      </c>
      <c r="F207" s="1" t="s">
        <v>46</v>
      </c>
      <c r="G207" s="1" t="s">
        <v>2476</v>
      </c>
      <c r="H207" s="1" t="s">
        <v>1395</v>
      </c>
      <c r="I207" s="1" t="s">
        <v>2477</v>
      </c>
      <c r="J207" s="1" t="s">
        <v>2478</v>
      </c>
      <c r="K207" s="1" t="s">
        <v>2479</v>
      </c>
      <c r="L207" s="14">
        <v>22468.0</v>
      </c>
      <c r="M207" s="8">
        <v>0.8808449074074074</v>
      </c>
      <c r="N207" s="6">
        <v>56.1</v>
      </c>
      <c r="O207" s="6">
        <v>45.0</v>
      </c>
      <c r="P207" s="9">
        <v>31915.0</v>
      </c>
      <c r="Q207" s="1" t="s">
        <v>75</v>
      </c>
      <c r="R207" s="1" t="s">
        <v>76</v>
      </c>
      <c r="S207" s="6">
        <v>1987.0</v>
      </c>
      <c r="T207" s="6">
        <v>5.0</v>
      </c>
      <c r="U207" s="1" t="s">
        <v>294</v>
      </c>
      <c r="V207" s="1" t="s">
        <v>294</v>
      </c>
      <c r="W207" s="6">
        <v>18.0</v>
      </c>
      <c r="X207" s="1" t="s">
        <v>99</v>
      </c>
      <c r="Y207" s="1" t="s">
        <v>100</v>
      </c>
      <c r="Z207" s="6">
        <v>30.22</v>
      </c>
      <c r="AA207" s="6">
        <v>111953.0</v>
      </c>
      <c r="AB207" s="10">
        <v>0.27</v>
      </c>
      <c r="AC207" s="1" t="s">
        <v>2480</v>
      </c>
      <c r="AD207" s="1" t="s">
        <v>2481</v>
      </c>
      <c r="AE207" s="1" t="s">
        <v>2482</v>
      </c>
      <c r="AF207" s="1" t="s">
        <v>2482</v>
      </c>
      <c r="AG207" s="1" t="s">
        <v>2482</v>
      </c>
      <c r="AH207" s="1" t="s">
        <v>2483</v>
      </c>
      <c r="AI207" s="6">
        <v>29403.0</v>
      </c>
      <c r="AJ207" s="1" t="s">
        <v>106</v>
      </c>
      <c r="AK207" s="1" t="s">
        <v>2484</v>
      </c>
      <c r="AL207" s="1" t="s">
        <v>2485</v>
      </c>
      <c r="AM207" s="11" t="str">
        <f>VLOOKUP(N207,Sheet3!$B$4:$C$10,2,1)</f>
        <v>51-60</v>
      </c>
      <c r="AN207" s="13" t="str">
        <f>VLOOKUP(Z207,Sheet3!$F$4:$G$10,2,1)</f>
        <v>21-30</v>
      </c>
      <c r="AO207" s="5" t="str">
        <f>VLOOKUP(AA207,Sheet3!$I$3:$J$16,2,1)</f>
        <v>100000-120000</v>
      </c>
      <c r="AP207" s="5" t="str">
        <f>VLOOKUP(AB207,Sheet3!$L$4:$M$14,2,1)</f>
        <v>26% - 30%</v>
      </c>
    </row>
    <row r="208">
      <c r="A208" s="6">
        <v>863522.0</v>
      </c>
      <c r="B208" s="1" t="s">
        <v>66</v>
      </c>
      <c r="C208" s="1" t="s">
        <v>2486</v>
      </c>
      <c r="D208" s="1" t="s">
        <v>44</v>
      </c>
      <c r="E208" s="1" t="s">
        <v>2487</v>
      </c>
      <c r="F208" s="1" t="s">
        <v>70</v>
      </c>
      <c r="G208" s="1" t="s">
        <v>2488</v>
      </c>
      <c r="H208" s="1" t="s">
        <v>1395</v>
      </c>
      <c r="I208" s="1" t="s">
        <v>2489</v>
      </c>
      <c r="J208" s="1" t="s">
        <v>2490</v>
      </c>
      <c r="K208" s="1" t="s">
        <v>2491</v>
      </c>
      <c r="L208" s="9">
        <v>28445.0</v>
      </c>
      <c r="M208" s="8">
        <v>0.2511226851851852</v>
      </c>
      <c r="N208" s="6">
        <v>39.72</v>
      </c>
      <c r="O208" s="6">
        <v>74.0</v>
      </c>
      <c r="P208" s="9">
        <v>41722.0</v>
      </c>
      <c r="Q208" s="1" t="s">
        <v>96</v>
      </c>
      <c r="R208" s="1" t="s">
        <v>76</v>
      </c>
      <c r="S208" s="6">
        <v>2014.0</v>
      </c>
      <c r="T208" s="6">
        <v>3.0</v>
      </c>
      <c r="U208" s="1" t="s">
        <v>97</v>
      </c>
      <c r="V208" s="1" t="s">
        <v>98</v>
      </c>
      <c r="W208" s="6">
        <v>24.0</v>
      </c>
      <c r="X208" s="1" t="s">
        <v>99</v>
      </c>
      <c r="Y208" s="1" t="s">
        <v>100</v>
      </c>
      <c r="Z208" s="6">
        <v>3.35</v>
      </c>
      <c r="AA208" s="6">
        <v>121461.0</v>
      </c>
      <c r="AB208" s="10">
        <v>0.09</v>
      </c>
      <c r="AC208" s="1" t="s">
        <v>2492</v>
      </c>
      <c r="AD208" s="1" t="s">
        <v>2493</v>
      </c>
      <c r="AE208" s="1" t="s">
        <v>2494</v>
      </c>
      <c r="AF208" s="1" t="s">
        <v>1018</v>
      </c>
      <c r="AG208" s="1" t="s">
        <v>2494</v>
      </c>
      <c r="AH208" s="1" t="s">
        <v>156</v>
      </c>
      <c r="AI208" s="6">
        <v>24265.0</v>
      </c>
      <c r="AJ208" s="1" t="s">
        <v>106</v>
      </c>
      <c r="AK208" s="1" t="s">
        <v>2495</v>
      </c>
      <c r="AL208" s="1" t="s">
        <v>2496</v>
      </c>
      <c r="AM208" s="11" t="str">
        <f>VLOOKUP(N208,Sheet3!$B$4:$C$10,2,1)</f>
        <v>31-40</v>
      </c>
      <c r="AN208" s="13" t="str">
        <f>VLOOKUP(Z208,Sheet3!$F$4:$G$10,2,1)</f>
        <v>&lt; 5</v>
      </c>
      <c r="AO208" s="5" t="str">
        <f>VLOOKUP(AA208,Sheet3!$I$3:$J$16,2,1)</f>
        <v>120000-140000</v>
      </c>
      <c r="AP208" s="5" t="str">
        <f>VLOOKUP(AB208,Sheet3!$L$4:$M$14,2,1)</f>
        <v>5% - 10%</v>
      </c>
    </row>
    <row r="209">
      <c r="A209" s="6">
        <v>118236.0</v>
      </c>
      <c r="B209" s="1" t="s">
        <v>66</v>
      </c>
      <c r="C209" s="1" t="s">
        <v>635</v>
      </c>
      <c r="D209" s="1" t="s">
        <v>360</v>
      </c>
      <c r="E209" s="1" t="s">
        <v>1919</v>
      </c>
      <c r="F209" s="1" t="s">
        <v>70</v>
      </c>
      <c r="G209" s="1" t="s">
        <v>2497</v>
      </c>
      <c r="H209" s="1" t="s">
        <v>1395</v>
      </c>
      <c r="I209" s="1" t="s">
        <v>2498</v>
      </c>
      <c r="J209" s="1" t="s">
        <v>2499</v>
      </c>
      <c r="K209" s="1" t="s">
        <v>2500</v>
      </c>
      <c r="L209" s="9">
        <v>32068.0</v>
      </c>
      <c r="M209" s="8">
        <v>0.15619212962962964</v>
      </c>
      <c r="N209" s="6">
        <v>29.8</v>
      </c>
      <c r="O209" s="6">
        <v>68.0</v>
      </c>
      <c r="P209" s="9">
        <v>42242.0</v>
      </c>
      <c r="Q209" s="1" t="s">
        <v>308</v>
      </c>
      <c r="R209" s="1" t="s">
        <v>53</v>
      </c>
      <c r="S209" s="6">
        <v>2015.0</v>
      </c>
      <c r="T209" s="6">
        <v>8.0</v>
      </c>
      <c r="U209" s="1" t="s">
        <v>433</v>
      </c>
      <c r="V209" s="1" t="s">
        <v>434</v>
      </c>
      <c r="W209" s="6">
        <v>26.0</v>
      </c>
      <c r="X209" s="1" t="s">
        <v>278</v>
      </c>
      <c r="Y209" s="1" t="s">
        <v>279</v>
      </c>
      <c r="Z209" s="6">
        <v>1.92</v>
      </c>
      <c r="AA209" s="6">
        <v>74452.0</v>
      </c>
      <c r="AB209" s="10">
        <v>0.02</v>
      </c>
      <c r="AC209" s="1" t="s">
        <v>2501</v>
      </c>
      <c r="AD209" s="1" t="s">
        <v>2502</v>
      </c>
      <c r="AE209" s="1" t="s">
        <v>2503</v>
      </c>
      <c r="AF209" s="1" t="s">
        <v>2504</v>
      </c>
      <c r="AG209" s="1" t="s">
        <v>2503</v>
      </c>
      <c r="AH209" s="1" t="s">
        <v>399</v>
      </c>
      <c r="AI209" s="6">
        <v>70761.0</v>
      </c>
      <c r="AJ209" s="1" t="s">
        <v>106</v>
      </c>
      <c r="AK209" s="1" t="s">
        <v>2505</v>
      </c>
      <c r="AL209" s="1" t="s">
        <v>2506</v>
      </c>
      <c r="AM209" s="11" t="str">
        <f>VLOOKUP(N209,Sheet3!$B$4:$C$10,2,1)</f>
        <v>21-30</v>
      </c>
      <c r="AN209" s="13" t="str">
        <f>VLOOKUP(Z209,Sheet3!$F$4:$G$10,2,1)</f>
        <v>&lt; 5</v>
      </c>
      <c r="AO209" s="5" t="str">
        <f>VLOOKUP(AA209,Sheet3!$I$3:$J$16,2,1)</f>
        <v>60000-80000</v>
      </c>
      <c r="AP209" s="5" t="str">
        <f>VLOOKUP(AB209,Sheet3!$L$4:$M$14,2,1)</f>
        <v>&lt; 5%</v>
      </c>
    </row>
    <row r="210">
      <c r="A210" s="6">
        <v>412201.0</v>
      </c>
      <c r="B210" s="1" t="s">
        <v>42</v>
      </c>
      <c r="C210" s="1" t="s">
        <v>2507</v>
      </c>
      <c r="D210" s="1" t="s">
        <v>389</v>
      </c>
      <c r="E210" s="1" t="s">
        <v>2508</v>
      </c>
      <c r="F210" s="1" t="s">
        <v>46</v>
      </c>
      <c r="G210" s="1" t="s">
        <v>2509</v>
      </c>
      <c r="H210" s="1" t="s">
        <v>1395</v>
      </c>
      <c r="I210" s="1" t="s">
        <v>2510</v>
      </c>
      <c r="J210" s="1" t="s">
        <v>2511</v>
      </c>
      <c r="K210" s="1" t="s">
        <v>2512</v>
      </c>
      <c r="L210" s="9">
        <v>33111.0</v>
      </c>
      <c r="M210" s="8">
        <v>0.2395949074074074</v>
      </c>
      <c r="N210" s="6">
        <v>26.94</v>
      </c>
      <c r="O210" s="6">
        <v>51.0</v>
      </c>
      <c r="P210" s="9">
        <v>41481.0</v>
      </c>
      <c r="Q210" s="1" t="s">
        <v>308</v>
      </c>
      <c r="R210" s="1" t="s">
        <v>53</v>
      </c>
      <c r="S210" s="6">
        <v>2013.0</v>
      </c>
      <c r="T210" s="6">
        <v>7.0</v>
      </c>
      <c r="U210" s="1" t="s">
        <v>366</v>
      </c>
      <c r="V210" s="1" t="s">
        <v>367</v>
      </c>
      <c r="W210" s="6">
        <v>26.0</v>
      </c>
      <c r="X210" s="1" t="s">
        <v>263</v>
      </c>
      <c r="Y210" s="1" t="s">
        <v>264</v>
      </c>
      <c r="Z210" s="6">
        <v>4.01</v>
      </c>
      <c r="AA210" s="6">
        <v>60935.0</v>
      </c>
      <c r="AB210" s="10">
        <v>0.06</v>
      </c>
      <c r="AC210" s="1" t="s">
        <v>2513</v>
      </c>
      <c r="AD210" s="1" t="s">
        <v>2514</v>
      </c>
      <c r="AE210" s="1" t="s">
        <v>963</v>
      </c>
      <c r="AF210" s="1" t="s">
        <v>1229</v>
      </c>
      <c r="AG210" s="1" t="s">
        <v>963</v>
      </c>
      <c r="AH210" s="1" t="s">
        <v>1505</v>
      </c>
      <c r="AI210" s="6">
        <v>55591.0</v>
      </c>
      <c r="AJ210" s="1" t="s">
        <v>86</v>
      </c>
      <c r="AK210" s="1" t="s">
        <v>2515</v>
      </c>
      <c r="AL210" s="1" t="s">
        <v>2516</v>
      </c>
      <c r="AM210" s="11" t="str">
        <f>VLOOKUP(N210,Sheet3!$B$4:$C$10,2,1)</f>
        <v>21-30</v>
      </c>
      <c r="AN210" s="13" t="str">
        <f>VLOOKUP(Z210,Sheet3!$F$4:$G$10,2,1)</f>
        <v>&lt; 5</v>
      </c>
      <c r="AO210" s="5" t="str">
        <f>VLOOKUP(AA210,Sheet3!$I$3:$J$16,2,1)</f>
        <v>60000-80000</v>
      </c>
      <c r="AP210" s="5" t="str">
        <f>VLOOKUP(AB210,Sheet3!$L$4:$M$14,2,1)</f>
        <v>5% - 10%</v>
      </c>
    </row>
    <row r="211">
      <c r="A211" s="6">
        <v>855988.0</v>
      </c>
      <c r="B211" s="1" t="s">
        <v>125</v>
      </c>
      <c r="C211" s="1" t="s">
        <v>365</v>
      </c>
      <c r="D211" s="1" t="s">
        <v>1300</v>
      </c>
      <c r="E211" s="1" t="s">
        <v>2517</v>
      </c>
      <c r="F211" s="1" t="s">
        <v>70</v>
      </c>
      <c r="G211" s="1" t="s">
        <v>2518</v>
      </c>
      <c r="H211" s="1" t="s">
        <v>1395</v>
      </c>
      <c r="I211" s="1" t="s">
        <v>2519</v>
      </c>
      <c r="J211" s="1" t="s">
        <v>2520</v>
      </c>
      <c r="K211" s="1" t="s">
        <v>2521</v>
      </c>
      <c r="L211" s="14">
        <v>21739.0</v>
      </c>
      <c r="M211" s="8">
        <v>0.1536574074074074</v>
      </c>
      <c r="N211" s="6">
        <v>58.1</v>
      </c>
      <c r="O211" s="6">
        <v>65.0</v>
      </c>
      <c r="P211" s="7">
        <v>40859.0</v>
      </c>
      <c r="Q211" s="1" t="s">
        <v>52</v>
      </c>
      <c r="R211" s="1" t="s">
        <v>53</v>
      </c>
      <c r="S211" s="6">
        <v>2011.0</v>
      </c>
      <c r="T211" s="6">
        <v>11.0</v>
      </c>
      <c r="U211" s="1" t="s">
        <v>148</v>
      </c>
      <c r="V211" s="1" t="s">
        <v>149</v>
      </c>
      <c r="W211" s="6">
        <v>12.0</v>
      </c>
      <c r="X211" s="1" t="s">
        <v>56</v>
      </c>
      <c r="Y211" s="1" t="s">
        <v>57</v>
      </c>
      <c r="Z211" s="6">
        <v>5.71</v>
      </c>
      <c r="AA211" s="6">
        <v>75109.0</v>
      </c>
      <c r="AB211" s="10">
        <v>0.13</v>
      </c>
      <c r="AC211" s="1" t="s">
        <v>2522</v>
      </c>
      <c r="AD211" s="1" t="s">
        <v>2523</v>
      </c>
      <c r="AE211" s="1" t="s">
        <v>2524</v>
      </c>
      <c r="AF211" s="1" t="s">
        <v>2525</v>
      </c>
      <c r="AG211" s="1" t="s">
        <v>2524</v>
      </c>
      <c r="AH211" s="1" t="s">
        <v>356</v>
      </c>
      <c r="AI211" s="6">
        <v>12153.0</v>
      </c>
      <c r="AJ211" s="1" t="s">
        <v>224</v>
      </c>
      <c r="AK211" s="1" t="s">
        <v>2526</v>
      </c>
      <c r="AL211" s="1" t="s">
        <v>2527</v>
      </c>
      <c r="AM211" s="11" t="str">
        <f>VLOOKUP(N211,Sheet3!$B$4:$C$10,2,1)</f>
        <v>51-60</v>
      </c>
      <c r="AN211" s="12" t="str">
        <f>VLOOKUP(Z211,Sheet3!$F$4:$G$10,2,1)</f>
        <v>5-10</v>
      </c>
      <c r="AO211" s="5" t="str">
        <f>VLOOKUP(AA211,Sheet3!$I$3:$J$16,2,1)</f>
        <v>60000-80000</v>
      </c>
      <c r="AP211" s="5" t="str">
        <f>VLOOKUP(AB211,Sheet3!$L$4:$M$14,2,1)</f>
        <v>11% - 15%</v>
      </c>
    </row>
    <row r="212">
      <c r="A212" s="6">
        <v>158689.0</v>
      </c>
      <c r="B212" s="1" t="s">
        <v>42</v>
      </c>
      <c r="C212" s="1" t="s">
        <v>2528</v>
      </c>
      <c r="D212" s="1" t="s">
        <v>127</v>
      </c>
      <c r="E212" s="1" t="s">
        <v>2529</v>
      </c>
      <c r="F212" s="1" t="s">
        <v>46</v>
      </c>
      <c r="G212" s="1" t="s">
        <v>2530</v>
      </c>
      <c r="H212" s="1" t="s">
        <v>1395</v>
      </c>
      <c r="I212" s="1" t="s">
        <v>2531</v>
      </c>
      <c r="J212" s="1" t="s">
        <v>2532</v>
      </c>
      <c r="K212" s="1" t="s">
        <v>2294</v>
      </c>
      <c r="L212" s="9">
        <v>24454.0</v>
      </c>
      <c r="M212" s="8">
        <v>0.029513888888888888</v>
      </c>
      <c r="N212" s="6">
        <v>50.66</v>
      </c>
      <c r="O212" s="6">
        <v>60.0</v>
      </c>
      <c r="P212" s="14">
        <v>39060.0</v>
      </c>
      <c r="Q212" s="1" t="s">
        <v>52</v>
      </c>
      <c r="R212" s="1" t="s">
        <v>53</v>
      </c>
      <c r="S212" s="6">
        <v>2006.0</v>
      </c>
      <c r="T212" s="6">
        <v>12.0</v>
      </c>
      <c r="U212" s="1" t="s">
        <v>54</v>
      </c>
      <c r="V212" s="1" t="s">
        <v>55</v>
      </c>
      <c r="W212" s="6">
        <v>9.0</v>
      </c>
      <c r="X212" s="1" t="s">
        <v>56</v>
      </c>
      <c r="Y212" s="1" t="s">
        <v>57</v>
      </c>
      <c r="Z212" s="6">
        <v>10.64</v>
      </c>
      <c r="AA212" s="6">
        <v>141720.0</v>
      </c>
      <c r="AB212" s="10">
        <v>0.05</v>
      </c>
      <c r="AC212" s="1" t="s">
        <v>2533</v>
      </c>
      <c r="AD212" s="1" t="s">
        <v>2534</v>
      </c>
      <c r="AE212" s="1" t="s">
        <v>2535</v>
      </c>
      <c r="AF212" s="1" t="s">
        <v>371</v>
      </c>
      <c r="AG212" s="1" t="s">
        <v>2535</v>
      </c>
      <c r="AH212" s="1" t="s">
        <v>2536</v>
      </c>
      <c r="AI212" s="6">
        <v>5647.0</v>
      </c>
      <c r="AJ212" s="1" t="s">
        <v>224</v>
      </c>
      <c r="AK212" s="1" t="s">
        <v>2537</v>
      </c>
      <c r="AL212" s="1" t="s">
        <v>2538</v>
      </c>
      <c r="AM212" s="11" t="str">
        <f>VLOOKUP(N212,Sheet3!$B$4:$C$10,2,1)</f>
        <v>41-50</v>
      </c>
      <c r="AN212" s="12" t="str">
        <f>VLOOKUP(Z212,Sheet3!$F$4:$G$10,2,1)</f>
        <v>5-10</v>
      </c>
      <c r="AO212" s="5" t="str">
        <f>VLOOKUP(AA212,Sheet3!$I$3:$J$16,2,1)</f>
        <v>140000-160000</v>
      </c>
      <c r="AP212" s="5" t="str">
        <f>VLOOKUP(AB212,Sheet3!$L$4:$M$14,2,1)</f>
        <v>5% - 10%</v>
      </c>
    </row>
    <row r="213">
      <c r="A213" s="6">
        <v>737292.0</v>
      </c>
      <c r="B213" s="1" t="s">
        <v>66</v>
      </c>
      <c r="C213" s="1" t="s">
        <v>2539</v>
      </c>
      <c r="D213" s="1" t="s">
        <v>242</v>
      </c>
      <c r="E213" s="1" t="s">
        <v>2540</v>
      </c>
      <c r="F213" s="1" t="s">
        <v>70</v>
      </c>
      <c r="G213" s="1" t="s">
        <v>2541</v>
      </c>
      <c r="H213" s="1" t="s">
        <v>1395</v>
      </c>
      <c r="I213" s="1" t="s">
        <v>2542</v>
      </c>
      <c r="J213" s="1" t="s">
        <v>2543</v>
      </c>
      <c r="K213" s="1" t="s">
        <v>803</v>
      </c>
      <c r="L213" s="9">
        <v>33530.0</v>
      </c>
      <c r="M213" s="8">
        <v>0.5580324074074074</v>
      </c>
      <c r="N213" s="6">
        <v>25.79</v>
      </c>
      <c r="O213" s="6">
        <v>63.0</v>
      </c>
      <c r="P213" s="9">
        <v>41692.0</v>
      </c>
      <c r="Q213" s="1" t="s">
        <v>96</v>
      </c>
      <c r="R213" s="1" t="s">
        <v>76</v>
      </c>
      <c r="S213" s="6">
        <v>2014.0</v>
      </c>
      <c r="T213" s="6">
        <v>2.0</v>
      </c>
      <c r="U213" s="1" t="s">
        <v>117</v>
      </c>
      <c r="V213" s="1" t="s">
        <v>118</v>
      </c>
      <c r="W213" s="6">
        <v>22.0</v>
      </c>
      <c r="X213" s="1" t="s">
        <v>56</v>
      </c>
      <c r="Y213" s="1" t="s">
        <v>57</v>
      </c>
      <c r="Z213" s="6">
        <v>3.43</v>
      </c>
      <c r="AA213" s="6">
        <v>164496.0</v>
      </c>
      <c r="AB213" s="10">
        <v>0.01</v>
      </c>
      <c r="AC213" s="1" t="s">
        <v>2544</v>
      </c>
      <c r="AD213" s="1" t="s">
        <v>2545</v>
      </c>
      <c r="AE213" s="1" t="s">
        <v>524</v>
      </c>
      <c r="AF213" s="1" t="s">
        <v>2546</v>
      </c>
      <c r="AG213" s="1" t="s">
        <v>524</v>
      </c>
      <c r="AH213" s="1" t="s">
        <v>525</v>
      </c>
      <c r="AI213" s="6">
        <v>72231.0</v>
      </c>
      <c r="AJ213" s="1" t="s">
        <v>106</v>
      </c>
      <c r="AK213" s="1" t="s">
        <v>2547</v>
      </c>
      <c r="AL213" s="1" t="s">
        <v>2548</v>
      </c>
      <c r="AM213" s="11" t="str">
        <f>VLOOKUP(N213,Sheet3!$B$4:$C$10,2,1)</f>
        <v>21-30</v>
      </c>
      <c r="AN213" s="13" t="str">
        <f>VLOOKUP(Z213,Sheet3!$F$4:$G$10,2,1)</f>
        <v>&lt; 5</v>
      </c>
      <c r="AO213" s="5" t="str">
        <f>VLOOKUP(AA213,Sheet3!$I$3:$J$16,2,1)</f>
        <v>160000-180000</v>
      </c>
      <c r="AP213" s="5" t="str">
        <f>VLOOKUP(AB213,Sheet3!$L$4:$M$14,2,1)</f>
        <v>&lt; 5%</v>
      </c>
    </row>
    <row r="214">
      <c r="A214" s="6">
        <v>596917.0</v>
      </c>
      <c r="B214" s="1" t="s">
        <v>66</v>
      </c>
      <c r="C214" s="1" t="s">
        <v>2549</v>
      </c>
      <c r="D214" s="1" t="s">
        <v>334</v>
      </c>
      <c r="E214" s="1" t="s">
        <v>2550</v>
      </c>
      <c r="F214" s="1" t="s">
        <v>70</v>
      </c>
      <c r="G214" s="1" t="s">
        <v>2551</v>
      </c>
      <c r="H214" s="1" t="s">
        <v>1395</v>
      </c>
      <c r="I214" s="1" t="s">
        <v>2552</v>
      </c>
      <c r="J214" s="1" t="s">
        <v>2553</v>
      </c>
      <c r="K214" s="1" t="s">
        <v>2225</v>
      </c>
      <c r="L214" s="14">
        <v>26821.0</v>
      </c>
      <c r="M214" s="8">
        <v>0.4051851851851852</v>
      </c>
      <c r="N214" s="6">
        <v>44.17</v>
      </c>
      <c r="O214" s="6">
        <v>79.0</v>
      </c>
      <c r="P214" s="14">
        <v>42522.0</v>
      </c>
      <c r="Q214" s="1" t="s">
        <v>75</v>
      </c>
      <c r="R214" s="1" t="s">
        <v>76</v>
      </c>
      <c r="S214" s="6">
        <v>2016.0</v>
      </c>
      <c r="T214" s="6">
        <v>6.0</v>
      </c>
      <c r="U214" s="1" t="s">
        <v>324</v>
      </c>
      <c r="V214" s="1" t="s">
        <v>325</v>
      </c>
      <c r="W214" s="6">
        <v>1.0</v>
      </c>
      <c r="X214" s="1" t="s">
        <v>278</v>
      </c>
      <c r="Y214" s="1" t="s">
        <v>279</v>
      </c>
      <c r="Z214" s="6">
        <v>1.16</v>
      </c>
      <c r="AA214" s="6">
        <v>178345.0</v>
      </c>
      <c r="AB214" s="10">
        <v>0.29</v>
      </c>
      <c r="AC214" s="1" t="s">
        <v>2554</v>
      </c>
      <c r="AD214" s="1" t="s">
        <v>2555</v>
      </c>
      <c r="AE214" s="1" t="s">
        <v>2556</v>
      </c>
      <c r="AF214" s="1" t="s">
        <v>2557</v>
      </c>
      <c r="AG214" s="1" t="s">
        <v>2556</v>
      </c>
      <c r="AH214" s="1" t="s">
        <v>122</v>
      </c>
      <c r="AI214" s="6">
        <v>46366.0</v>
      </c>
      <c r="AJ214" s="1" t="s">
        <v>86</v>
      </c>
      <c r="AK214" s="1" t="s">
        <v>2558</v>
      </c>
      <c r="AL214" s="1" t="s">
        <v>2559</v>
      </c>
      <c r="AM214" s="11" t="str">
        <f>VLOOKUP(N214,Sheet3!$B$4:$C$10,2,1)</f>
        <v>41-50</v>
      </c>
      <c r="AN214" s="13" t="str">
        <f>VLOOKUP(Z214,Sheet3!$F$4:$G$10,2,1)</f>
        <v>&lt; 5</v>
      </c>
      <c r="AO214" s="5" t="str">
        <f>VLOOKUP(AA214,Sheet3!$I$3:$J$16,2,1)</f>
        <v>160000-180000</v>
      </c>
      <c r="AP214" s="5" t="str">
        <f>VLOOKUP(AB214,Sheet3!$L$4:$M$14,2,1)</f>
        <v>26% - 30%</v>
      </c>
    </row>
    <row r="215">
      <c r="A215" s="6">
        <v>620634.0</v>
      </c>
      <c r="B215" s="1" t="s">
        <v>42</v>
      </c>
      <c r="C215" s="1" t="s">
        <v>2560</v>
      </c>
      <c r="D215" s="1" t="s">
        <v>403</v>
      </c>
      <c r="E215" s="1" t="s">
        <v>2500</v>
      </c>
      <c r="F215" s="1" t="s">
        <v>46</v>
      </c>
      <c r="G215" s="1" t="s">
        <v>2561</v>
      </c>
      <c r="H215" s="1" t="s">
        <v>1395</v>
      </c>
      <c r="I215" s="1" t="s">
        <v>2562</v>
      </c>
      <c r="J215" s="1" t="s">
        <v>2563</v>
      </c>
      <c r="K215" s="1" t="s">
        <v>2564</v>
      </c>
      <c r="L215" s="9">
        <v>32102.0</v>
      </c>
      <c r="M215" s="8">
        <v>0.4134837962962963</v>
      </c>
      <c r="N215" s="6">
        <v>29.7</v>
      </c>
      <c r="O215" s="6">
        <v>56.0</v>
      </c>
      <c r="P215" s="9">
        <v>40898.0</v>
      </c>
      <c r="Q215" s="1" t="s">
        <v>52</v>
      </c>
      <c r="R215" s="1" t="s">
        <v>53</v>
      </c>
      <c r="S215" s="6">
        <v>2011.0</v>
      </c>
      <c r="T215" s="6">
        <v>12.0</v>
      </c>
      <c r="U215" s="1" t="s">
        <v>54</v>
      </c>
      <c r="V215" s="1" t="s">
        <v>55</v>
      </c>
      <c r="W215" s="6">
        <v>21.0</v>
      </c>
      <c r="X215" s="1" t="s">
        <v>278</v>
      </c>
      <c r="Y215" s="1" t="s">
        <v>279</v>
      </c>
      <c r="Z215" s="6">
        <v>5.61</v>
      </c>
      <c r="AA215" s="6">
        <v>40265.0</v>
      </c>
      <c r="AB215" s="10">
        <v>0.16</v>
      </c>
      <c r="AC215" s="1" t="s">
        <v>2565</v>
      </c>
      <c r="AD215" s="1" t="s">
        <v>2566</v>
      </c>
      <c r="AE215" s="1" t="s">
        <v>1019</v>
      </c>
      <c r="AF215" s="1" t="s">
        <v>1019</v>
      </c>
      <c r="AG215" s="1" t="s">
        <v>1019</v>
      </c>
      <c r="AH215" s="1" t="s">
        <v>356</v>
      </c>
      <c r="AI215" s="6">
        <v>13402.0</v>
      </c>
      <c r="AJ215" s="1" t="s">
        <v>224</v>
      </c>
      <c r="AK215" s="1" t="s">
        <v>2567</v>
      </c>
      <c r="AL215" s="1" t="s">
        <v>2568</v>
      </c>
      <c r="AM215" s="11" t="str">
        <f>VLOOKUP(N215,Sheet3!$B$4:$C$10,2,1)</f>
        <v>21-30</v>
      </c>
      <c r="AN215" s="12" t="str">
        <f>VLOOKUP(Z215,Sheet3!$F$4:$G$10,2,1)</f>
        <v>5-10</v>
      </c>
      <c r="AO215" s="5" t="str">
        <f>VLOOKUP(AA215,Sheet3!$I$3:$J$16,2,1)</f>
        <v>40000-60000</v>
      </c>
      <c r="AP215" s="5" t="str">
        <f>VLOOKUP(AB215,Sheet3!$L$4:$M$14,2,1)</f>
        <v>16% - 20%</v>
      </c>
    </row>
    <row r="216">
      <c r="A216" s="6">
        <v>130591.0</v>
      </c>
      <c r="B216" s="1" t="s">
        <v>227</v>
      </c>
      <c r="C216" s="1" t="s">
        <v>2569</v>
      </c>
      <c r="D216" s="1" t="s">
        <v>200</v>
      </c>
      <c r="E216" s="1" t="s">
        <v>2570</v>
      </c>
      <c r="F216" s="1" t="s">
        <v>70</v>
      </c>
      <c r="G216" s="1" t="s">
        <v>2571</v>
      </c>
      <c r="H216" s="1" t="s">
        <v>1395</v>
      </c>
      <c r="I216" s="1" t="s">
        <v>2572</v>
      </c>
      <c r="J216" s="1" t="s">
        <v>2573</v>
      </c>
      <c r="K216" s="1" t="s">
        <v>2574</v>
      </c>
      <c r="L216" s="14">
        <v>22868.0</v>
      </c>
      <c r="M216" s="8">
        <v>0.8142592592592592</v>
      </c>
      <c r="N216" s="6">
        <v>55.0</v>
      </c>
      <c r="O216" s="6">
        <v>52.0</v>
      </c>
      <c r="P216" s="9">
        <v>33263.0</v>
      </c>
      <c r="Q216" s="1" t="s">
        <v>96</v>
      </c>
      <c r="R216" s="1" t="s">
        <v>76</v>
      </c>
      <c r="S216" s="6">
        <v>1991.0</v>
      </c>
      <c r="T216" s="6">
        <v>1.0</v>
      </c>
      <c r="U216" s="1" t="s">
        <v>276</v>
      </c>
      <c r="V216" s="1" t="s">
        <v>277</v>
      </c>
      <c r="W216" s="6">
        <v>25.0</v>
      </c>
      <c r="X216" s="1" t="s">
        <v>263</v>
      </c>
      <c r="Y216" s="1" t="s">
        <v>264</v>
      </c>
      <c r="Z216" s="6">
        <v>26.52</v>
      </c>
      <c r="AA216" s="6">
        <v>134103.0</v>
      </c>
      <c r="AB216" s="10">
        <v>0.28</v>
      </c>
      <c r="AC216" s="1" t="s">
        <v>2575</v>
      </c>
      <c r="AD216" s="1" t="s">
        <v>2576</v>
      </c>
      <c r="AE216" s="1" t="s">
        <v>2577</v>
      </c>
      <c r="AF216" s="1" t="s">
        <v>1705</v>
      </c>
      <c r="AG216" s="1" t="s">
        <v>2577</v>
      </c>
      <c r="AH216" s="1" t="s">
        <v>1103</v>
      </c>
      <c r="AI216" s="6">
        <v>3063.0</v>
      </c>
      <c r="AJ216" s="1" t="s">
        <v>224</v>
      </c>
      <c r="AK216" s="1" t="s">
        <v>2578</v>
      </c>
      <c r="AL216" s="1" t="s">
        <v>2579</v>
      </c>
      <c r="AM216" s="11" t="str">
        <f>VLOOKUP(N216,Sheet3!$B$4:$C$10,2,1)</f>
        <v>51-60</v>
      </c>
      <c r="AN216" s="13" t="str">
        <f>VLOOKUP(Z216,Sheet3!$F$4:$G$10,2,1)</f>
        <v>21-30</v>
      </c>
      <c r="AO216" s="5" t="str">
        <f>VLOOKUP(AA216,Sheet3!$I$3:$J$16,2,1)</f>
        <v>120000-140000</v>
      </c>
      <c r="AP216" s="5" t="str">
        <f>VLOOKUP(AB216,Sheet3!$L$4:$M$14,2,1)</f>
        <v>26% - 30%</v>
      </c>
    </row>
    <row r="217">
      <c r="A217" s="6">
        <v>579618.0</v>
      </c>
      <c r="B217" s="1" t="s">
        <v>125</v>
      </c>
      <c r="C217" s="1" t="s">
        <v>2580</v>
      </c>
      <c r="D217" s="1" t="s">
        <v>68</v>
      </c>
      <c r="E217" s="1" t="s">
        <v>2581</v>
      </c>
      <c r="F217" s="1" t="s">
        <v>70</v>
      </c>
      <c r="G217" s="1" t="s">
        <v>2582</v>
      </c>
      <c r="H217" s="1" t="s">
        <v>1395</v>
      </c>
      <c r="I217" s="1" t="s">
        <v>2583</v>
      </c>
      <c r="J217" s="1" t="s">
        <v>2584</v>
      </c>
      <c r="K217" s="1" t="s">
        <v>421</v>
      </c>
      <c r="L217" s="9">
        <v>33952.0</v>
      </c>
      <c r="M217" s="8">
        <v>0.6016319444444445</v>
      </c>
      <c r="N217" s="6">
        <v>24.64</v>
      </c>
      <c r="O217" s="6">
        <v>86.0</v>
      </c>
      <c r="P217" s="9">
        <v>42144.0</v>
      </c>
      <c r="Q217" s="1" t="s">
        <v>75</v>
      </c>
      <c r="R217" s="1" t="s">
        <v>76</v>
      </c>
      <c r="S217" s="6">
        <v>2015.0</v>
      </c>
      <c r="T217" s="6">
        <v>5.0</v>
      </c>
      <c r="U217" s="1" t="s">
        <v>294</v>
      </c>
      <c r="V217" s="1" t="s">
        <v>294</v>
      </c>
      <c r="W217" s="6">
        <v>20.0</v>
      </c>
      <c r="X217" s="1" t="s">
        <v>278</v>
      </c>
      <c r="Y217" s="1" t="s">
        <v>279</v>
      </c>
      <c r="Z217" s="6">
        <v>2.19</v>
      </c>
      <c r="AA217" s="6">
        <v>83790.0</v>
      </c>
      <c r="AB217" s="10">
        <v>0.27</v>
      </c>
      <c r="AC217" s="1" t="s">
        <v>2585</v>
      </c>
      <c r="AD217" s="1" t="s">
        <v>2586</v>
      </c>
      <c r="AE217" s="1" t="s">
        <v>2587</v>
      </c>
      <c r="AF217" s="1" t="s">
        <v>2587</v>
      </c>
      <c r="AG217" s="1" t="s">
        <v>2587</v>
      </c>
      <c r="AH217" s="1" t="s">
        <v>156</v>
      </c>
      <c r="AI217" s="6">
        <v>22021.0</v>
      </c>
      <c r="AJ217" s="1" t="s">
        <v>106</v>
      </c>
      <c r="AK217" s="1" t="s">
        <v>2588</v>
      </c>
      <c r="AL217" s="1" t="s">
        <v>2589</v>
      </c>
      <c r="AM217" s="11" t="str">
        <f>VLOOKUP(N217,Sheet3!$B$4:$C$10,2,1)</f>
        <v>21-30</v>
      </c>
      <c r="AN217" s="13" t="str">
        <f>VLOOKUP(Z217,Sheet3!$F$4:$G$10,2,1)</f>
        <v>&lt; 5</v>
      </c>
      <c r="AO217" s="5" t="str">
        <f>VLOOKUP(AA217,Sheet3!$I$3:$J$16,2,1)</f>
        <v>80000-100000</v>
      </c>
      <c r="AP217" s="5" t="str">
        <f>VLOOKUP(AB217,Sheet3!$L$4:$M$14,2,1)</f>
        <v>26% - 30%</v>
      </c>
    </row>
    <row r="218">
      <c r="A218" s="6">
        <v>240295.0</v>
      </c>
      <c r="B218" s="1" t="s">
        <v>66</v>
      </c>
      <c r="C218" s="1" t="s">
        <v>2590</v>
      </c>
      <c r="D218" s="1" t="s">
        <v>554</v>
      </c>
      <c r="E218" s="1" t="s">
        <v>2591</v>
      </c>
      <c r="F218" s="1" t="s">
        <v>70</v>
      </c>
      <c r="G218" s="1" t="s">
        <v>2592</v>
      </c>
      <c r="H218" s="1" t="s">
        <v>1395</v>
      </c>
      <c r="I218" s="1" t="s">
        <v>2593</v>
      </c>
      <c r="J218" s="1" t="s">
        <v>2594</v>
      </c>
      <c r="K218" s="1" t="s">
        <v>2595</v>
      </c>
      <c r="L218" s="9">
        <v>34744.0</v>
      </c>
      <c r="M218" s="8">
        <v>0.8327314814814815</v>
      </c>
      <c r="N218" s="6">
        <v>22.47</v>
      </c>
      <c r="O218" s="6">
        <v>59.0</v>
      </c>
      <c r="P218" s="9">
        <v>42460.0</v>
      </c>
      <c r="Q218" s="1" t="s">
        <v>96</v>
      </c>
      <c r="R218" s="1" t="s">
        <v>76</v>
      </c>
      <c r="S218" s="6">
        <v>2016.0</v>
      </c>
      <c r="T218" s="6">
        <v>3.0</v>
      </c>
      <c r="U218" s="1" t="s">
        <v>97</v>
      </c>
      <c r="V218" s="1" t="s">
        <v>98</v>
      </c>
      <c r="W218" s="6">
        <v>31.0</v>
      </c>
      <c r="X218" s="1" t="s">
        <v>150</v>
      </c>
      <c r="Y218" s="1" t="s">
        <v>151</v>
      </c>
      <c r="Z218" s="6">
        <v>1.33</v>
      </c>
      <c r="AA218" s="6">
        <v>131126.0</v>
      </c>
      <c r="AB218" s="10">
        <v>0.13</v>
      </c>
      <c r="AC218" s="1" t="s">
        <v>2596</v>
      </c>
      <c r="AD218" s="1" t="s">
        <v>2597</v>
      </c>
      <c r="AE218" s="1" t="s">
        <v>2598</v>
      </c>
      <c r="AF218" s="1" t="s">
        <v>287</v>
      </c>
      <c r="AG218" s="1" t="s">
        <v>2598</v>
      </c>
      <c r="AH218" s="1" t="s">
        <v>857</v>
      </c>
      <c r="AI218" s="6">
        <v>65111.0</v>
      </c>
      <c r="AJ218" s="1" t="s">
        <v>86</v>
      </c>
      <c r="AK218" s="1" t="s">
        <v>2599</v>
      </c>
      <c r="AL218" s="1" t="s">
        <v>2600</v>
      </c>
      <c r="AM218" s="11" t="str">
        <f>VLOOKUP(N218,Sheet3!$B$4:$C$10,2,1)</f>
        <v>21-30</v>
      </c>
      <c r="AN218" s="13" t="str">
        <f>VLOOKUP(Z218,Sheet3!$F$4:$G$10,2,1)</f>
        <v>&lt; 5</v>
      </c>
      <c r="AO218" s="5" t="str">
        <f>VLOOKUP(AA218,Sheet3!$I$3:$J$16,2,1)</f>
        <v>120000-140000</v>
      </c>
      <c r="AP218" s="5" t="str">
        <f>VLOOKUP(AB218,Sheet3!$L$4:$M$14,2,1)</f>
        <v>11% - 15%</v>
      </c>
    </row>
    <row r="219">
      <c r="A219" s="6">
        <v>846100.0</v>
      </c>
      <c r="B219" s="1" t="s">
        <v>66</v>
      </c>
      <c r="C219" s="1" t="s">
        <v>2601</v>
      </c>
      <c r="D219" s="1" t="s">
        <v>257</v>
      </c>
      <c r="E219" s="1" t="s">
        <v>1764</v>
      </c>
      <c r="F219" s="1" t="s">
        <v>70</v>
      </c>
      <c r="G219" s="1" t="s">
        <v>2602</v>
      </c>
      <c r="H219" s="1" t="s">
        <v>1395</v>
      </c>
      <c r="I219" s="1" t="s">
        <v>2603</v>
      </c>
      <c r="J219" s="1" t="s">
        <v>2604</v>
      </c>
      <c r="K219" s="1" t="s">
        <v>2605</v>
      </c>
      <c r="L219" s="9">
        <v>26678.0</v>
      </c>
      <c r="M219" s="8">
        <v>0.7763425925925926</v>
      </c>
      <c r="N219" s="6">
        <v>44.56</v>
      </c>
      <c r="O219" s="6">
        <v>53.0</v>
      </c>
      <c r="P219" s="9">
        <v>41512.0</v>
      </c>
      <c r="Q219" s="1" t="s">
        <v>308</v>
      </c>
      <c r="R219" s="1" t="s">
        <v>53</v>
      </c>
      <c r="S219" s="6">
        <v>2013.0</v>
      </c>
      <c r="T219" s="6">
        <v>8.0</v>
      </c>
      <c r="U219" s="1" t="s">
        <v>433</v>
      </c>
      <c r="V219" s="1" t="s">
        <v>434</v>
      </c>
      <c r="W219" s="6">
        <v>26.0</v>
      </c>
      <c r="X219" s="1" t="s">
        <v>99</v>
      </c>
      <c r="Y219" s="1" t="s">
        <v>100</v>
      </c>
      <c r="Z219" s="6">
        <v>3.92</v>
      </c>
      <c r="AA219" s="6">
        <v>129931.0</v>
      </c>
      <c r="AB219" s="10">
        <v>0.11</v>
      </c>
      <c r="AC219" s="1" t="s">
        <v>2606</v>
      </c>
      <c r="AD219" s="1" t="s">
        <v>2607</v>
      </c>
      <c r="AE219" s="1" t="s">
        <v>2608</v>
      </c>
      <c r="AF219" s="1" t="s">
        <v>2609</v>
      </c>
      <c r="AG219" s="1" t="s">
        <v>2608</v>
      </c>
      <c r="AH219" s="1" t="s">
        <v>356</v>
      </c>
      <c r="AI219" s="6">
        <v>14302.0</v>
      </c>
      <c r="AJ219" s="1" t="s">
        <v>224</v>
      </c>
      <c r="AK219" s="1" t="s">
        <v>2610</v>
      </c>
      <c r="AL219" s="1" t="s">
        <v>2611</v>
      </c>
      <c r="AM219" s="11" t="str">
        <f>VLOOKUP(N219,Sheet3!$B$4:$C$10,2,1)</f>
        <v>41-50</v>
      </c>
      <c r="AN219" s="13" t="str">
        <f>VLOOKUP(Z219,Sheet3!$F$4:$G$10,2,1)</f>
        <v>&lt; 5</v>
      </c>
      <c r="AO219" s="5" t="str">
        <f>VLOOKUP(AA219,Sheet3!$I$3:$J$16,2,1)</f>
        <v>120000-140000</v>
      </c>
      <c r="AP219" s="5" t="str">
        <f>VLOOKUP(AB219,Sheet3!$L$4:$M$14,2,1)</f>
        <v>11% - 15%</v>
      </c>
    </row>
    <row r="220">
      <c r="A220" s="6">
        <v>431841.0</v>
      </c>
      <c r="B220" s="1" t="s">
        <v>42</v>
      </c>
      <c r="C220" s="1" t="s">
        <v>2612</v>
      </c>
      <c r="D220" s="1" t="s">
        <v>1663</v>
      </c>
      <c r="E220" s="1" t="s">
        <v>2613</v>
      </c>
      <c r="F220" s="1" t="s">
        <v>46</v>
      </c>
      <c r="G220" s="1" t="s">
        <v>2614</v>
      </c>
      <c r="H220" s="1" t="s">
        <v>1395</v>
      </c>
      <c r="I220" s="1" t="s">
        <v>2615</v>
      </c>
      <c r="J220" s="1" t="s">
        <v>2616</v>
      </c>
      <c r="K220" s="1" t="s">
        <v>2617</v>
      </c>
      <c r="L220" s="14">
        <v>23777.0</v>
      </c>
      <c r="M220" s="8">
        <v>0.11340277777777778</v>
      </c>
      <c r="N220" s="6">
        <v>52.51</v>
      </c>
      <c r="O220" s="6">
        <v>58.0</v>
      </c>
      <c r="P220" s="9">
        <v>31885.0</v>
      </c>
      <c r="Q220" s="1" t="s">
        <v>75</v>
      </c>
      <c r="R220" s="1" t="s">
        <v>76</v>
      </c>
      <c r="S220" s="6">
        <v>1987.0</v>
      </c>
      <c r="T220" s="6">
        <v>4.0</v>
      </c>
      <c r="U220" s="1" t="s">
        <v>77</v>
      </c>
      <c r="V220" s="1" t="s">
        <v>78</v>
      </c>
      <c r="W220" s="6">
        <v>18.0</v>
      </c>
      <c r="X220" s="1" t="s">
        <v>56</v>
      </c>
      <c r="Y220" s="1" t="s">
        <v>57</v>
      </c>
      <c r="Z220" s="6">
        <v>30.3</v>
      </c>
      <c r="AA220" s="6">
        <v>61082.0</v>
      </c>
      <c r="AB220" s="10">
        <v>0.0</v>
      </c>
      <c r="AC220" s="1" t="s">
        <v>2618</v>
      </c>
      <c r="AD220" s="1" t="s">
        <v>2619</v>
      </c>
      <c r="AE220" s="1" t="s">
        <v>2620</v>
      </c>
      <c r="AF220" s="1" t="s">
        <v>2621</v>
      </c>
      <c r="AG220" s="1" t="s">
        <v>2620</v>
      </c>
      <c r="AH220" s="1" t="s">
        <v>299</v>
      </c>
      <c r="AI220" s="6">
        <v>73664.0</v>
      </c>
      <c r="AJ220" s="1" t="s">
        <v>106</v>
      </c>
      <c r="AK220" s="1" t="s">
        <v>2622</v>
      </c>
      <c r="AL220" s="1" t="s">
        <v>2623</v>
      </c>
      <c r="AM220" s="11" t="str">
        <f>VLOOKUP(N220,Sheet3!$B$4:$C$10,2,1)</f>
        <v>51-60</v>
      </c>
      <c r="AN220" s="13" t="str">
        <f>VLOOKUP(Z220,Sheet3!$F$4:$G$10,2,1)</f>
        <v>21-30</v>
      </c>
      <c r="AO220" s="5" t="str">
        <f>VLOOKUP(AA220,Sheet3!$I$3:$J$16,2,1)</f>
        <v>60000-80000</v>
      </c>
      <c r="AP220" s="5" t="str">
        <f>VLOOKUP(AB220,Sheet3!$L$4:$M$14,2,1)</f>
        <v>&lt; 5%</v>
      </c>
    </row>
    <row r="221">
      <c r="A221" s="6">
        <v>520702.0</v>
      </c>
      <c r="B221" s="1" t="s">
        <v>42</v>
      </c>
      <c r="C221" s="1" t="s">
        <v>2624</v>
      </c>
      <c r="D221" s="1" t="s">
        <v>68</v>
      </c>
      <c r="E221" s="1" t="s">
        <v>2625</v>
      </c>
      <c r="F221" s="1" t="s">
        <v>46</v>
      </c>
      <c r="G221" s="1" t="s">
        <v>2626</v>
      </c>
      <c r="H221" s="1" t="s">
        <v>1395</v>
      </c>
      <c r="I221" s="1" t="s">
        <v>2627</v>
      </c>
      <c r="J221" s="1" t="s">
        <v>2628</v>
      </c>
      <c r="K221" s="1" t="s">
        <v>2629</v>
      </c>
      <c r="L221" s="9">
        <v>34146.0</v>
      </c>
      <c r="M221" s="8">
        <v>0.06024305555555556</v>
      </c>
      <c r="N221" s="6">
        <v>24.1</v>
      </c>
      <c r="O221" s="6">
        <v>49.0</v>
      </c>
      <c r="P221" s="7">
        <v>42319.0</v>
      </c>
      <c r="Q221" s="1" t="s">
        <v>52</v>
      </c>
      <c r="R221" s="1" t="s">
        <v>53</v>
      </c>
      <c r="S221" s="6">
        <v>2015.0</v>
      </c>
      <c r="T221" s="6">
        <v>11.0</v>
      </c>
      <c r="U221" s="1" t="s">
        <v>148</v>
      </c>
      <c r="V221" s="1" t="s">
        <v>149</v>
      </c>
      <c r="W221" s="6">
        <v>11.0</v>
      </c>
      <c r="X221" s="1" t="s">
        <v>278</v>
      </c>
      <c r="Y221" s="1" t="s">
        <v>279</v>
      </c>
      <c r="Z221" s="6">
        <v>1.71</v>
      </c>
      <c r="AA221" s="6">
        <v>74924.0</v>
      </c>
      <c r="AB221" s="10">
        <v>0.3</v>
      </c>
      <c r="AC221" s="1" t="s">
        <v>2630</v>
      </c>
      <c r="AD221" s="1" t="s">
        <v>2631</v>
      </c>
      <c r="AE221" s="1" t="s">
        <v>2632</v>
      </c>
      <c r="AF221" s="1" t="s">
        <v>2633</v>
      </c>
      <c r="AG221" s="1" t="s">
        <v>2632</v>
      </c>
      <c r="AH221" s="1" t="s">
        <v>284</v>
      </c>
      <c r="AI221" s="6">
        <v>50162.0</v>
      </c>
      <c r="AJ221" s="1" t="s">
        <v>86</v>
      </c>
      <c r="AK221" s="1" t="s">
        <v>2634</v>
      </c>
      <c r="AL221" s="1" t="s">
        <v>2635</v>
      </c>
      <c r="AM221" s="11" t="str">
        <f>VLOOKUP(N221,Sheet3!$B$4:$C$10,2,1)</f>
        <v>21-30</v>
      </c>
      <c r="AN221" s="13" t="str">
        <f>VLOOKUP(Z221,Sheet3!$F$4:$G$10,2,1)</f>
        <v>&lt; 5</v>
      </c>
      <c r="AO221" s="5" t="str">
        <f>VLOOKUP(AA221,Sheet3!$I$3:$J$16,2,1)</f>
        <v>60000-80000</v>
      </c>
      <c r="AP221" s="5" t="str">
        <f>VLOOKUP(AB221,Sheet3!$L$4:$M$14,2,1)</f>
        <v>26% - 30%</v>
      </c>
    </row>
    <row r="222">
      <c r="A222" s="6">
        <v>771425.0</v>
      </c>
      <c r="B222" s="1" t="s">
        <v>66</v>
      </c>
      <c r="C222" s="1" t="s">
        <v>2636</v>
      </c>
      <c r="D222" s="1" t="s">
        <v>861</v>
      </c>
      <c r="E222" s="1" t="s">
        <v>2152</v>
      </c>
      <c r="F222" s="1" t="s">
        <v>70</v>
      </c>
      <c r="G222" s="1" t="s">
        <v>2637</v>
      </c>
      <c r="H222" s="1" t="s">
        <v>1395</v>
      </c>
      <c r="I222" s="1" t="s">
        <v>2638</v>
      </c>
      <c r="J222" s="1" t="s">
        <v>2639</v>
      </c>
      <c r="K222" s="1" t="s">
        <v>2121</v>
      </c>
      <c r="L222" s="14">
        <v>21490.0</v>
      </c>
      <c r="M222" s="8">
        <v>0.23041666666666666</v>
      </c>
      <c r="N222" s="6">
        <v>58.78</v>
      </c>
      <c r="O222" s="6">
        <v>78.0</v>
      </c>
      <c r="P222" s="9">
        <v>39071.0</v>
      </c>
      <c r="Q222" s="1" t="s">
        <v>52</v>
      </c>
      <c r="R222" s="1" t="s">
        <v>53</v>
      </c>
      <c r="S222" s="6">
        <v>2006.0</v>
      </c>
      <c r="T222" s="6">
        <v>12.0</v>
      </c>
      <c r="U222" s="1" t="s">
        <v>54</v>
      </c>
      <c r="V222" s="1" t="s">
        <v>55</v>
      </c>
      <c r="W222" s="6">
        <v>20.0</v>
      </c>
      <c r="X222" s="1" t="s">
        <v>278</v>
      </c>
      <c r="Y222" s="1" t="s">
        <v>279</v>
      </c>
      <c r="Z222" s="6">
        <v>10.61</v>
      </c>
      <c r="AA222" s="6">
        <v>81514.0</v>
      </c>
      <c r="AB222" s="10">
        <v>0.04</v>
      </c>
      <c r="AC222" s="1" t="s">
        <v>2640</v>
      </c>
      <c r="AD222" s="1" t="s">
        <v>2641</v>
      </c>
      <c r="AE222" s="1" t="s">
        <v>2642</v>
      </c>
      <c r="AF222" s="1" t="s">
        <v>221</v>
      </c>
      <c r="AG222" s="1" t="s">
        <v>2642</v>
      </c>
      <c r="AH222" s="1" t="s">
        <v>105</v>
      </c>
      <c r="AI222" s="6">
        <v>40334.0</v>
      </c>
      <c r="AJ222" s="1" t="s">
        <v>106</v>
      </c>
      <c r="AK222" s="1" t="s">
        <v>2643</v>
      </c>
      <c r="AL222" s="1" t="s">
        <v>2644</v>
      </c>
      <c r="AM222" s="11" t="str">
        <f>VLOOKUP(N222,Sheet3!$B$4:$C$10,2,1)</f>
        <v>51-60</v>
      </c>
      <c r="AN222" s="12" t="str">
        <f>VLOOKUP(Z222,Sheet3!$F$4:$G$10,2,1)</f>
        <v>5-10</v>
      </c>
      <c r="AO222" s="5" t="str">
        <f>VLOOKUP(AA222,Sheet3!$I$3:$J$16,2,1)</f>
        <v>80000-100000</v>
      </c>
      <c r="AP222" s="5" t="str">
        <f>VLOOKUP(AB222,Sheet3!$L$4:$M$14,2,1)</f>
        <v>&lt; 5%</v>
      </c>
    </row>
    <row r="223">
      <c r="A223" s="6">
        <v>189557.0</v>
      </c>
      <c r="B223" s="1" t="s">
        <v>109</v>
      </c>
      <c r="C223" s="1" t="s">
        <v>2645</v>
      </c>
      <c r="D223" s="1" t="s">
        <v>403</v>
      </c>
      <c r="E223" s="1" t="s">
        <v>2646</v>
      </c>
      <c r="F223" s="1" t="s">
        <v>46</v>
      </c>
      <c r="G223" s="1" t="s">
        <v>2647</v>
      </c>
      <c r="H223" s="1" t="s">
        <v>1395</v>
      </c>
      <c r="I223" s="1" t="s">
        <v>2648</v>
      </c>
      <c r="J223" s="1" t="s">
        <v>2649</v>
      </c>
      <c r="K223" s="1" t="s">
        <v>2650</v>
      </c>
      <c r="L223" s="9">
        <v>28634.0</v>
      </c>
      <c r="M223" s="8">
        <v>0.7960648148148148</v>
      </c>
      <c r="N223" s="6">
        <v>39.21</v>
      </c>
      <c r="O223" s="6">
        <v>45.0</v>
      </c>
      <c r="P223" s="14">
        <v>42256.0</v>
      </c>
      <c r="Q223" s="1" t="s">
        <v>308</v>
      </c>
      <c r="R223" s="1" t="s">
        <v>53</v>
      </c>
      <c r="S223" s="6">
        <v>2015.0</v>
      </c>
      <c r="T223" s="6">
        <v>9.0</v>
      </c>
      <c r="U223" s="1" t="s">
        <v>309</v>
      </c>
      <c r="V223" s="1" t="s">
        <v>310</v>
      </c>
      <c r="W223" s="6">
        <v>9.0</v>
      </c>
      <c r="X223" s="1" t="s">
        <v>278</v>
      </c>
      <c r="Y223" s="1" t="s">
        <v>279</v>
      </c>
      <c r="Z223" s="6">
        <v>1.88</v>
      </c>
      <c r="AA223" s="6">
        <v>67398.0</v>
      </c>
      <c r="AB223" s="10">
        <v>0.16</v>
      </c>
      <c r="AC223" s="1" t="s">
        <v>2651</v>
      </c>
      <c r="AD223" s="1" t="s">
        <v>2652</v>
      </c>
      <c r="AE223" s="1" t="s">
        <v>2653</v>
      </c>
      <c r="AF223" s="1" t="s">
        <v>2653</v>
      </c>
      <c r="AG223" s="1" t="s">
        <v>2653</v>
      </c>
      <c r="AH223" s="1" t="s">
        <v>223</v>
      </c>
      <c r="AI223" s="6">
        <v>17734.0</v>
      </c>
      <c r="AJ223" s="1" t="s">
        <v>224</v>
      </c>
      <c r="AK223" s="1" t="s">
        <v>2654</v>
      </c>
      <c r="AL223" s="1" t="s">
        <v>2655</v>
      </c>
      <c r="AM223" s="11" t="str">
        <f>VLOOKUP(N223,Sheet3!$B$4:$C$10,2,1)</f>
        <v>31-40</v>
      </c>
      <c r="AN223" s="13" t="str">
        <f>VLOOKUP(Z223,Sheet3!$F$4:$G$10,2,1)</f>
        <v>&lt; 5</v>
      </c>
      <c r="AO223" s="5" t="str">
        <f>VLOOKUP(AA223,Sheet3!$I$3:$J$16,2,1)</f>
        <v>60000-80000</v>
      </c>
      <c r="AP223" s="5" t="str">
        <f>VLOOKUP(AB223,Sheet3!$L$4:$M$14,2,1)</f>
        <v>16% - 20%</v>
      </c>
    </row>
    <row r="224">
      <c r="A224" s="6">
        <v>702034.0</v>
      </c>
      <c r="B224" s="1" t="s">
        <v>109</v>
      </c>
      <c r="C224" s="1" t="s">
        <v>2656</v>
      </c>
      <c r="D224" s="1" t="s">
        <v>403</v>
      </c>
      <c r="E224" s="1" t="s">
        <v>2657</v>
      </c>
      <c r="F224" s="1" t="s">
        <v>46</v>
      </c>
      <c r="G224" s="1" t="s">
        <v>2658</v>
      </c>
      <c r="H224" s="1" t="s">
        <v>1395</v>
      </c>
      <c r="I224" s="1" t="s">
        <v>2659</v>
      </c>
      <c r="J224" s="1" t="s">
        <v>2660</v>
      </c>
      <c r="K224" s="1" t="s">
        <v>2661</v>
      </c>
      <c r="L224" s="9">
        <v>22157.0</v>
      </c>
      <c r="M224" s="8">
        <v>0.15594907407407407</v>
      </c>
      <c r="N224" s="6">
        <v>56.95</v>
      </c>
      <c r="O224" s="6">
        <v>55.0</v>
      </c>
      <c r="P224" s="9">
        <v>38428.0</v>
      </c>
      <c r="Q224" s="1" t="s">
        <v>96</v>
      </c>
      <c r="R224" s="1" t="s">
        <v>76</v>
      </c>
      <c r="S224" s="6">
        <v>2005.0</v>
      </c>
      <c r="T224" s="6">
        <v>3.0</v>
      </c>
      <c r="U224" s="1" t="s">
        <v>97</v>
      </c>
      <c r="V224" s="1" t="s">
        <v>98</v>
      </c>
      <c r="W224" s="6">
        <v>17.0</v>
      </c>
      <c r="X224" s="1" t="s">
        <v>150</v>
      </c>
      <c r="Y224" s="1" t="s">
        <v>151</v>
      </c>
      <c r="Z224" s="6">
        <v>12.37</v>
      </c>
      <c r="AA224" s="6">
        <v>122784.0</v>
      </c>
      <c r="AB224" s="10">
        <v>0.24</v>
      </c>
      <c r="AC224" s="1" t="s">
        <v>2662</v>
      </c>
      <c r="AD224" s="1" t="s">
        <v>2663</v>
      </c>
      <c r="AE224" s="1" t="s">
        <v>2664</v>
      </c>
      <c r="AF224" s="1" t="s">
        <v>799</v>
      </c>
      <c r="AG224" s="1" t="s">
        <v>2664</v>
      </c>
      <c r="AH224" s="1" t="s">
        <v>356</v>
      </c>
      <c r="AI224" s="6">
        <v>13078.0</v>
      </c>
      <c r="AJ224" s="1" t="s">
        <v>224</v>
      </c>
      <c r="AK224" s="1" t="s">
        <v>2665</v>
      </c>
      <c r="AL224" s="1" t="s">
        <v>2666</v>
      </c>
      <c r="AM224" s="11" t="str">
        <f>VLOOKUP(N224,Sheet3!$B$4:$C$10,2,1)</f>
        <v>51-60</v>
      </c>
      <c r="AN224" s="12" t="str">
        <f>VLOOKUP(Z224,Sheet3!$F$4:$G$10,2,1)</f>
        <v>11-20</v>
      </c>
      <c r="AO224" s="5" t="str">
        <f>VLOOKUP(AA224,Sheet3!$I$3:$J$16,2,1)</f>
        <v>120000-140000</v>
      </c>
      <c r="AP224" s="5" t="str">
        <f>VLOOKUP(AB224,Sheet3!$L$4:$M$14,2,1)</f>
        <v>21% - 25%</v>
      </c>
    </row>
    <row r="225">
      <c r="A225" s="6">
        <v>586207.0</v>
      </c>
      <c r="B225" s="1" t="s">
        <v>255</v>
      </c>
      <c r="C225" s="1" t="s">
        <v>2667</v>
      </c>
      <c r="D225" s="1" t="s">
        <v>861</v>
      </c>
      <c r="E225" s="1" t="s">
        <v>2668</v>
      </c>
      <c r="F225" s="1" t="s">
        <v>70</v>
      </c>
      <c r="G225" s="1" t="s">
        <v>2669</v>
      </c>
      <c r="H225" s="1" t="s">
        <v>1395</v>
      </c>
      <c r="I225" s="1" t="s">
        <v>2670</v>
      </c>
      <c r="J225" s="1" t="s">
        <v>2671</v>
      </c>
      <c r="K225" s="1" t="s">
        <v>2278</v>
      </c>
      <c r="L225" s="9">
        <v>31589.0</v>
      </c>
      <c r="M225" s="8">
        <v>0.11493055555555555</v>
      </c>
      <c r="N225" s="6">
        <v>31.11</v>
      </c>
      <c r="O225" s="6">
        <v>72.0</v>
      </c>
      <c r="P225" s="9">
        <v>40988.0</v>
      </c>
      <c r="Q225" s="1" t="s">
        <v>96</v>
      </c>
      <c r="R225" s="1" t="s">
        <v>76</v>
      </c>
      <c r="S225" s="6">
        <v>2012.0</v>
      </c>
      <c r="T225" s="6">
        <v>3.0</v>
      </c>
      <c r="U225" s="1" t="s">
        <v>97</v>
      </c>
      <c r="V225" s="1" t="s">
        <v>98</v>
      </c>
      <c r="W225" s="6">
        <v>20.0</v>
      </c>
      <c r="X225" s="1" t="s">
        <v>79</v>
      </c>
      <c r="Y225" s="1" t="s">
        <v>80</v>
      </c>
      <c r="Z225" s="6">
        <v>5.36</v>
      </c>
      <c r="AA225" s="6">
        <v>147516.0</v>
      </c>
      <c r="AB225" s="10">
        <v>0.09</v>
      </c>
      <c r="AC225" s="1" t="s">
        <v>2672</v>
      </c>
      <c r="AD225" s="1" t="s">
        <v>2673</v>
      </c>
      <c r="AE225" s="1" t="s">
        <v>2674</v>
      </c>
      <c r="AF225" s="1" t="s">
        <v>84</v>
      </c>
      <c r="AG225" s="1" t="s">
        <v>2674</v>
      </c>
      <c r="AH225" s="1" t="s">
        <v>488</v>
      </c>
      <c r="AI225" s="6">
        <v>34753.0</v>
      </c>
      <c r="AJ225" s="1" t="s">
        <v>106</v>
      </c>
      <c r="AK225" s="1" t="s">
        <v>2675</v>
      </c>
      <c r="AL225" s="1" t="s">
        <v>2676</v>
      </c>
      <c r="AM225" s="11" t="str">
        <f>VLOOKUP(N225,Sheet3!$B$4:$C$10,2,1)</f>
        <v>31-40</v>
      </c>
      <c r="AN225" s="12" t="str">
        <f>VLOOKUP(Z225,Sheet3!$F$4:$G$10,2,1)</f>
        <v>5-10</v>
      </c>
      <c r="AO225" s="5" t="str">
        <f>VLOOKUP(AA225,Sheet3!$I$3:$J$16,2,1)</f>
        <v>140000-160000</v>
      </c>
      <c r="AP225" s="5" t="str">
        <f>VLOOKUP(AB225,Sheet3!$L$4:$M$14,2,1)</f>
        <v>5% - 10%</v>
      </c>
    </row>
    <row r="226">
      <c r="A226" s="6">
        <v>835545.0</v>
      </c>
      <c r="B226" s="1" t="s">
        <v>42</v>
      </c>
      <c r="C226" s="1" t="s">
        <v>2677</v>
      </c>
      <c r="D226" s="1" t="s">
        <v>554</v>
      </c>
      <c r="E226" s="1" t="s">
        <v>2678</v>
      </c>
      <c r="F226" s="1" t="s">
        <v>46</v>
      </c>
      <c r="G226" s="1" t="s">
        <v>2679</v>
      </c>
      <c r="H226" s="1" t="s">
        <v>1395</v>
      </c>
      <c r="I226" s="1" t="s">
        <v>2680</v>
      </c>
      <c r="J226" s="1" t="s">
        <v>2681</v>
      </c>
      <c r="K226" s="1" t="s">
        <v>2682</v>
      </c>
      <c r="L226" s="9">
        <v>21294.0</v>
      </c>
      <c r="M226" s="8">
        <v>0.7414699074074074</v>
      </c>
      <c r="N226" s="6">
        <v>59.32</v>
      </c>
      <c r="O226" s="6">
        <v>40.0</v>
      </c>
      <c r="P226" s="9">
        <v>30450.0</v>
      </c>
      <c r="Q226" s="1" t="s">
        <v>75</v>
      </c>
      <c r="R226" s="1" t="s">
        <v>76</v>
      </c>
      <c r="S226" s="6">
        <v>1983.0</v>
      </c>
      <c r="T226" s="6">
        <v>5.0</v>
      </c>
      <c r="U226" s="1" t="s">
        <v>294</v>
      </c>
      <c r="V226" s="1" t="s">
        <v>294</v>
      </c>
      <c r="W226" s="6">
        <v>14.0</v>
      </c>
      <c r="X226" s="1" t="s">
        <v>56</v>
      </c>
      <c r="Y226" s="1" t="s">
        <v>57</v>
      </c>
      <c r="Z226" s="6">
        <v>34.23</v>
      </c>
      <c r="AA226" s="6">
        <v>90653.0</v>
      </c>
      <c r="AB226" s="10">
        <v>0.19</v>
      </c>
      <c r="AC226" s="1" t="s">
        <v>2683</v>
      </c>
      <c r="AD226" s="1" t="s">
        <v>2684</v>
      </c>
      <c r="AE226" s="1" t="s">
        <v>2685</v>
      </c>
      <c r="AF226" s="1" t="s">
        <v>2686</v>
      </c>
      <c r="AG226" s="1" t="s">
        <v>2685</v>
      </c>
      <c r="AH226" s="1" t="s">
        <v>223</v>
      </c>
      <c r="AI226" s="6">
        <v>16440.0</v>
      </c>
      <c r="AJ226" s="1" t="s">
        <v>224</v>
      </c>
      <c r="AK226" s="1" t="s">
        <v>2687</v>
      </c>
      <c r="AL226" s="1" t="s">
        <v>2688</v>
      </c>
      <c r="AM226" s="11" t="str">
        <f>VLOOKUP(N226,Sheet3!$B$4:$C$10,2,1)</f>
        <v>51-60</v>
      </c>
      <c r="AN226" s="13" t="str">
        <f>VLOOKUP(Z226,Sheet3!$F$4:$G$10,2,1)</f>
        <v>31-40</v>
      </c>
      <c r="AO226" s="5" t="str">
        <f>VLOOKUP(AA226,Sheet3!$I$3:$J$16,2,1)</f>
        <v>80000-100000</v>
      </c>
      <c r="AP226" s="5" t="str">
        <f>VLOOKUP(AB226,Sheet3!$L$4:$M$14,2,1)</f>
        <v>16% - 20%</v>
      </c>
    </row>
    <row r="227">
      <c r="A227" s="6">
        <v>326407.0</v>
      </c>
      <c r="B227" s="1" t="s">
        <v>109</v>
      </c>
      <c r="C227" s="1" t="s">
        <v>2689</v>
      </c>
      <c r="D227" s="1" t="s">
        <v>46</v>
      </c>
      <c r="E227" s="1" t="s">
        <v>2690</v>
      </c>
      <c r="F227" s="1" t="s">
        <v>46</v>
      </c>
      <c r="G227" s="1" t="s">
        <v>2691</v>
      </c>
      <c r="H227" s="1" t="s">
        <v>1395</v>
      </c>
      <c r="I227" s="1" t="s">
        <v>2692</v>
      </c>
      <c r="J227" s="1" t="s">
        <v>2693</v>
      </c>
      <c r="K227" s="1" t="s">
        <v>684</v>
      </c>
      <c r="L227" s="9">
        <v>32889.0</v>
      </c>
      <c r="M227" s="8">
        <v>0.711099537037037</v>
      </c>
      <c r="N227" s="6">
        <v>27.55</v>
      </c>
      <c r="O227" s="6">
        <v>50.0</v>
      </c>
      <c r="P227" s="9">
        <v>40829.0</v>
      </c>
      <c r="Q227" s="1" t="s">
        <v>52</v>
      </c>
      <c r="R227" s="1" t="s">
        <v>53</v>
      </c>
      <c r="S227" s="6">
        <v>2011.0</v>
      </c>
      <c r="T227" s="6">
        <v>10.0</v>
      </c>
      <c r="U227" s="1" t="s">
        <v>133</v>
      </c>
      <c r="V227" s="1" t="s">
        <v>134</v>
      </c>
      <c r="W227" s="6">
        <v>13.0</v>
      </c>
      <c r="X227" s="1" t="s">
        <v>150</v>
      </c>
      <c r="Y227" s="1" t="s">
        <v>151</v>
      </c>
      <c r="Z227" s="6">
        <v>5.79</v>
      </c>
      <c r="AA227" s="6">
        <v>199238.0</v>
      </c>
      <c r="AB227" s="10">
        <v>0.28</v>
      </c>
      <c r="AC227" s="1" t="s">
        <v>2694</v>
      </c>
      <c r="AD227" s="1" t="s">
        <v>2695</v>
      </c>
      <c r="AE227" s="1" t="s">
        <v>1459</v>
      </c>
      <c r="AF227" s="1" t="s">
        <v>2696</v>
      </c>
      <c r="AG227" s="1" t="s">
        <v>1459</v>
      </c>
      <c r="AH227" s="1" t="s">
        <v>85</v>
      </c>
      <c r="AI227" s="6">
        <v>49436.0</v>
      </c>
      <c r="AJ227" s="1" t="s">
        <v>86</v>
      </c>
      <c r="AK227" s="1" t="s">
        <v>2697</v>
      </c>
      <c r="AL227" s="1" t="s">
        <v>2698</v>
      </c>
      <c r="AM227" s="11" t="str">
        <f>VLOOKUP(N227,Sheet3!$B$4:$C$10,2,1)</f>
        <v>21-30</v>
      </c>
      <c r="AN227" s="12" t="str">
        <f>VLOOKUP(Z227,Sheet3!$F$4:$G$10,2,1)</f>
        <v>5-10</v>
      </c>
      <c r="AO227" s="5" t="str">
        <f>VLOOKUP(AA227,Sheet3!$I$3:$J$16,2,1)</f>
        <v>180000-200000</v>
      </c>
      <c r="AP227" s="5" t="str">
        <f>VLOOKUP(AB227,Sheet3!$L$4:$M$14,2,1)</f>
        <v>26% - 30%</v>
      </c>
    </row>
    <row r="228">
      <c r="A228" s="6">
        <v>414967.0</v>
      </c>
      <c r="B228" s="1" t="s">
        <v>109</v>
      </c>
      <c r="C228" s="1" t="s">
        <v>2699</v>
      </c>
      <c r="D228" s="1" t="s">
        <v>403</v>
      </c>
      <c r="E228" s="1" t="s">
        <v>1382</v>
      </c>
      <c r="F228" s="1" t="s">
        <v>46</v>
      </c>
      <c r="G228" s="1" t="s">
        <v>2700</v>
      </c>
      <c r="H228" s="1" t="s">
        <v>1395</v>
      </c>
      <c r="I228" s="1" t="s">
        <v>2701</v>
      </c>
      <c r="J228" s="1" t="s">
        <v>2702</v>
      </c>
      <c r="K228" s="1" t="s">
        <v>2703</v>
      </c>
      <c r="L228" s="9">
        <v>29219.0</v>
      </c>
      <c r="M228" s="8">
        <v>0.38050925925925927</v>
      </c>
      <c r="N228" s="6">
        <v>37.6</v>
      </c>
      <c r="O228" s="6">
        <v>41.0</v>
      </c>
      <c r="P228" s="9">
        <v>38151.0</v>
      </c>
      <c r="Q228" s="1" t="s">
        <v>75</v>
      </c>
      <c r="R228" s="1" t="s">
        <v>76</v>
      </c>
      <c r="S228" s="6">
        <v>2004.0</v>
      </c>
      <c r="T228" s="6">
        <v>6.0</v>
      </c>
      <c r="U228" s="1" t="s">
        <v>324</v>
      </c>
      <c r="V228" s="1" t="s">
        <v>325</v>
      </c>
      <c r="W228" s="6">
        <v>13.0</v>
      </c>
      <c r="X228" s="1" t="s">
        <v>534</v>
      </c>
      <c r="Y228" s="1" t="s">
        <v>535</v>
      </c>
      <c r="Z228" s="6">
        <v>13.13</v>
      </c>
      <c r="AA228" s="6">
        <v>89490.0</v>
      </c>
      <c r="AB228" s="10">
        <v>0.16</v>
      </c>
      <c r="AC228" s="1" t="s">
        <v>2704</v>
      </c>
      <c r="AD228" s="1" t="s">
        <v>2705</v>
      </c>
      <c r="AE228" s="1" t="s">
        <v>2706</v>
      </c>
      <c r="AF228" s="1" t="s">
        <v>2707</v>
      </c>
      <c r="AG228" s="1" t="s">
        <v>2706</v>
      </c>
      <c r="AH228" s="1" t="s">
        <v>223</v>
      </c>
      <c r="AI228" s="6">
        <v>17748.0</v>
      </c>
      <c r="AJ228" s="1" t="s">
        <v>224</v>
      </c>
      <c r="AK228" s="1" t="s">
        <v>2708</v>
      </c>
      <c r="AL228" s="1" t="s">
        <v>2709</v>
      </c>
      <c r="AM228" s="11" t="str">
        <f>VLOOKUP(N228,Sheet3!$B$4:$C$10,2,1)</f>
        <v>31-40</v>
      </c>
      <c r="AN228" s="12" t="str">
        <f>VLOOKUP(Z228,Sheet3!$F$4:$G$10,2,1)</f>
        <v>11-20</v>
      </c>
      <c r="AO228" s="5" t="str">
        <f>VLOOKUP(AA228,Sheet3!$I$3:$J$16,2,1)</f>
        <v>80000-100000</v>
      </c>
      <c r="AP228" s="5" t="str">
        <f>VLOOKUP(AB228,Sheet3!$L$4:$M$14,2,1)</f>
        <v>16% - 20%</v>
      </c>
    </row>
    <row r="229">
      <c r="A229" s="6">
        <v>410300.0</v>
      </c>
      <c r="B229" s="1" t="s">
        <v>109</v>
      </c>
      <c r="C229" s="1" t="s">
        <v>2710</v>
      </c>
      <c r="D229" s="1" t="s">
        <v>389</v>
      </c>
      <c r="E229" s="1" t="s">
        <v>2711</v>
      </c>
      <c r="F229" s="1" t="s">
        <v>46</v>
      </c>
      <c r="G229" s="1" t="s">
        <v>2712</v>
      </c>
      <c r="H229" s="1" t="s">
        <v>1395</v>
      </c>
      <c r="I229" s="1" t="s">
        <v>2713</v>
      </c>
      <c r="J229" s="1" t="s">
        <v>2714</v>
      </c>
      <c r="K229" s="1" t="s">
        <v>2715</v>
      </c>
      <c r="L229" s="9">
        <v>27540.0</v>
      </c>
      <c r="M229" s="8">
        <v>0.2577314814814815</v>
      </c>
      <c r="N229" s="6">
        <v>42.2</v>
      </c>
      <c r="O229" s="6">
        <v>40.0</v>
      </c>
      <c r="P229" s="9">
        <v>40598.0</v>
      </c>
      <c r="Q229" s="1" t="s">
        <v>96</v>
      </c>
      <c r="R229" s="1" t="s">
        <v>76</v>
      </c>
      <c r="S229" s="6">
        <v>2011.0</v>
      </c>
      <c r="T229" s="6">
        <v>2.0</v>
      </c>
      <c r="U229" s="1" t="s">
        <v>117</v>
      </c>
      <c r="V229" s="1" t="s">
        <v>118</v>
      </c>
      <c r="W229" s="6">
        <v>24.0</v>
      </c>
      <c r="X229" s="1" t="s">
        <v>150</v>
      </c>
      <c r="Y229" s="1" t="s">
        <v>151</v>
      </c>
      <c r="Z229" s="6">
        <v>6.43</v>
      </c>
      <c r="AA229" s="6">
        <v>160716.0</v>
      </c>
      <c r="AB229" s="10">
        <v>0.2</v>
      </c>
      <c r="AC229" s="1" t="s">
        <v>2716</v>
      </c>
      <c r="AD229" s="1" t="s">
        <v>2717</v>
      </c>
      <c r="AE229" s="1" t="s">
        <v>2718</v>
      </c>
      <c r="AF229" s="1" t="s">
        <v>2719</v>
      </c>
      <c r="AG229" s="1" t="s">
        <v>2718</v>
      </c>
      <c r="AH229" s="1" t="s">
        <v>475</v>
      </c>
      <c r="AI229" s="6">
        <v>59062.0</v>
      </c>
      <c r="AJ229" s="1" t="s">
        <v>63</v>
      </c>
      <c r="AK229" s="1" t="s">
        <v>2720</v>
      </c>
      <c r="AL229" s="1" t="s">
        <v>2721</v>
      </c>
      <c r="AM229" s="11" t="str">
        <f>VLOOKUP(N229,Sheet3!$B$4:$C$10,2,1)</f>
        <v>41-50</v>
      </c>
      <c r="AN229" s="12" t="str">
        <f>VLOOKUP(Z229,Sheet3!$F$4:$G$10,2,1)</f>
        <v>5-10</v>
      </c>
      <c r="AO229" s="5" t="str">
        <f>VLOOKUP(AA229,Sheet3!$I$3:$J$16,2,1)</f>
        <v>160000-180000</v>
      </c>
      <c r="AP229" s="5" t="str">
        <f>VLOOKUP(AB229,Sheet3!$L$4:$M$14,2,1)</f>
        <v>16% - 20%</v>
      </c>
    </row>
    <row r="230">
      <c r="A230" s="6">
        <v>252371.0</v>
      </c>
      <c r="B230" s="1" t="s">
        <v>66</v>
      </c>
      <c r="C230" s="1" t="s">
        <v>2722</v>
      </c>
      <c r="D230" s="1" t="s">
        <v>389</v>
      </c>
      <c r="E230" s="1" t="s">
        <v>2723</v>
      </c>
      <c r="F230" s="1" t="s">
        <v>70</v>
      </c>
      <c r="G230" s="1" t="s">
        <v>2724</v>
      </c>
      <c r="H230" s="1" t="s">
        <v>1395</v>
      </c>
      <c r="I230" s="1" t="s">
        <v>2725</v>
      </c>
      <c r="J230" s="1" t="s">
        <v>2726</v>
      </c>
      <c r="K230" s="1" t="s">
        <v>2727</v>
      </c>
      <c r="L230" s="9">
        <v>31243.0</v>
      </c>
      <c r="M230" s="8">
        <v>0.7373958333333334</v>
      </c>
      <c r="N230" s="6">
        <v>32.06</v>
      </c>
      <c r="O230" s="6">
        <v>61.0</v>
      </c>
      <c r="P230" s="9">
        <v>40408.0</v>
      </c>
      <c r="Q230" s="1" t="s">
        <v>308</v>
      </c>
      <c r="R230" s="1" t="s">
        <v>53</v>
      </c>
      <c r="S230" s="6">
        <v>2010.0</v>
      </c>
      <c r="T230" s="6">
        <v>8.0</v>
      </c>
      <c r="U230" s="1" t="s">
        <v>433</v>
      </c>
      <c r="V230" s="1" t="s">
        <v>434</v>
      </c>
      <c r="W230" s="6">
        <v>18.0</v>
      </c>
      <c r="X230" s="1" t="s">
        <v>278</v>
      </c>
      <c r="Y230" s="1" t="s">
        <v>279</v>
      </c>
      <c r="Z230" s="6">
        <v>6.95</v>
      </c>
      <c r="AA230" s="6">
        <v>191093.0</v>
      </c>
      <c r="AB230" s="10">
        <v>0.04</v>
      </c>
      <c r="AC230" s="1" t="s">
        <v>2728</v>
      </c>
      <c r="AD230" s="1" t="s">
        <v>2729</v>
      </c>
      <c r="AE230" s="1" t="s">
        <v>2730</v>
      </c>
      <c r="AF230" s="1" t="s">
        <v>2731</v>
      </c>
      <c r="AG230" s="1" t="s">
        <v>2730</v>
      </c>
      <c r="AH230" s="1" t="s">
        <v>1605</v>
      </c>
      <c r="AI230" s="6">
        <v>58239.0</v>
      </c>
      <c r="AJ230" s="1" t="s">
        <v>86</v>
      </c>
      <c r="AK230" s="1" t="s">
        <v>2732</v>
      </c>
      <c r="AL230" s="1" t="s">
        <v>2733</v>
      </c>
      <c r="AM230" s="11" t="str">
        <f>VLOOKUP(N230,Sheet3!$B$4:$C$10,2,1)</f>
        <v>31-40</v>
      </c>
      <c r="AN230" s="12" t="str">
        <f>VLOOKUP(Z230,Sheet3!$F$4:$G$10,2,1)</f>
        <v>5-10</v>
      </c>
      <c r="AO230" s="5" t="str">
        <f>VLOOKUP(AA230,Sheet3!$I$3:$J$16,2,1)</f>
        <v>180000-200000</v>
      </c>
      <c r="AP230" s="5" t="str">
        <f>VLOOKUP(AB230,Sheet3!$L$4:$M$14,2,1)</f>
        <v>&lt; 5%</v>
      </c>
    </row>
    <row r="231">
      <c r="A231" s="6">
        <v>297502.0</v>
      </c>
      <c r="B231" s="1" t="s">
        <v>42</v>
      </c>
      <c r="C231" s="1" t="s">
        <v>2734</v>
      </c>
      <c r="D231" s="1" t="s">
        <v>360</v>
      </c>
      <c r="E231" s="1" t="s">
        <v>602</v>
      </c>
      <c r="F231" s="1" t="s">
        <v>46</v>
      </c>
      <c r="G231" s="1" t="s">
        <v>2735</v>
      </c>
      <c r="H231" s="1" t="s">
        <v>1395</v>
      </c>
      <c r="I231" s="1" t="s">
        <v>2736</v>
      </c>
      <c r="J231" s="1" t="s">
        <v>2737</v>
      </c>
      <c r="K231" s="1" t="s">
        <v>1252</v>
      </c>
      <c r="L231" s="9">
        <v>27467.0</v>
      </c>
      <c r="M231" s="8">
        <v>0.5679861111111111</v>
      </c>
      <c r="N231" s="6">
        <v>42.4</v>
      </c>
      <c r="O231" s="6">
        <v>45.0</v>
      </c>
      <c r="P231" s="14">
        <v>39149.0</v>
      </c>
      <c r="Q231" s="1" t="s">
        <v>96</v>
      </c>
      <c r="R231" s="1" t="s">
        <v>76</v>
      </c>
      <c r="S231" s="6">
        <v>2007.0</v>
      </c>
      <c r="T231" s="6">
        <v>3.0</v>
      </c>
      <c r="U231" s="1" t="s">
        <v>97</v>
      </c>
      <c r="V231" s="1" t="s">
        <v>98</v>
      </c>
      <c r="W231" s="6">
        <v>8.0</v>
      </c>
      <c r="X231" s="1" t="s">
        <v>150</v>
      </c>
      <c r="Y231" s="1" t="s">
        <v>151</v>
      </c>
      <c r="Z231" s="6">
        <v>10.4</v>
      </c>
      <c r="AA231" s="6">
        <v>157805.0</v>
      </c>
      <c r="AB231" s="10">
        <v>0.27</v>
      </c>
      <c r="AC231" s="1" t="s">
        <v>2738</v>
      </c>
      <c r="AD231" s="1" t="s">
        <v>2739</v>
      </c>
      <c r="AE231" s="1" t="s">
        <v>2740</v>
      </c>
      <c r="AF231" s="1" t="s">
        <v>2741</v>
      </c>
      <c r="AG231" s="1" t="s">
        <v>2740</v>
      </c>
      <c r="AH231" s="1" t="s">
        <v>372</v>
      </c>
      <c r="AI231" s="6">
        <v>68844.0</v>
      </c>
      <c r="AJ231" s="1" t="s">
        <v>86</v>
      </c>
      <c r="AK231" s="1" t="s">
        <v>2742</v>
      </c>
      <c r="AL231" s="1" t="s">
        <v>2743</v>
      </c>
      <c r="AM231" s="11" t="str">
        <f>VLOOKUP(N231,Sheet3!$B$4:$C$10,2,1)</f>
        <v>41-50</v>
      </c>
      <c r="AN231" s="12" t="str">
        <f>VLOOKUP(Z231,Sheet3!$F$4:$G$10,2,1)</f>
        <v>5-10</v>
      </c>
      <c r="AO231" s="5" t="str">
        <f>VLOOKUP(AA231,Sheet3!$I$3:$J$16,2,1)</f>
        <v>140000-160000</v>
      </c>
      <c r="AP231" s="5" t="str">
        <f>VLOOKUP(AB231,Sheet3!$L$4:$M$14,2,1)</f>
        <v>26% - 30%</v>
      </c>
    </row>
    <row r="232">
      <c r="A232" s="6">
        <v>725857.0</v>
      </c>
      <c r="B232" s="1" t="s">
        <v>42</v>
      </c>
      <c r="C232" s="1" t="s">
        <v>779</v>
      </c>
      <c r="D232" s="1" t="s">
        <v>360</v>
      </c>
      <c r="E232" s="1" t="s">
        <v>2744</v>
      </c>
      <c r="F232" s="1" t="s">
        <v>46</v>
      </c>
      <c r="G232" s="1" t="s">
        <v>2745</v>
      </c>
      <c r="H232" s="1" t="s">
        <v>1395</v>
      </c>
      <c r="I232" s="1" t="s">
        <v>2746</v>
      </c>
      <c r="J232" s="1" t="s">
        <v>2747</v>
      </c>
      <c r="K232" s="1" t="s">
        <v>1181</v>
      </c>
      <c r="L232" s="14">
        <v>22588.0</v>
      </c>
      <c r="M232" s="8">
        <v>0.6039467592592592</v>
      </c>
      <c r="N232" s="6">
        <v>55.77</v>
      </c>
      <c r="O232" s="6">
        <v>53.0</v>
      </c>
      <c r="P232" s="9">
        <v>41850.0</v>
      </c>
      <c r="Q232" s="1" t="s">
        <v>308</v>
      </c>
      <c r="R232" s="1" t="s">
        <v>53</v>
      </c>
      <c r="S232" s="6">
        <v>2014.0</v>
      </c>
      <c r="T232" s="6">
        <v>7.0</v>
      </c>
      <c r="U232" s="1" t="s">
        <v>366</v>
      </c>
      <c r="V232" s="1" t="s">
        <v>367</v>
      </c>
      <c r="W232" s="6">
        <v>30.0</v>
      </c>
      <c r="X232" s="1" t="s">
        <v>278</v>
      </c>
      <c r="Y232" s="1" t="s">
        <v>279</v>
      </c>
      <c r="Z232" s="6">
        <v>3.0</v>
      </c>
      <c r="AA232" s="6">
        <v>114142.0</v>
      </c>
      <c r="AB232" s="10">
        <v>0.08</v>
      </c>
      <c r="AC232" s="1" t="s">
        <v>2748</v>
      </c>
      <c r="AD232" s="1" t="s">
        <v>2749</v>
      </c>
      <c r="AE232" s="1" t="s">
        <v>2750</v>
      </c>
      <c r="AF232" s="1" t="s">
        <v>2750</v>
      </c>
      <c r="AG232" s="1" t="s">
        <v>2750</v>
      </c>
      <c r="AH232" s="1" t="s">
        <v>893</v>
      </c>
      <c r="AI232" s="6">
        <v>27701.0</v>
      </c>
      <c r="AJ232" s="1" t="s">
        <v>106</v>
      </c>
      <c r="AK232" s="1" t="s">
        <v>2751</v>
      </c>
      <c r="AL232" s="1" t="s">
        <v>2752</v>
      </c>
      <c r="AM232" s="11" t="str">
        <f>VLOOKUP(N232,Sheet3!$B$4:$C$10,2,1)</f>
        <v>51-60</v>
      </c>
      <c r="AN232" s="13" t="str">
        <f>VLOOKUP(Z232,Sheet3!$F$4:$G$10,2,1)</f>
        <v>&lt; 5</v>
      </c>
      <c r="AO232" s="5" t="str">
        <f>VLOOKUP(AA232,Sheet3!$I$3:$J$16,2,1)</f>
        <v>100000-120000</v>
      </c>
      <c r="AP232" s="5" t="str">
        <f>VLOOKUP(AB232,Sheet3!$L$4:$M$14,2,1)</f>
        <v>5% - 10%</v>
      </c>
    </row>
    <row r="233">
      <c r="A233" s="6">
        <v>805103.0</v>
      </c>
      <c r="B233" s="1" t="s">
        <v>66</v>
      </c>
      <c r="C233" s="1" t="s">
        <v>2753</v>
      </c>
      <c r="D233" s="1" t="s">
        <v>111</v>
      </c>
      <c r="E233" s="1" t="s">
        <v>1312</v>
      </c>
      <c r="F233" s="1" t="s">
        <v>70</v>
      </c>
      <c r="G233" s="1" t="s">
        <v>2754</v>
      </c>
      <c r="H233" s="1" t="s">
        <v>1395</v>
      </c>
      <c r="I233" s="1" t="s">
        <v>2755</v>
      </c>
      <c r="J233" s="1" t="s">
        <v>2756</v>
      </c>
      <c r="K233" s="1" t="s">
        <v>1004</v>
      </c>
      <c r="L233" s="14">
        <v>34156.0</v>
      </c>
      <c r="M233" s="8">
        <v>0.1943287037037037</v>
      </c>
      <c r="N233" s="6">
        <v>24.08</v>
      </c>
      <c r="O233" s="6">
        <v>90.0</v>
      </c>
      <c r="P233" s="9">
        <v>41896.0</v>
      </c>
      <c r="Q233" s="1" t="s">
        <v>308</v>
      </c>
      <c r="R233" s="1" t="s">
        <v>53</v>
      </c>
      <c r="S233" s="6">
        <v>2014.0</v>
      </c>
      <c r="T233" s="6">
        <v>9.0</v>
      </c>
      <c r="U233" s="1" t="s">
        <v>309</v>
      </c>
      <c r="V233" s="1" t="s">
        <v>310</v>
      </c>
      <c r="W233" s="6">
        <v>14.0</v>
      </c>
      <c r="X233" s="1" t="s">
        <v>534</v>
      </c>
      <c r="Y233" s="1" t="s">
        <v>535</v>
      </c>
      <c r="Z233" s="6">
        <v>2.87</v>
      </c>
      <c r="AA233" s="6">
        <v>105706.0</v>
      </c>
      <c r="AB233" s="10">
        <v>0.23</v>
      </c>
      <c r="AC233" s="1" t="s">
        <v>2757</v>
      </c>
      <c r="AD233" s="1" t="s">
        <v>2758</v>
      </c>
      <c r="AE233" s="1" t="s">
        <v>2759</v>
      </c>
      <c r="AF233" s="1" t="s">
        <v>2686</v>
      </c>
      <c r="AG233" s="1" t="s">
        <v>2759</v>
      </c>
      <c r="AH233" s="1" t="s">
        <v>974</v>
      </c>
      <c r="AI233" s="6">
        <v>44833.0</v>
      </c>
      <c r="AJ233" s="1" t="s">
        <v>86</v>
      </c>
      <c r="AK233" s="1" t="s">
        <v>2760</v>
      </c>
      <c r="AL233" s="1" t="s">
        <v>2761</v>
      </c>
      <c r="AM233" s="11" t="str">
        <f>VLOOKUP(N233,Sheet3!$B$4:$C$10,2,1)</f>
        <v>21-30</v>
      </c>
      <c r="AN233" s="13" t="str">
        <f>VLOOKUP(Z233,Sheet3!$F$4:$G$10,2,1)</f>
        <v>&lt; 5</v>
      </c>
      <c r="AO233" s="5" t="str">
        <f>VLOOKUP(AA233,Sheet3!$I$3:$J$16,2,1)</f>
        <v>100000-120000</v>
      </c>
      <c r="AP233" s="5" t="str">
        <f>VLOOKUP(AB233,Sheet3!$L$4:$M$14,2,1)</f>
        <v>21% - 25%</v>
      </c>
    </row>
    <row r="234">
      <c r="A234" s="6">
        <v>641096.0</v>
      </c>
      <c r="B234" s="1" t="s">
        <v>109</v>
      </c>
      <c r="C234" s="1" t="s">
        <v>2762</v>
      </c>
      <c r="D234" s="1" t="s">
        <v>111</v>
      </c>
      <c r="E234" s="1" t="s">
        <v>2763</v>
      </c>
      <c r="F234" s="1" t="s">
        <v>46</v>
      </c>
      <c r="G234" s="1" t="s">
        <v>2764</v>
      </c>
      <c r="H234" s="1" t="s">
        <v>1395</v>
      </c>
      <c r="I234" s="1" t="s">
        <v>2765</v>
      </c>
      <c r="J234" s="1" t="s">
        <v>2766</v>
      </c>
      <c r="K234" s="1" t="s">
        <v>2767</v>
      </c>
      <c r="L234" s="14">
        <v>32632.0</v>
      </c>
      <c r="M234" s="8">
        <v>0.9884606481481482</v>
      </c>
      <c r="N234" s="6">
        <v>28.25</v>
      </c>
      <c r="O234" s="6">
        <v>59.0</v>
      </c>
      <c r="P234" s="14">
        <v>42829.0</v>
      </c>
      <c r="Q234" s="1" t="s">
        <v>75</v>
      </c>
      <c r="R234" s="1" t="s">
        <v>76</v>
      </c>
      <c r="S234" s="6">
        <v>2017.0</v>
      </c>
      <c r="T234" s="6">
        <v>4.0</v>
      </c>
      <c r="U234" s="1" t="s">
        <v>77</v>
      </c>
      <c r="V234" s="1" t="s">
        <v>78</v>
      </c>
      <c r="W234" s="6">
        <v>4.0</v>
      </c>
      <c r="X234" s="1" t="s">
        <v>79</v>
      </c>
      <c r="Y234" s="1" t="s">
        <v>80</v>
      </c>
      <c r="Z234" s="6">
        <v>0.32</v>
      </c>
      <c r="AA234" s="6">
        <v>179286.0</v>
      </c>
      <c r="AB234" s="10">
        <v>0.03</v>
      </c>
      <c r="AC234" s="1" t="s">
        <v>2768</v>
      </c>
      <c r="AD234" s="1" t="s">
        <v>2769</v>
      </c>
      <c r="AE234" s="1" t="s">
        <v>297</v>
      </c>
      <c r="AF234" s="1" t="s">
        <v>2770</v>
      </c>
      <c r="AG234" s="1" t="s">
        <v>297</v>
      </c>
      <c r="AH234" s="1" t="s">
        <v>299</v>
      </c>
      <c r="AI234" s="6">
        <v>73173.0</v>
      </c>
      <c r="AJ234" s="1" t="s">
        <v>106</v>
      </c>
      <c r="AK234" s="1" t="s">
        <v>2771</v>
      </c>
      <c r="AL234" s="1" t="s">
        <v>2772</v>
      </c>
      <c r="AM234" s="11" t="str">
        <f>VLOOKUP(N234,Sheet3!$B$4:$C$10,2,1)</f>
        <v>21-30</v>
      </c>
      <c r="AN234" s="13" t="str">
        <f>VLOOKUP(Z234,Sheet3!$F$4:$G$10,2,1)</f>
        <v>&lt; 5</v>
      </c>
      <c r="AO234" s="5" t="str">
        <f>VLOOKUP(AA234,Sheet3!$I$3:$J$16,2,1)</f>
        <v>160000-180000</v>
      </c>
      <c r="AP234" s="5" t="str">
        <f>VLOOKUP(AB234,Sheet3!$L$4:$M$14,2,1)</f>
        <v>&lt; 5%</v>
      </c>
    </row>
    <row r="235">
      <c r="A235" s="6">
        <v>856369.0</v>
      </c>
      <c r="B235" s="1" t="s">
        <v>66</v>
      </c>
      <c r="C235" s="1" t="s">
        <v>2773</v>
      </c>
      <c r="D235" s="1" t="s">
        <v>70</v>
      </c>
      <c r="E235" s="1" t="s">
        <v>2774</v>
      </c>
      <c r="F235" s="1" t="s">
        <v>70</v>
      </c>
      <c r="G235" s="1" t="s">
        <v>2775</v>
      </c>
      <c r="H235" s="1" t="s">
        <v>1395</v>
      </c>
      <c r="I235" s="1" t="s">
        <v>2776</v>
      </c>
      <c r="J235" s="1" t="s">
        <v>2777</v>
      </c>
      <c r="K235" s="1" t="s">
        <v>2778</v>
      </c>
      <c r="L235" s="9">
        <v>29086.0</v>
      </c>
      <c r="M235" s="8">
        <v>0.6996643518518518</v>
      </c>
      <c r="N235" s="6">
        <v>37.97</v>
      </c>
      <c r="O235" s="6">
        <v>58.0</v>
      </c>
      <c r="P235" s="9">
        <v>37185.0</v>
      </c>
      <c r="Q235" s="1" t="s">
        <v>52</v>
      </c>
      <c r="R235" s="1" t="s">
        <v>53</v>
      </c>
      <c r="S235" s="6">
        <v>2001.0</v>
      </c>
      <c r="T235" s="6">
        <v>10.0</v>
      </c>
      <c r="U235" s="1" t="s">
        <v>133</v>
      </c>
      <c r="V235" s="1" t="s">
        <v>134</v>
      </c>
      <c r="W235" s="6">
        <v>21.0</v>
      </c>
      <c r="X235" s="1" t="s">
        <v>534</v>
      </c>
      <c r="Y235" s="1" t="s">
        <v>535</v>
      </c>
      <c r="Z235" s="6">
        <v>15.78</v>
      </c>
      <c r="AA235" s="6">
        <v>123733.0</v>
      </c>
      <c r="AB235" s="10">
        <v>0.18</v>
      </c>
      <c r="AC235" s="1" t="s">
        <v>2779</v>
      </c>
      <c r="AD235" s="1" t="s">
        <v>2780</v>
      </c>
      <c r="AE235" s="1" t="s">
        <v>2781</v>
      </c>
      <c r="AF235" s="1" t="s">
        <v>2782</v>
      </c>
      <c r="AG235" s="1" t="s">
        <v>2781</v>
      </c>
      <c r="AH235" s="1" t="s">
        <v>1561</v>
      </c>
      <c r="AI235" s="6">
        <v>53588.0</v>
      </c>
      <c r="AJ235" s="1" t="s">
        <v>86</v>
      </c>
      <c r="AK235" s="1" t="s">
        <v>2783</v>
      </c>
      <c r="AL235" s="1" t="s">
        <v>2784</v>
      </c>
      <c r="AM235" s="11" t="str">
        <f>VLOOKUP(N235,Sheet3!$B$4:$C$10,2,1)</f>
        <v>31-40</v>
      </c>
      <c r="AN235" s="12" t="str">
        <f>VLOOKUP(Z235,Sheet3!$F$4:$G$10,2,1)</f>
        <v>11-20</v>
      </c>
      <c r="AO235" s="5" t="str">
        <f>VLOOKUP(AA235,Sheet3!$I$3:$J$16,2,1)</f>
        <v>120000-140000</v>
      </c>
      <c r="AP235" s="5" t="str">
        <f>VLOOKUP(AB235,Sheet3!$L$4:$M$14,2,1)</f>
        <v>16% - 20%</v>
      </c>
    </row>
    <row r="236">
      <c r="A236" s="6">
        <v>318571.0</v>
      </c>
      <c r="B236" s="1" t="s">
        <v>227</v>
      </c>
      <c r="C236" s="1" t="s">
        <v>2785</v>
      </c>
      <c r="D236" s="1" t="s">
        <v>318</v>
      </c>
      <c r="E236" s="1" t="s">
        <v>2786</v>
      </c>
      <c r="F236" s="1" t="s">
        <v>70</v>
      </c>
      <c r="G236" s="1" t="s">
        <v>2787</v>
      </c>
      <c r="H236" s="1" t="s">
        <v>1395</v>
      </c>
      <c r="I236" s="1" t="s">
        <v>2788</v>
      </c>
      <c r="J236" s="1" t="s">
        <v>2789</v>
      </c>
      <c r="K236" s="1" t="s">
        <v>2790</v>
      </c>
      <c r="L236" s="14">
        <v>24596.0</v>
      </c>
      <c r="M236" s="8">
        <v>0.03673611111111111</v>
      </c>
      <c r="N236" s="6">
        <v>50.27</v>
      </c>
      <c r="O236" s="6">
        <v>68.0</v>
      </c>
      <c r="P236" s="9">
        <v>38278.0</v>
      </c>
      <c r="Q236" s="1" t="s">
        <v>52</v>
      </c>
      <c r="R236" s="1" t="s">
        <v>53</v>
      </c>
      <c r="S236" s="6">
        <v>2004.0</v>
      </c>
      <c r="T236" s="6">
        <v>10.0</v>
      </c>
      <c r="U236" s="1" t="s">
        <v>133</v>
      </c>
      <c r="V236" s="1" t="s">
        <v>134</v>
      </c>
      <c r="W236" s="6">
        <v>18.0</v>
      </c>
      <c r="X236" s="1" t="s">
        <v>99</v>
      </c>
      <c r="Y236" s="1" t="s">
        <v>100</v>
      </c>
      <c r="Z236" s="6">
        <v>12.78</v>
      </c>
      <c r="AA236" s="6">
        <v>144834.0</v>
      </c>
      <c r="AB236" s="10">
        <v>0.17</v>
      </c>
      <c r="AC236" s="1" t="s">
        <v>2791</v>
      </c>
      <c r="AD236" s="1" t="s">
        <v>2792</v>
      </c>
      <c r="AE236" s="1" t="s">
        <v>2793</v>
      </c>
      <c r="AF236" s="1" t="s">
        <v>1705</v>
      </c>
      <c r="AG236" s="1" t="s">
        <v>2793</v>
      </c>
      <c r="AH236" s="1" t="s">
        <v>1103</v>
      </c>
      <c r="AI236" s="6">
        <v>3055.0</v>
      </c>
      <c r="AJ236" s="1" t="s">
        <v>224</v>
      </c>
      <c r="AK236" s="1" t="s">
        <v>2794</v>
      </c>
      <c r="AL236" s="1" t="s">
        <v>2795</v>
      </c>
      <c r="AM236" s="11" t="str">
        <f>VLOOKUP(N236,Sheet3!$B$4:$C$10,2,1)</f>
        <v>41-50</v>
      </c>
      <c r="AN236" s="12" t="str">
        <f>VLOOKUP(Z236,Sheet3!$F$4:$G$10,2,1)</f>
        <v>11-20</v>
      </c>
      <c r="AO236" s="5" t="str">
        <f>VLOOKUP(AA236,Sheet3!$I$3:$J$16,2,1)</f>
        <v>140000-160000</v>
      </c>
      <c r="AP236" s="5" t="str">
        <f>VLOOKUP(AB236,Sheet3!$L$4:$M$14,2,1)</f>
        <v>16% - 20%</v>
      </c>
    </row>
    <row r="237">
      <c r="A237" s="6">
        <v>219020.0</v>
      </c>
      <c r="B237" s="1" t="s">
        <v>89</v>
      </c>
      <c r="C237" s="1" t="s">
        <v>2796</v>
      </c>
      <c r="D237" s="1" t="s">
        <v>1300</v>
      </c>
      <c r="E237" s="1" t="s">
        <v>2786</v>
      </c>
      <c r="F237" s="1" t="s">
        <v>46</v>
      </c>
      <c r="G237" s="1" t="s">
        <v>2797</v>
      </c>
      <c r="H237" s="1" t="s">
        <v>1395</v>
      </c>
      <c r="I237" s="1" t="s">
        <v>2798</v>
      </c>
      <c r="J237" s="1" t="s">
        <v>2799</v>
      </c>
      <c r="K237" s="1" t="s">
        <v>768</v>
      </c>
      <c r="L237" s="9">
        <v>24668.0</v>
      </c>
      <c r="M237" s="8">
        <v>0.00866898148148148</v>
      </c>
      <c r="N237" s="6">
        <v>50.07</v>
      </c>
      <c r="O237" s="6">
        <v>54.0</v>
      </c>
      <c r="P237" s="9">
        <v>39985.0</v>
      </c>
      <c r="Q237" s="1" t="s">
        <v>75</v>
      </c>
      <c r="R237" s="1" t="s">
        <v>76</v>
      </c>
      <c r="S237" s="6">
        <v>2009.0</v>
      </c>
      <c r="T237" s="6">
        <v>6.0</v>
      </c>
      <c r="U237" s="1" t="s">
        <v>324</v>
      </c>
      <c r="V237" s="1" t="s">
        <v>325</v>
      </c>
      <c r="W237" s="6">
        <v>21.0</v>
      </c>
      <c r="X237" s="1" t="s">
        <v>534</v>
      </c>
      <c r="Y237" s="1" t="s">
        <v>535</v>
      </c>
      <c r="Z237" s="6">
        <v>8.11</v>
      </c>
      <c r="AA237" s="6">
        <v>108199.0</v>
      </c>
      <c r="AB237" s="10">
        <v>0.24</v>
      </c>
      <c r="AC237" s="1" t="s">
        <v>2800</v>
      </c>
      <c r="AD237" s="1" t="s">
        <v>2801</v>
      </c>
      <c r="AE237" s="1" t="s">
        <v>2802</v>
      </c>
      <c r="AF237" s="1" t="s">
        <v>2802</v>
      </c>
      <c r="AG237" s="1" t="s">
        <v>2802</v>
      </c>
      <c r="AH237" s="1" t="s">
        <v>2483</v>
      </c>
      <c r="AI237" s="6">
        <v>29904.0</v>
      </c>
      <c r="AJ237" s="1" t="s">
        <v>106</v>
      </c>
      <c r="AK237" s="1" t="s">
        <v>2803</v>
      </c>
      <c r="AL237" s="1" t="s">
        <v>2804</v>
      </c>
      <c r="AM237" s="11" t="str">
        <f>VLOOKUP(N237,Sheet3!$B$4:$C$10,2,1)</f>
        <v>41-50</v>
      </c>
      <c r="AN237" s="12" t="str">
        <f>VLOOKUP(Z237,Sheet3!$F$4:$G$10,2,1)</f>
        <v>5-10</v>
      </c>
      <c r="AO237" s="5" t="str">
        <f>VLOOKUP(AA237,Sheet3!$I$3:$J$16,2,1)</f>
        <v>100000-120000</v>
      </c>
      <c r="AP237" s="5" t="str">
        <f>VLOOKUP(AB237,Sheet3!$L$4:$M$14,2,1)</f>
        <v>21% - 25%</v>
      </c>
    </row>
    <row r="238">
      <c r="A238" s="6">
        <v>934285.0</v>
      </c>
      <c r="B238" s="1" t="s">
        <v>66</v>
      </c>
      <c r="C238" s="1" t="s">
        <v>2805</v>
      </c>
      <c r="D238" s="1" t="s">
        <v>1300</v>
      </c>
      <c r="E238" s="1" t="s">
        <v>2806</v>
      </c>
      <c r="F238" s="1" t="s">
        <v>70</v>
      </c>
      <c r="G238" s="1" t="s">
        <v>2807</v>
      </c>
      <c r="H238" s="1" t="s">
        <v>1395</v>
      </c>
      <c r="I238" s="1" t="s">
        <v>2808</v>
      </c>
      <c r="J238" s="1" t="s">
        <v>2809</v>
      </c>
      <c r="K238" s="1" t="s">
        <v>1810</v>
      </c>
      <c r="L238" s="14">
        <v>26553.0</v>
      </c>
      <c r="M238" s="8">
        <v>0.018368055555555554</v>
      </c>
      <c r="N238" s="6">
        <v>44.91</v>
      </c>
      <c r="O238" s="6">
        <v>70.0</v>
      </c>
      <c r="P238" s="9">
        <v>35358.0</v>
      </c>
      <c r="Q238" s="1" t="s">
        <v>52</v>
      </c>
      <c r="R238" s="1" t="s">
        <v>53</v>
      </c>
      <c r="S238" s="6">
        <v>1996.0</v>
      </c>
      <c r="T238" s="6">
        <v>10.0</v>
      </c>
      <c r="U238" s="1" t="s">
        <v>133</v>
      </c>
      <c r="V238" s="1" t="s">
        <v>134</v>
      </c>
      <c r="W238" s="6">
        <v>20.0</v>
      </c>
      <c r="X238" s="1" t="s">
        <v>534</v>
      </c>
      <c r="Y238" s="1" t="s">
        <v>535</v>
      </c>
      <c r="Z238" s="6">
        <v>20.78</v>
      </c>
      <c r="AA238" s="6">
        <v>88094.0</v>
      </c>
      <c r="AB238" s="10">
        <v>0.12</v>
      </c>
      <c r="AC238" s="1" t="s">
        <v>2810</v>
      </c>
      <c r="AD238" s="1" t="s">
        <v>2811</v>
      </c>
      <c r="AE238" s="1" t="s">
        <v>2812</v>
      </c>
      <c r="AF238" s="1" t="s">
        <v>2813</v>
      </c>
      <c r="AG238" s="1" t="s">
        <v>2812</v>
      </c>
      <c r="AH238" s="1" t="s">
        <v>169</v>
      </c>
      <c r="AI238" s="6">
        <v>79721.0</v>
      </c>
      <c r="AJ238" s="1" t="s">
        <v>106</v>
      </c>
      <c r="AK238" s="1" t="s">
        <v>2814</v>
      </c>
      <c r="AL238" s="1" t="s">
        <v>2815</v>
      </c>
      <c r="AM238" s="11" t="str">
        <f>VLOOKUP(N238,Sheet3!$B$4:$C$10,2,1)</f>
        <v>41-50</v>
      </c>
      <c r="AN238" s="12" t="str">
        <f>VLOOKUP(Z238,Sheet3!$F$4:$G$10,2,1)</f>
        <v>11-20</v>
      </c>
      <c r="AO238" s="5" t="str">
        <f>VLOOKUP(AA238,Sheet3!$I$3:$J$16,2,1)</f>
        <v>80000-100000</v>
      </c>
      <c r="AP238" s="5" t="str">
        <f>VLOOKUP(AB238,Sheet3!$L$4:$M$14,2,1)</f>
        <v>11% - 15%</v>
      </c>
    </row>
    <row r="239">
      <c r="A239" s="6">
        <v>149763.0</v>
      </c>
      <c r="B239" s="1" t="s">
        <v>255</v>
      </c>
      <c r="C239" s="1" t="s">
        <v>2486</v>
      </c>
      <c r="D239" s="1" t="s">
        <v>318</v>
      </c>
      <c r="E239" s="1" t="s">
        <v>2816</v>
      </c>
      <c r="F239" s="1" t="s">
        <v>70</v>
      </c>
      <c r="G239" s="1" t="s">
        <v>2817</v>
      </c>
      <c r="H239" s="1" t="s">
        <v>1395</v>
      </c>
      <c r="I239" s="1" t="s">
        <v>2818</v>
      </c>
      <c r="J239" s="1" t="s">
        <v>2819</v>
      </c>
      <c r="K239" s="1" t="s">
        <v>2214</v>
      </c>
      <c r="L239" s="14">
        <v>33330.0</v>
      </c>
      <c r="M239" s="8">
        <v>0.6680324074074074</v>
      </c>
      <c r="N239" s="6">
        <v>26.34</v>
      </c>
      <c r="O239" s="6">
        <v>62.0</v>
      </c>
      <c r="P239" s="9">
        <v>41411.0</v>
      </c>
      <c r="Q239" s="1" t="s">
        <v>75</v>
      </c>
      <c r="R239" s="1" t="s">
        <v>76</v>
      </c>
      <c r="S239" s="6">
        <v>2013.0</v>
      </c>
      <c r="T239" s="6">
        <v>5.0</v>
      </c>
      <c r="U239" s="1" t="s">
        <v>294</v>
      </c>
      <c r="V239" s="1" t="s">
        <v>294</v>
      </c>
      <c r="W239" s="6">
        <v>17.0</v>
      </c>
      <c r="X239" s="1" t="s">
        <v>263</v>
      </c>
      <c r="Y239" s="1" t="s">
        <v>264</v>
      </c>
      <c r="Z239" s="6">
        <v>4.2</v>
      </c>
      <c r="AA239" s="6">
        <v>48438.0</v>
      </c>
      <c r="AB239" s="10">
        <v>0.22</v>
      </c>
      <c r="AC239" s="1" t="s">
        <v>2820</v>
      </c>
      <c r="AD239" s="1" t="s">
        <v>2821</v>
      </c>
      <c r="AE239" s="1" t="s">
        <v>2822</v>
      </c>
      <c r="AF239" s="1" t="s">
        <v>2823</v>
      </c>
      <c r="AG239" s="1" t="s">
        <v>2822</v>
      </c>
      <c r="AH239" s="1" t="s">
        <v>906</v>
      </c>
      <c r="AI239" s="6">
        <v>7021.0</v>
      </c>
      <c r="AJ239" s="1" t="s">
        <v>224</v>
      </c>
      <c r="AK239" s="1" t="s">
        <v>2824</v>
      </c>
      <c r="AL239" s="1" t="s">
        <v>2825</v>
      </c>
      <c r="AM239" s="11" t="str">
        <f>VLOOKUP(N239,Sheet3!$B$4:$C$10,2,1)</f>
        <v>21-30</v>
      </c>
      <c r="AN239" s="13" t="str">
        <f>VLOOKUP(Z239,Sheet3!$F$4:$G$10,2,1)</f>
        <v>&lt; 5</v>
      </c>
      <c r="AO239" s="5" t="str">
        <f>VLOOKUP(AA239,Sheet3!$I$3:$J$16,2,1)</f>
        <v>40000-60000</v>
      </c>
      <c r="AP239" s="5" t="str">
        <f>VLOOKUP(AB239,Sheet3!$L$4:$M$14,2,1)</f>
        <v>21% - 25%</v>
      </c>
    </row>
    <row r="240">
      <c r="A240" s="6">
        <v>363951.0</v>
      </c>
      <c r="B240" s="1" t="s">
        <v>89</v>
      </c>
      <c r="C240" s="1" t="s">
        <v>2826</v>
      </c>
      <c r="D240" s="1" t="s">
        <v>360</v>
      </c>
      <c r="E240" s="1" t="s">
        <v>2827</v>
      </c>
      <c r="F240" s="1" t="s">
        <v>46</v>
      </c>
      <c r="G240" s="1" t="s">
        <v>2828</v>
      </c>
      <c r="H240" s="1" t="s">
        <v>1395</v>
      </c>
      <c r="I240" s="1" t="s">
        <v>2829</v>
      </c>
      <c r="J240" s="1" t="s">
        <v>2830</v>
      </c>
      <c r="K240" s="1" t="s">
        <v>841</v>
      </c>
      <c r="L240" s="14">
        <v>23992.0</v>
      </c>
      <c r="M240" s="8">
        <v>0.05402777777777778</v>
      </c>
      <c r="N240" s="6">
        <v>51.92</v>
      </c>
      <c r="O240" s="6">
        <v>56.0</v>
      </c>
      <c r="P240" s="9">
        <v>31983.0</v>
      </c>
      <c r="Q240" s="1" t="s">
        <v>308</v>
      </c>
      <c r="R240" s="1" t="s">
        <v>53</v>
      </c>
      <c r="S240" s="6">
        <v>1987.0</v>
      </c>
      <c r="T240" s="6">
        <v>7.0</v>
      </c>
      <c r="U240" s="1" t="s">
        <v>366</v>
      </c>
      <c r="V240" s="1" t="s">
        <v>367</v>
      </c>
      <c r="W240" s="6">
        <v>25.0</v>
      </c>
      <c r="X240" s="1" t="s">
        <v>56</v>
      </c>
      <c r="Y240" s="1" t="s">
        <v>57</v>
      </c>
      <c r="Z240" s="6">
        <v>30.03</v>
      </c>
      <c r="AA240" s="6">
        <v>177320.0</v>
      </c>
      <c r="AB240" s="10">
        <v>0.16</v>
      </c>
      <c r="AC240" s="1" t="s">
        <v>2831</v>
      </c>
      <c r="AD240" s="1" t="s">
        <v>2832</v>
      </c>
      <c r="AE240" s="1" t="s">
        <v>1676</v>
      </c>
      <c r="AF240" s="1" t="s">
        <v>2833</v>
      </c>
      <c r="AG240" s="1" t="s">
        <v>1676</v>
      </c>
      <c r="AH240" s="1" t="s">
        <v>893</v>
      </c>
      <c r="AI240" s="6">
        <v>28556.0</v>
      </c>
      <c r="AJ240" s="1" t="s">
        <v>106</v>
      </c>
      <c r="AK240" s="1" t="s">
        <v>2834</v>
      </c>
      <c r="AL240" s="1" t="s">
        <v>2835</v>
      </c>
      <c r="AM240" s="11" t="str">
        <f>VLOOKUP(N240,Sheet3!$B$4:$C$10,2,1)</f>
        <v>51-60</v>
      </c>
      <c r="AN240" s="13" t="str">
        <f>VLOOKUP(Z240,Sheet3!$F$4:$G$10,2,1)</f>
        <v>21-30</v>
      </c>
      <c r="AO240" s="5" t="str">
        <f>VLOOKUP(AA240,Sheet3!$I$3:$J$16,2,1)</f>
        <v>160000-180000</v>
      </c>
      <c r="AP240" s="5" t="str">
        <f>VLOOKUP(AB240,Sheet3!$L$4:$M$14,2,1)</f>
        <v>16% - 20%</v>
      </c>
    </row>
    <row r="241">
      <c r="A241" s="6">
        <v>306185.0</v>
      </c>
      <c r="B241" s="1" t="s">
        <v>66</v>
      </c>
      <c r="C241" s="1" t="s">
        <v>2836</v>
      </c>
      <c r="D241" s="1" t="s">
        <v>318</v>
      </c>
      <c r="E241" s="1" t="s">
        <v>2837</v>
      </c>
      <c r="F241" s="1" t="s">
        <v>70</v>
      </c>
      <c r="G241" s="1" t="s">
        <v>2838</v>
      </c>
      <c r="H241" s="1" t="s">
        <v>1395</v>
      </c>
      <c r="I241" s="1" t="s">
        <v>2839</v>
      </c>
      <c r="J241" s="1" t="s">
        <v>2840</v>
      </c>
      <c r="K241" s="1" t="s">
        <v>2841</v>
      </c>
      <c r="L241" s="9">
        <v>25915.0</v>
      </c>
      <c r="M241" s="8">
        <v>0.6749074074074074</v>
      </c>
      <c r="N241" s="6">
        <v>46.65</v>
      </c>
      <c r="O241" s="6">
        <v>79.0</v>
      </c>
      <c r="P241" s="14">
        <v>38298.0</v>
      </c>
      <c r="Q241" s="1" t="s">
        <v>52</v>
      </c>
      <c r="R241" s="1" t="s">
        <v>53</v>
      </c>
      <c r="S241" s="6">
        <v>2004.0</v>
      </c>
      <c r="T241" s="6">
        <v>11.0</v>
      </c>
      <c r="U241" s="1" t="s">
        <v>148</v>
      </c>
      <c r="V241" s="1" t="s">
        <v>149</v>
      </c>
      <c r="W241" s="6">
        <v>7.0</v>
      </c>
      <c r="X241" s="1" t="s">
        <v>534</v>
      </c>
      <c r="Y241" s="1" t="s">
        <v>535</v>
      </c>
      <c r="Z241" s="6">
        <v>12.73</v>
      </c>
      <c r="AA241" s="6">
        <v>150940.0</v>
      </c>
      <c r="AB241" s="10">
        <v>0.08</v>
      </c>
      <c r="AC241" s="1" t="s">
        <v>2842</v>
      </c>
      <c r="AD241" s="1" t="s">
        <v>2843</v>
      </c>
      <c r="AE241" s="1" t="s">
        <v>2844</v>
      </c>
      <c r="AF241" s="1" t="s">
        <v>2844</v>
      </c>
      <c r="AG241" s="1" t="s">
        <v>2844</v>
      </c>
      <c r="AH241" s="1" t="s">
        <v>169</v>
      </c>
      <c r="AI241" s="6">
        <v>76456.0</v>
      </c>
      <c r="AJ241" s="1" t="s">
        <v>106</v>
      </c>
      <c r="AK241" s="1" t="s">
        <v>2845</v>
      </c>
      <c r="AL241" s="1" t="s">
        <v>2846</v>
      </c>
      <c r="AM241" s="11" t="str">
        <f>VLOOKUP(N241,Sheet3!$B$4:$C$10,2,1)</f>
        <v>41-50</v>
      </c>
      <c r="AN241" s="12" t="str">
        <f>VLOOKUP(Z241,Sheet3!$F$4:$G$10,2,1)</f>
        <v>11-20</v>
      </c>
      <c r="AO241" s="5" t="str">
        <f>VLOOKUP(AA241,Sheet3!$I$3:$J$16,2,1)</f>
        <v>140000-160000</v>
      </c>
      <c r="AP241" s="5" t="str">
        <f>VLOOKUP(AB241,Sheet3!$L$4:$M$14,2,1)</f>
        <v>5% - 10%</v>
      </c>
    </row>
    <row r="242">
      <c r="A242" s="6">
        <v>225090.0</v>
      </c>
      <c r="B242" s="1" t="s">
        <v>66</v>
      </c>
      <c r="C242" s="1" t="s">
        <v>2847</v>
      </c>
      <c r="D242" s="1" t="s">
        <v>242</v>
      </c>
      <c r="E242" s="1" t="s">
        <v>2848</v>
      </c>
      <c r="F242" s="1" t="s">
        <v>70</v>
      </c>
      <c r="G242" s="1" t="s">
        <v>2849</v>
      </c>
      <c r="H242" s="1" t="s">
        <v>1395</v>
      </c>
      <c r="I242" s="1" t="s">
        <v>2850</v>
      </c>
      <c r="J242" s="1" t="s">
        <v>2851</v>
      </c>
      <c r="K242" s="1" t="s">
        <v>2852</v>
      </c>
      <c r="L242" s="9">
        <v>26775.0</v>
      </c>
      <c r="M242" s="8">
        <v>0.5840740740740741</v>
      </c>
      <c r="N242" s="6">
        <v>44.3</v>
      </c>
      <c r="O242" s="6">
        <v>88.0</v>
      </c>
      <c r="P242" s="14">
        <v>38629.0</v>
      </c>
      <c r="Q242" s="1" t="s">
        <v>52</v>
      </c>
      <c r="R242" s="1" t="s">
        <v>53</v>
      </c>
      <c r="S242" s="6">
        <v>2005.0</v>
      </c>
      <c r="T242" s="6">
        <v>10.0</v>
      </c>
      <c r="U242" s="1" t="s">
        <v>133</v>
      </c>
      <c r="V242" s="1" t="s">
        <v>134</v>
      </c>
      <c r="W242" s="6">
        <v>4.0</v>
      </c>
      <c r="X242" s="1" t="s">
        <v>79</v>
      </c>
      <c r="Y242" s="1" t="s">
        <v>80</v>
      </c>
      <c r="Z242" s="6">
        <v>11.82</v>
      </c>
      <c r="AA242" s="6">
        <v>59287.0</v>
      </c>
      <c r="AB242" s="10">
        <v>0.03</v>
      </c>
      <c r="AC242" s="1" t="s">
        <v>2853</v>
      </c>
      <c r="AD242" s="1" t="s">
        <v>2854</v>
      </c>
      <c r="AE242" s="1" t="s">
        <v>2855</v>
      </c>
      <c r="AF242" s="1" t="s">
        <v>2856</v>
      </c>
      <c r="AG242" s="1" t="s">
        <v>2855</v>
      </c>
      <c r="AH242" s="1" t="s">
        <v>2483</v>
      </c>
      <c r="AI242" s="6">
        <v>29710.0</v>
      </c>
      <c r="AJ242" s="1" t="s">
        <v>106</v>
      </c>
      <c r="AK242" s="1" t="s">
        <v>2857</v>
      </c>
      <c r="AL242" s="1" t="s">
        <v>2858</v>
      </c>
      <c r="AM242" s="11" t="str">
        <f>VLOOKUP(N242,Sheet3!$B$4:$C$10,2,1)</f>
        <v>41-50</v>
      </c>
      <c r="AN242" s="12" t="str">
        <f>VLOOKUP(Z242,Sheet3!$F$4:$G$10,2,1)</f>
        <v>11-20</v>
      </c>
      <c r="AO242" s="5" t="str">
        <f>VLOOKUP(AA242,Sheet3!$I$3:$J$16,2,1)</f>
        <v>40000-60000</v>
      </c>
      <c r="AP242" s="5" t="str">
        <f>VLOOKUP(AB242,Sheet3!$L$4:$M$14,2,1)</f>
        <v>&lt; 5%</v>
      </c>
    </row>
    <row r="243">
      <c r="A243" s="6">
        <v>287114.0</v>
      </c>
      <c r="B243" s="1" t="s">
        <v>42</v>
      </c>
      <c r="C243" s="1" t="s">
        <v>2859</v>
      </c>
      <c r="D243" s="1" t="s">
        <v>683</v>
      </c>
      <c r="E243" s="1" t="s">
        <v>1642</v>
      </c>
      <c r="F243" s="1" t="s">
        <v>46</v>
      </c>
      <c r="G243" s="1" t="s">
        <v>2860</v>
      </c>
      <c r="H243" s="1" t="s">
        <v>1395</v>
      </c>
      <c r="I243" s="1" t="s">
        <v>2861</v>
      </c>
      <c r="J243" s="1" t="s">
        <v>2862</v>
      </c>
      <c r="K243" s="1" t="s">
        <v>2813</v>
      </c>
      <c r="L243" s="14">
        <v>21772.0</v>
      </c>
      <c r="M243" s="8">
        <v>0.33435185185185184</v>
      </c>
      <c r="N243" s="6">
        <v>58.01</v>
      </c>
      <c r="O243" s="6">
        <v>55.0</v>
      </c>
      <c r="P243" s="14">
        <v>33856.0</v>
      </c>
      <c r="Q243" s="1" t="s">
        <v>308</v>
      </c>
      <c r="R243" s="1" t="s">
        <v>53</v>
      </c>
      <c r="S243" s="6">
        <v>1992.0</v>
      </c>
      <c r="T243" s="6">
        <v>9.0</v>
      </c>
      <c r="U243" s="1" t="s">
        <v>309</v>
      </c>
      <c r="V243" s="1" t="s">
        <v>310</v>
      </c>
      <c r="W243" s="6">
        <v>9.0</v>
      </c>
      <c r="X243" s="1" t="s">
        <v>278</v>
      </c>
      <c r="Y243" s="1" t="s">
        <v>279</v>
      </c>
      <c r="Z243" s="6">
        <v>24.9</v>
      </c>
      <c r="AA243" s="6">
        <v>196619.0</v>
      </c>
      <c r="AB243" s="10">
        <v>0.07</v>
      </c>
      <c r="AC243" s="1" t="s">
        <v>2863</v>
      </c>
      <c r="AD243" s="1" t="s">
        <v>2864</v>
      </c>
      <c r="AE243" s="1" t="s">
        <v>2865</v>
      </c>
      <c r="AF243" s="1" t="s">
        <v>2865</v>
      </c>
      <c r="AG243" s="1" t="s">
        <v>2865</v>
      </c>
      <c r="AH243" s="1" t="s">
        <v>284</v>
      </c>
      <c r="AI243" s="6">
        <v>50025.0</v>
      </c>
      <c r="AJ243" s="1" t="s">
        <v>86</v>
      </c>
      <c r="AK243" s="1" t="s">
        <v>2866</v>
      </c>
      <c r="AL243" s="1" t="s">
        <v>2867</v>
      </c>
      <c r="AM243" s="11" t="str">
        <f>VLOOKUP(N243,Sheet3!$B$4:$C$10,2,1)</f>
        <v>51-60</v>
      </c>
      <c r="AN243" s="13" t="str">
        <f>VLOOKUP(Z243,Sheet3!$F$4:$G$10,2,1)</f>
        <v>21-30</v>
      </c>
      <c r="AO243" s="5" t="str">
        <f>VLOOKUP(AA243,Sheet3!$I$3:$J$16,2,1)</f>
        <v>180000-200000</v>
      </c>
      <c r="AP243" s="5" t="str">
        <f>VLOOKUP(AB243,Sheet3!$L$4:$M$14,2,1)</f>
        <v>5% - 10%</v>
      </c>
    </row>
    <row r="244">
      <c r="A244" s="6">
        <v>811489.0</v>
      </c>
      <c r="B244" s="1" t="s">
        <v>125</v>
      </c>
      <c r="C244" s="1" t="s">
        <v>2868</v>
      </c>
      <c r="D244" s="1" t="s">
        <v>443</v>
      </c>
      <c r="E244" s="1" t="s">
        <v>2869</v>
      </c>
      <c r="F244" s="1" t="s">
        <v>46</v>
      </c>
      <c r="G244" s="1" t="s">
        <v>2870</v>
      </c>
      <c r="H244" s="1" t="s">
        <v>1395</v>
      </c>
      <c r="I244" s="1" t="s">
        <v>2871</v>
      </c>
      <c r="J244" s="1" t="s">
        <v>2872</v>
      </c>
      <c r="K244" s="1" t="s">
        <v>2096</v>
      </c>
      <c r="L244" s="14">
        <v>25758.0</v>
      </c>
      <c r="M244" s="8">
        <v>0.7690046296296297</v>
      </c>
      <c r="N244" s="6">
        <v>47.08</v>
      </c>
      <c r="O244" s="6">
        <v>42.0</v>
      </c>
      <c r="P244" s="14">
        <v>40667.0</v>
      </c>
      <c r="Q244" s="1" t="s">
        <v>75</v>
      </c>
      <c r="R244" s="1" t="s">
        <v>76</v>
      </c>
      <c r="S244" s="6">
        <v>2011.0</v>
      </c>
      <c r="T244" s="6">
        <v>5.0</v>
      </c>
      <c r="U244" s="1" t="s">
        <v>294</v>
      </c>
      <c r="V244" s="1" t="s">
        <v>294</v>
      </c>
      <c r="W244" s="6">
        <v>4.0</v>
      </c>
      <c r="X244" s="1" t="s">
        <v>278</v>
      </c>
      <c r="Y244" s="1" t="s">
        <v>279</v>
      </c>
      <c r="Z244" s="6">
        <v>6.24</v>
      </c>
      <c r="AA244" s="6">
        <v>67505.0</v>
      </c>
      <c r="AB244" s="10">
        <v>0.04</v>
      </c>
      <c r="AC244" s="1" t="s">
        <v>2873</v>
      </c>
      <c r="AD244" s="1" t="s">
        <v>2874</v>
      </c>
      <c r="AE244" s="1" t="s">
        <v>2875</v>
      </c>
      <c r="AF244" s="1" t="s">
        <v>2876</v>
      </c>
      <c r="AG244" s="1" t="s">
        <v>2875</v>
      </c>
      <c r="AH244" s="1" t="s">
        <v>223</v>
      </c>
      <c r="AI244" s="6">
        <v>15144.0</v>
      </c>
      <c r="AJ244" s="1" t="s">
        <v>224</v>
      </c>
      <c r="AK244" s="1" t="s">
        <v>2877</v>
      </c>
      <c r="AL244" s="1" t="s">
        <v>2878</v>
      </c>
      <c r="AM244" s="11" t="str">
        <f>VLOOKUP(N244,Sheet3!$B$4:$C$10,2,1)</f>
        <v>41-50</v>
      </c>
      <c r="AN244" s="12" t="str">
        <f>VLOOKUP(Z244,Sheet3!$F$4:$G$10,2,1)</f>
        <v>5-10</v>
      </c>
      <c r="AO244" s="5" t="str">
        <f>VLOOKUP(AA244,Sheet3!$I$3:$J$16,2,1)</f>
        <v>60000-80000</v>
      </c>
      <c r="AP244" s="5" t="str">
        <f>VLOOKUP(AB244,Sheet3!$L$4:$M$14,2,1)</f>
        <v>&lt; 5%</v>
      </c>
    </row>
    <row r="245">
      <c r="A245" s="6">
        <v>162573.0</v>
      </c>
      <c r="B245" s="1" t="s">
        <v>125</v>
      </c>
      <c r="C245" s="1" t="s">
        <v>2879</v>
      </c>
      <c r="D245" s="1" t="s">
        <v>861</v>
      </c>
      <c r="E245" s="1" t="s">
        <v>2880</v>
      </c>
      <c r="F245" s="1" t="s">
        <v>46</v>
      </c>
      <c r="G245" s="1" t="s">
        <v>2881</v>
      </c>
      <c r="H245" s="1" t="s">
        <v>1395</v>
      </c>
      <c r="I245" s="1" t="s">
        <v>2882</v>
      </c>
      <c r="J245" s="1" t="s">
        <v>2883</v>
      </c>
      <c r="K245" s="1" t="s">
        <v>2367</v>
      </c>
      <c r="L245" s="9">
        <v>25808.0</v>
      </c>
      <c r="M245" s="8">
        <v>0.5335532407407407</v>
      </c>
      <c r="N245" s="6">
        <v>46.95</v>
      </c>
      <c r="O245" s="6">
        <v>58.0</v>
      </c>
      <c r="P245" s="9">
        <v>37852.0</v>
      </c>
      <c r="Q245" s="1" t="s">
        <v>308</v>
      </c>
      <c r="R245" s="1" t="s">
        <v>53</v>
      </c>
      <c r="S245" s="6">
        <v>2003.0</v>
      </c>
      <c r="T245" s="6">
        <v>8.0</v>
      </c>
      <c r="U245" s="1" t="s">
        <v>433</v>
      </c>
      <c r="V245" s="1" t="s">
        <v>434</v>
      </c>
      <c r="W245" s="6">
        <v>19.0</v>
      </c>
      <c r="X245" s="1" t="s">
        <v>79</v>
      </c>
      <c r="Y245" s="1" t="s">
        <v>80</v>
      </c>
      <c r="Z245" s="6">
        <v>13.95</v>
      </c>
      <c r="AA245" s="6">
        <v>156203.0</v>
      </c>
      <c r="AB245" s="10">
        <v>0.3</v>
      </c>
      <c r="AC245" s="1" t="s">
        <v>2884</v>
      </c>
      <c r="AD245" s="1" t="s">
        <v>2885</v>
      </c>
      <c r="AE245" s="1" t="s">
        <v>2886</v>
      </c>
      <c r="AF245" s="1" t="s">
        <v>2049</v>
      </c>
      <c r="AG245" s="1" t="s">
        <v>2886</v>
      </c>
      <c r="AH245" s="1" t="s">
        <v>501</v>
      </c>
      <c r="AI245" s="6">
        <v>82836.0</v>
      </c>
      <c r="AJ245" s="1" t="s">
        <v>63</v>
      </c>
      <c r="AK245" s="1" t="s">
        <v>2887</v>
      </c>
      <c r="AL245" s="1" t="s">
        <v>2888</v>
      </c>
      <c r="AM245" s="11" t="str">
        <f>VLOOKUP(N245,Sheet3!$B$4:$C$10,2,1)</f>
        <v>41-50</v>
      </c>
      <c r="AN245" s="12" t="str">
        <f>VLOOKUP(Z245,Sheet3!$F$4:$G$10,2,1)</f>
        <v>11-20</v>
      </c>
      <c r="AO245" s="5" t="str">
        <f>VLOOKUP(AA245,Sheet3!$I$3:$J$16,2,1)</f>
        <v>140000-160000</v>
      </c>
      <c r="AP245" s="5" t="str">
        <f>VLOOKUP(AB245,Sheet3!$L$4:$M$14,2,1)</f>
        <v>26% - 30%</v>
      </c>
    </row>
    <row r="246">
      <c r="A246" s="6">
        <v>836699.0</v>
      </c>
      <c r="B246" s="1" t="s">
        <v>109</v>
      </c>
      <c r="C246" s="1" t="s">
        <v>2889</v>
      </c>
      <c r="D246" s="1" t="s">
        <v>46</v>
      </c>
      <c r="E246" s="1" t="s">
        <v>2251</v>
      </c>
      <c r="F246" s="1" t="s">
        <v>46</v>
      </c>
      <c r="G246" s="1" t="s">
        <v>2890</v>
      </c>
      <c r="H246" s="1" t="s">
        <v>1395</v>
      </c>
      <c r="I246" s="1" t="s">
        <v>2891</v>
      </c>
      <c r="J246" s="1" t="s">
        <v>2892</v>
      </c>
      <c r="K246" s="1" t="s">
        <v>2893</v>
      </c>
      <c r="L246" s="9">
        <v>24157.0</v>
      </c>
      <c r="M246" s="8">
        <v>0.013506944444444445</v>
      </c>
      <c r="N246" s="6">
        <v>51.47</v>
      </c>
      <c r="O246" s="6">
        <v>47.0</v>
      </c>
      <c r="P246" s="9">
        <v>37032.0</v>
      </c>
      <c r="Q246" s="1" t="s">
        <v>75</v>
      </c>
      <c r="R246" s="1" t="s">
        <v>76</v>
      </c>
      <c r="S246" s="6">
        <v>2001.0</v>
      </c>
      <c r="T246" s="6">
        <v>5.0</v>
      </c>
      <c r="U246" s="1" t="s">
        <v>294</v>
      </c>
      <c r="V246" s="1" t="s">
        <v>294</v>
      </c>
      <c r="W246" s="6">
        <v>21.0</v>
      </c>
      <c r="X246" s="1" t="s">
        <v>99</v>
      </c>
      <c r="Y246" s="1" t="s">
        <v>100</v>
      </c>
      <c r="Z246" s="6">
        <v>16.2</v>
      </c>
      <c r="AA246" s="6">
        <v>96037.0</v>
      </c>
      <c r="AB246" s="10">
        <v>0.15</v>
      </c>
      <c r="AC246" s="1" t="s">
        <v>2894</v>
      </c>
      <c r="AD246" s="1" t="s">
        <v>2895</v>
      </c>
      <c r="AE246" s="1" t="s">
        <v>2896</v>
      </c>
      <c r="AF246" s="1" t="s">
        <v>2896</v>
      </c>
      <c r="AG246" s="1" t="s">
        <v>2896</v>
      </c>
      <c r="AH246" s="1" t="s">
        <v>2028</v>
      </c>
      <c r="AI246" s="6">
        <v>85083.0</v>
      </c>
      <c r="AJ246" s="1" t="s">
        <v>63</v>
      </c>
      <c r="AK246" s="1" t="s">
        <v>2897</v>
      </c>
      <c r="AL246" s="1" t="s">
        <v>2898</v>
      </c>
      <c r="AM246" s="11" t="str">
        <f>VLOOKUP(N246,Sheet3!$B$4:$C$10,2,1)</f>
        <v>51-60</v>
      </c>
      <c r="AN246" s="12" t="str">
        <f>VLOOKUP(Z246,Sheet3!$F$4:$G$10,2,1)</f>
        <v>11-20</v>
      </c>
      <c r="AO246" s="5" t="str">
        <f>VLOOKUP(AA246,Sheet3!$I$3:$J$16,2,1)</f>
        <v>80000-100000</v>
      </c>
      <c r="AP246" s="5" t="str">
        <f>VLOOKUP(AB246,Sheet3!$L$4:$M$14,2,1)</f>
        <v>11% - 15%</v>
      </c>
    </row>
    <row r="247">
      <c r="A247" s="6">
        <v>798859.0</v>
      </c>
      <c r="B247" s="1" t="s">
        <v>89</v>
      </c>
      <c r="C247" s="1" t="s">
        <v>2899</v>
      </c>
      <c r="D247" s="1" t="s">
        <v>318</v>
      </c>
      <c r="E247" s="1" t="s">
        <v>1945</v>
      </c>
      <c r="F247" s="1" t="s">
        <v>46</v>
      </c>
      <c r="G247" s="1" t="s">
        <v>2900</v>
      </c>
      <c r="H247" s="1" t="s">
        <v>1395</v>
      </c>
      <c r="I247" s="1" t="s">
        <v>2901</v>
      </c>
      <c r="J247" s="1" t="s">
        <v>2902</v>
      </c>
      <c r="K247" s="1" t="s">
        <v>657</v>
      </c>
      <c r="L247" s="14">
        <v>26034.0</v>
      </c>
      <c r="M247" s="8">
        <v>0.08331018518518518</v>
      </c>
      <c r="N247" s="6">
        <v>46.33</v>
      </c>
      <c r="O247" s="6">
        <v>59.0</v>
      </c>
      <c r="P247" s="9">
        <v>35991.0</v>
      </c>
      <c r="Q247" s="1" t="s">
        <v>308</v>
      </c>
      <c r="R247" s="1" t="s">
        <v>53</v>
      </c>
      <c r="S247" s="6">
        <v>1998.0</v>
      </c>
      <c r="T247" s="6">
        <v>7.0</v>
      </c>
      <c r="U247" s="1" t="s">
        <v>366</v>
      </c>
      <c r="V247" s="1" t="s">
        <v>367</v>
      </c>
      <c r="W247" s="6">
        <v>15.0</v>
      </c>
      <c r="X247" s="1" t="s">
        <v>278</v>
      </c>
      <c r="Y247" s="1" t="s">
        <v>279</v>
      </c>
      <c r="Z247" s="6">
        <v>19.05</v>
      </c>
      <c r="AA247" s="6">
        <v>128752.0</v>
      </c>
      <c r="AB247" s="10">
        <v>0.22</v>
      </c>
      <c r="AC247" s="1" t="s">
        <v>2903</v>
      </c>
      <c r="AD247" s="1" t="s">
        <v>2904</v>
      </c>
      <c r="AE247" s="1" t="s">
        <v>2905</v>
      </c>
      <c r="AF247" s="1" t="s">
        <v>283</v>
      </c>
      <c r="AG247" s="1" t="s">
        <v>2905</v>
      </c>
      <c r="AH247" s="1" t="s">
        <v>122</v>
      </c>
      <c r="AI247" s="6">
        <v>46206.0</v>
      </c>
      <c r="AJ247" s="1" t="s">
        <v>86</v>
      </c>
      <c r="AK247" s="1" t="s">
        <v>2906</v>
      </c>
      <c r="AL247" s="1" t="s">
        <v>2907</v>
      </c>
      <c r="AM247" s="11" t="str">
        <f>VLOOKUP(N247,Sheet3!$B$4:$C$10,2,1)</f>
        <v>41-50</v>
      </c>
      <c r="AN247" s="12" t="str">
        <f>VLOOKUP(Z247,Sheet3!$F$4:$G$10,2,1)</f>
        <v>11-20</v>
      </c>
      <c r="AO247" s="5" t="str">
        <f>VLOOKUP(AA247,Sheet3!$I$3:$J$16,2,1)</f>
        <v>120000-140000</v>
      </c>
      <c r="AP247" s="5" t="str">
        <f>VLOOKUP(AB247,Sheet3!$L$4:$M$14,2,1)</f>
        <v>21% - 25%</v>
      </c>
    </row>
    <row r="248">
      <c r="A248" s="6">
        <v>458765.0</v>
      </c>
      <c r="B248" s="1" t="s">
        <v>42</v>
      </c>
      <c r="C248" s="1" t="s">
        <v>1727</v>
      </c>
      <c r="D248" s="1" t="s">
        <v>44</v>
      </c>
      <c r="E248" s="1" t="s">
        <v>2908</v>
      </c>
      <c r="F248" s="1" t="s">
        <v>46</v>
      </c>
      <c r="G248" s="1" t="s">
        <v>2909</v>
      </c>
      <c r="H248" s="1" t="s">
        <v>1395</v>
      </c>
      <c r="I248" s="1" t="s">
        <v>2910</v>
      </c>
      <c r="J248" s="1" t="s">
        <v>2911</v>
      </c>
      <c r="K248" s="1" t="s">
        <v>2912</v>
      </c>
      <c r="L248" s="9">
        <v>29763.0</v>
      </c>
      <c r="M248" s="8">
        <v>0.9543055555555555</v>
      </c>
      <c r="N248" s="6">
        <v>36.11</v>
      </c>
      <c r="O248" s="6">
        <v>44.0</v>
      </c>
      <c r="P248" s="9">
        <v>39008.0</v>
      </c>
      <c r="Q248" s="1" t="s">
        <v>52</v>
      </c>
      <c r="R248" s="1" t="s">
        <v>53</v>
      </c>
      <c r="S248" s="6">
        <v>2006.0</v>
      </c>
      <c r="T248" s="6">
        <v>10.0</v>
      </c>
      <c r="U248" s="1" t="s">
        <v>133</v>
      </c>
      <c r="V248" s="1" t="s">
        <v>134</v>
      </c>
      <c r="W248" s="6">
        <v>18.0</v>
      </c>
      <c r="X248" s="1" t="s">
        <v>278</v>
      </c>
      <c r="Y248" s="1" t="s">
        <v>279</v>
      </c>
      <c r="Z248" s="6">
        <v>10.78</v>
      </c>
      <c r="AA248" s="6">
        <v>183956.0</v>
      </c>
      <c r="AB248" s="10">
        <v>0.29</v>
      </c>
      <c r="AC248" s="1" t="s">
        <v>2913</v>
      </c>
      <c r="AD248" s="1" t="s">
        <v>2914</v>
      </c>
      <c r="AE248" s="1" t="s">
        <v>2915</v>
      </c>
      <c r="AF248" s="1" t="s">
        <v>2916</v>
      </c>
      <c r="AG248" s="1" t="s">
        <v>2915</v>
      </c>
      <c r="AH248" s="1" t="s">
        <v>238</v>
      </c>
      <c r="AI248" s="6">
        <v>93021.0</v>
      </c>
      <c r="AJ248" s="1" t="s">
        <v>63</v>
      </c>
      <c r="AK248" s="1" t="s">
        <v>2917</v>
      </c>
      <c r="AL248" s="1" t="s">
        <v>2918</v>
      </c>
      <c r="AM248" s="11" t="str">
        <f>VLOOKUP(N248,Sheet3!$B$4:$C$10,2,1)</f>
        <v>31-40</v>
      </c>
      <c r="AN248" s="12" t="str">
        <f>VLOOKUP(Z248,Sheet3!$F$4:$G$10,2,1)</f>
        <v>5-10</v>
      </c>
      <c r="AO248" s="5" t="str">
        <f>VLOOKUP(AA248,Sheet3!$I$3:$J$16,2,1)</f>
        <v>180000-200000</v>
      </c>
      <c r="AP248" s="5" t="str">
        <f>VLOOKUP(AB248,Sheet3!$L$4:$M$14,2,1)</f>
        <v>26% - 30%</v>
      </c>
    </row>
    <row r="249">
      <c r="A249" s="6">
        <v>562109.0</v>
      </c>
      <c r="B249" s="1" t="s">
        <v>66</v>
      </c>
      <c r="C249" s="1" t="s">
        <v>1358</v>
      </c>
      <c r="D249" s="1" t="s">
        <v>257</v>
      </c>
      <c r="E249" s="1" t="s">
        <v>2919</v>
      </c>
      <c r="F249" s="1" t="s">
        <v>70</v>
      </c>
      <c r="G249" s="1" t="s">
        <v>2920</v>
      </c>
      <c r="H249" s="1" t="s">
        <v>1395</v>
      </c>
      <c r="I249" s="1" t="s">
        <v>2921</v>
      </c>
      <c r="J249" s="1" t="s">
        <v>2922</v>
      </c>
      <c r="K249" s="1" t="s">
        <v>2923</v>
      </c>
      <c r="L249" s="9">
        <v>23158.0</v>
      </c>
      <c r="M249" s="8">
        <v>0.2024189814814815</v>
      </c>
      <c r="N249" s="6">
        <v>54.21</v>
      </c>
      <c r="O249" s="6">
        <v>60.0</v>
      </c>
      <c r="P249" s="9">
        <v>35033.0</v>
      </c>
      <c r="Q249" s="1" t="s">
        <v>52</v>
      </c>
      <c r="R249" s="1" t="s">
        <v>53</v>
      </c>
      <c r="S249" s="6">
        <v>1995.0</v>
      </c>
      <c r="T249" s="6">
        <v>11.0</v>
      </c>
      <c r="U249" s="1" t="s">
        <v>148</v>
      </c>
      <c r="V249" s="1" t="s">
        <v>149</v>
      </c>
      <c r="W249" s="6">
        <v>30.0</v>
      </c>
      <c r="X249" s="1" t="s">
        <v>150</v>
      </c>
      <c r="Y249" s="1" t="s">
        <v>151</v>
      </c>
      <c r="Z249" s="6">
        <v>21.67</v>
      </c>
      <c r="AA249" s="6">
        <v>108295.0</v>
      </c>
      <c r="AB249" s="10">
        <v>0.06</v>
      </c>
      <c r="AC249" s="1" t="s">
        <v>2924</v>
      </c>
      <c r="AD249" s="1" t="s">
        <v>2925</v>
      </c>
      <c r="AE249" s="1" t="s">
        <v>2419</v>
      </c>
      <c r="AF249" s="1" t="s">
        <v>2419</v>
      </c>
      <c r="AG249" s="1" t="s">
        <v>2419</v>
      </c>
      <c r="AH249" s="1" t="s">
        <v>210</v>
      </c>
      <c r="AI249" s="6">
        <v>61640.0</v>
      </c>
      <c r="AJ249" s="1" t="s">
        <v>86</v>
      </c>
      <c r="AK249" s="1" t="s">
        <v>2926</v>
      </c>
      <c r="AL249" s="1" t="s">
        <v>2927</v>
      </c>
      <c r="AM249" s="11" t="str">
        <f>VLOOKUP(N249,Sheet3!$B$4:$C$10,2,1)</f>
        <v>51-60</v>
      </c>
      <c r="AN249" s="13" t="str">
        <f>VLOOKUP(Z249,Sheet3!$F$4:$G$10,2,1)</f>
        <v>21-30</v>
      </c>
      <c r="AO249" s="5" t="str">
        <f>VLOOKUP(AA249,Sheet3!$I$3:$J$16,2,1)</f>
        <v>100000-120000</v>
      </c>
      <c r="AP249" s="5" t="str">
        <f>VLOOKUP(AB249,Sheet3!$L$4:$M$14,2,1)</f>
        <v>5% - 10%</v>
      </c>
    </row>
    <row r="250">
      <c r="A250" s="6">
        <v>947334.0</v>
      </c>
      <c r="B250" s="1" t="s">
        <v>66</v>
      </c>
      <c r="C250" s="1" t="s">
        <v>2928</v>
      </c>
      <c r="D250" s="1" t="s">
        <v>403</v>
      </c>
      <c r="E250" s="1" t="s">
        <v>61</v>
      </c>
      <c r="F250" s="1" t="s">
        <v>70</v>
      </c>
      <c r="G250" s="1" t="s">
        <v>2929</v>
      </c>
      <c r="H250" s="1" t="s">
        <v>1395</v>
      </c>
      <c r="I250" s="1" t="s">
        <v>2930</v>
      </c>
      <c r="J250" s="1" t="s">
        <v>2931</v>
      </c>
      <c r="K250" s="1" t="s">
        <v>1245</v>
      </c>
      <c r="L250" s="9">
        <v>22239.0</v>
      </c>
      <c r="M250" s="8">
        <v>0.45655092592592594</v>
      </c>
      <c r="N250" s="6">
        <v>56.73</v>
      </c>
      <c r="O250" s="6">
        <v>56.0</v>
      </c>
      <c r="P250" s="9">
        <v>40502.0</v>
      </c>
      <c r="Q250" s="1" t="s">
        <v>52</v>
      </c>
      <c r="R250" s="1" t="s">
        <v>53</v>
      </c>
      <c r="S250" s="6">
        <v>2010.0</v>
      </c>
      <c r="T250" s="6">
        <v>11.0</v>
      </c>
      <c r="U250" s="1" t="s">
        <v>148</v>
      </c>
      <c r="V250" s="1" t="s">
        <v>149</v>
      </c>
      <c r="W250" s="6">
        <v>20.0</v>
      </c>
      <c r="X250" s="1" t="s">
        <v>56</v>
      </c>
      <c r="Y250" s="1" t="s">
        <v>57</v>
      </c>
      <c r="Z250" s="6">
        <v>6.69</v>
      </c>
      <c r="AA250" s="6">
        <v>175424.0</v>
      </c>
      <c r="AB250" s="10">
        <v>0.07</v>
      </c>
      <c r="AC250" s="1" t="s">
        <v>2932</v>
      </c>
      <c r="AD250" s="1" t="s">
        <v>2933</v>
      </c>
      <c r="AE250" s="1" t="s">
        <v>2934</v>
      </c>
      <c r="AF250" s="1" t="s">
        <v>221</v>
      </c>
      <c r="AG250" s="1" t="s">
        <v>2934</v>
      </c>
      <c r="AH250" s="1" t="s">
        <v>284</v>
      </c>
      <c r="AI250" s="6">
        <v>51566.0</v>
      </c>
      <c r="AJ250" s="1" t="s">
        <v>86</v>
      </c>
      <c r="AK250" s="1" t="s">
        <v>2935</v>
      </c>
      <c r="AL250" s="1" t="s">
        <v>2936</v>
      </c>
      <c r="AM250" s="11" t="str">
        <f>VLOOKUP(N250,Sheet3!$B$4:$C$10,2,1)</f>
        <v>51-60</v>
      </c>
      <c r="AN250" s="12" t="str">
        <f>VLOOKUP(Z250,Sheet3!$F$4:$G$10,2,1)</f>
        <v>5-10</v>
      </c>
      <c r="AO250" s="5" t="str">
        <f>VLOOKUP(AA250,Sheet3!$I$3:$J$16,2,1)</f>
        <v>160000-180000</v>
      </c>
      <c r="AP250" s="5" t="str">
        <f>VLOOKUP(AB250,Sheet3!$L$4:$M$14,2,1)</f>
        <v>5% - 10%</v>
      </c>
    </row>
    <row r="251">
      <c r="A251" s="6">
        <v>316995.0</v>
      </c>
      <c r="B251" s="1" t="s">
        <v>109</v>
      </c>
      <c r="C251" s="1" t="s">
        <v>2937</v>
      </c>
      <c r="D251" s="1" t="s">
        <v>186</v>
      </c>
      <c r="E251" s="1" t="s">
        <v>1764</v>
      </c>
      <c r="F251" s="1" t="s">
        <v>46</v>
      </c>
      <c r="G251" s="1" t="s">
        <v>2938</v>
      </c>
      <c r="H251" s="1" t="s">
        <v>1395</v>
      </c>
      <c r="I251" s="1" t="s">
        <v>2939</v>
      </c>
      <c r="J251" s="1" t="s">
        <v>2940</v>
      </c>
      <c r="K251" s="1" t="s">
        <v>1844</v>
      </c>
      <c r="L251" s="14">
        <v>35251.0</v>
      </c>
      <c r="M251" s="8">
        <v>0.24243055555555557</v>
      </c>
      <c r="N251" s="6">
        <v>21.08</v>
      </c>
      <c r="O251" s="6">
        <v>52.0</v>
      </c>
      <c r="P251" s="9">
        <v>42938.0</v>
      </c>
      <c r="Q251" s="1" t="s">
        <v>308</v>
      </c>
      <c r="R251" s="1" t="s">
        <v>53</v>
      </c>
      <c r="S251" s="6">
        <v>2017.0</v>
      </c>
      <c r="T251" s="6">
        <v>7.0</v>
      </c>
      <c r="U251" s="1" t="s">
        <v>366</v>
      </c>
      <c r="V251" s="1" t="s">
        <v>367</v>
      </c>
      <c r="W251" s="6">
        <v>22.0</v>
      </c>
      <c r="X251" s="1" t="s">
        <v>56</v>
      </c>
      <c r="Y251" s="1" t="s">
        <v>57</v>
      </c>
      <c r="Z251" s="6">
        <v>0.02</v>
      </c>
      <c r="AA251" s="6">
        <v>123599.0</v>
      </c>
      <c r="AB251" s="10">
        <v>0.16</v>
      </c>
      <c r="AC251" s="1" t="s">
        <v>2941</v>
      </c>
      <c r="AD251" s="1" t="s">
        <v>2942</v>
      </c>
      <c r="AE251" s="1" t="s">
        <v>2943</v>
      </c>
      <c r="AF251" s="1" t="s">
        <v>2199</v>
      </c>
      <c r="AG251" s="1" t="s">
        <v>2943</v>
      </c>
      <c r="AH251" s="1" t="s">
        <v>1032</v>
      </c>
      <c r="AI251" s="6">
        <v>67355.0</v>
      </c>
      <c r="AJ251" s="1" t="s">
        <v>86</v>
      </c>
      <c r="AK251" s="1" t="s">
        <v>2944</v>
      </c>
      <c r="AL251" s="1" t="s">
        <v>2945</v>
      </c>
      <c r="AM251" s="11" t="str">
        <f>VLOOKUP(N251,Sheet3!$B$4:$C$10,2,1)</f>
        <v>21-30</v>
      </c>
      <c r="AN251" s="13" t="str">
        <f>VLOOKUP(Z251,Sheet3!$F$4:$G$10,2,1)</f>
        <v>&lt; 5</v>
      </c>
      <c r="AO251" s="5" t="str">
        <f>VLOOKUP(AA251,Sheet3!$I$3:$J$16,2,1)</f>
        <v>120000-140000</v>
      </c>
      <c r="AP251" s="5" t="str">
        <f>VLOOKUP(AB251,Sheet3!$L$4:$M$14,2,1)</f>
        <v>16% - 20%</v>
      </c>
    </row>
    <row r="252">
      <c r="A252" s="6">
        <v>798671.0</v>
      </c>
      <c r="B252" s="1" t="s">
        <v>66</v>
      </c>
      <c r="C252" s="1" t="s">
        <v>2946</v>
      </c>
      <c r="D252" s="1" t="s">
        <v>127</v>
      </c>
      <c r="E252" s="1" t="s">
        <v>2947</v>
      </c>
      <c r="F252" s="1" t="s">
        <v>70</v>
      </c>
      <c r="G252" s="1" t="s">
        <v>2948</v>
      </c>
      <c r="H252" s="1" t="s">
        <v>1395</v>
      </c>
      <c r="I252" s="1" t="s">
        <v>2949</v>
      </c>
      <c r="J252" s="1" t="s">
        <v>2950</v>
      </c>
      <c r="K252" s="1" t="s">
        <v>1473</v>
      </c>
      <c r="L252" s="9">
        <v>23640.0</v>
      </c>
      <c r="M252" s="8">
        <v>0.26153935185185184</v>
      </c>
      <c r="N252" s="6">
        <v>52.89</v>
      </c>
      <c r="O252" s="6">
        <v>54.0</v>
      </c>
      <c r="P252" s="9">
        <v>39594.0</v>
      </c>
      <c r="Q252" s="1" t="s">
        <v>75</v>
      </c>
      <c r="R252" s="1" t="s">
        <v>76</v>
      </c>
      <c r="S252" s="6">
        <v>2008.0</v>
      </c>
      <c r="T252" s="6">
        <v>5.0</v>
      </c>
      <c r="U252" s="1" t="s">
        <v>294</v>
      </c>
      <c r="V252" s="1" t="s">
        <v>294</v>
      </c>
      <c r="W252" s="6">
        <v>26.0</v>
      </c>
      <c r="X252" s="1" t="s">
        <v>99</v>
      </c>
      <c r="Y252" s="1" t="s">
        <v>100</v>
      </c>
      <c r="Z252" s="6">
        <v>9.18</v>
      </c>
      <c r="AA252" s="6">
        <v>180393.0</v>
      </c>
      <c r="AB252" s="10">
        <v>0.22</v>
      </c>
      <c r="AC252" s="1" t="s">
        <v>2951</v>
      </c>
      <c r="AD252" s="1" t="s">
        <v>2952</v>
      </c>
      <c r="AE252" s="1" t="s">
        <v>2750</v>
      </c>
      <c r="AF252" s="1" t="s">
        <v>2750</v>
      </c>
      <c r="AG252" s="1" t="s">
        <v>2750</v>
      </c>
      <c r="AH252" s="1" t="s">
        <v>893</v>
      </c>
      <c r="AI252" s="6">
        <v>27707.0</v>
      </c>
      <c r="AJ252" s="1" t="s">
        <v>106</v>
      </c>
      <c r="AK252" s="1" t="s">
        <v>2953</v>
      </c>
      <c r="AL252" s="1" t="s">
        <v>2954</v>
      </c>
      <c r="AM252" s="11" t="str">
        <f>VLOOKUP(N252,Sheet3!$B$4:$C$10,2,1)</f>
        <v>51-60</v>
      </c>
      <c r="AN252" s="12" t="str">
        <f>VLOOKUP(Z252,Sheet3!$F$4:$G$10,2,1)</f>
        <v>5-10</v>
      </c>
      <c r="AO252" s="5" t="str">
        <f>VLOOKUP(AA252,Sheet3!$I$3:$J$16,2,1)</f>
        <v>180000-200000</v>
      </c>
      <c r="AP252" s="5" t="str">
        <f>VLOOKUP(AB252,Sheet3!$L$4:$M$14,2,1)</f>
        <v>21% - 25%</v>
      </c>
    </row>
    <row r="253">
      <c r="A253" s="6">
        <v>415004.0</v>
      </c>
      <c r="B253" s="1" t="s">
        <v>42</v>
      </c>
      <c r="C253" s="1" t="s">
        <v>2955</v>
      </c>
      <c r="D253" s="1" t="s">
        <v>554</v>
      </c>
      <c r="E253" s="1" t="s">
        <v>2956</v>
      </c>
      <c r="F253" s="1" t="s">
        <v>46</v>
      </c>
      <c r="G253" s="1" t="s">
        <v>2957</v>
      </c>
      <c r="H253" s="1" t="s">
        <v>1395</v>
      </c>
      <c r="I253" s="1" t="s">
        <v>2958</v>
      </c>
      <c r="J253" s="1" t="s">
        <v>2959</v>
      </c>
      <c r="K253" s="1" t="s">
        <v>2960</v>
      </c>
      <c r="L253" s="14">
        <v>34796.0</v>
      </c>
      <c r="M253" s="8">
        <v>0.23357638888888888</v>
      </c>
      <c r="N253" s="6">
        <v>22.32</v>
      </c>
      <c r="O253" s="6">
        <v>43.0</v>
      </c>
      <c r="P253" s="9">
        <v>42515.0</v>
      </c>
      <c r="Q253" s="1" t="s">
        <v>75</v>
      </c>
      <c r="R253" s="1" t="s">
        <v>76</v>
      </c>
      <c r="S253" s="6">
        <v>2016.0</v>
      </c>
      <c r="T253" s="6">
        <v>5.0</v>
      </c>
      <c r="U253" s="1" t="s">
        <v>294</v>
      </c>
      <c r="V253" s="1" t="s">
        <v>294</v>
      </c>
      <c r="W253" s="6">
        <v>25.0</v>
      </c>
      <c r="X253" s="1" t="s">
        <v>278</v>
      </c>
      <c r="Y253" s="1" t="s">
        <v>279</v>
      </c>
      <c r="Z253" s="6">
        <v>1.18</v>
      </c>
      <c r="AA253" s="6">
        <v>56054.0</v>
      </c>
      <c r="AB253" s="10">
        <v>0.1</v>
      </c>
      <c r="AC253" s="1" t="s">
        <v>2961</v>
      </c>
      <c r="AD253" s="1" t="s">
        <v>2962</v>
      </c>
      <c r="AE253" s="1" t="s">
        <v>2963</v>
      </c>
      <c r="AF253" s="1" t="s">
        <v>2964</v>
      </c>
      <c r="AG253" s="1" t="s">
        <v>2963</v>
      </c>
      <c r="AH253" s="1" t="s">
        <v>1561</v>
      </c>
      <c r="AI253" s="6">
        <v>54913.0</v>
      </c>
      <c r="AJ253" s="1" t="s">
        <v>86</v>
      </c>
      <c r="AK253" s="1" t="s">
        <v>2965</v>
      </c>
      <c r="AL253" s="1" t="s">
        <v>2966</v>
      </c>
      <c r="AM253" s="11" t="str">
        <f>VLOOKUP(N253,Sheet3!$B$4:$C$10,2,1)</f>
        <v>21-30</v>
      </c>
      <c r="AN253" s="13" t="str">
        <f>VLOOKUP(Z253,Sheet3!$F$4:$G$10,2,1)</f>
        <v>&lt; 5</v>
      </c>
      <c r="AO253" s="5" t="str">
        <f>VLOOKUP(AA253,Sheet3!$I$3:$J$16,2,1)</f>
        <v>40000-60000</v>
      </c>
      <c r="AP253" s="5" t="str">
        <f>VLOOKUP(AB253,Sheet3!$L$4:$M$14,2,1)</f>
        <v>5% - 10%</v>
      </c>
    </row>
    <row r="254">
      <c r="A254" s="6">
        <v>770810.0</v>
      </c>
      <c r="B254" s="1" t="s">
        <v>66</v>
      </c>
      <c r="C254" s="1" t="s">
        <v>2967</v>
      </c>
      <c r="D254" s="1" t="s">
        <v>44</v>
      </c>
      <c r="E254" s="1" t="s">
        <v>2968</v>
      </c>
      <c r="F254" s="1" t="s">
        <v>70</v>
      </c>
      <c r="G254" s="1" t="s">
        <v>2969</v>
      </c>
      <c r="H254" s="1" t="s">
        <v>1395</v>
      </c>
      <c r="I254" s="1" t="s">
        <v>2970</v>
      </c>
      <c r="J254" s="1" t="s">
        <v>2971</v>
      </c>
      <c r="K254" s="1" t="s">
        <v>303</v>
      </c>
      <c r="L254" s="9">
        <v>30118.0</v>
      </c>
      <c r="M254" s="8">
        <v>0.1557175925925926</v>
      </c>
      <c r="N254" s="6">
        <v>35.14</v>
      </c>
      <c r="O254" s="6">
        <v>88.0</v>
      </c>
      <c r="P254" s="9">
        <v>38339.0</v>
      </c>
      <c r="Q254" s="1" t="s">
        <v>52</v>
      </c>
      <c r="R254" s="1" t="s">
        <v>53</v>
      </c>
      <c r="S254" s="6">
        <v>2004.0</v>
      </c>
      <c r="T254" s="6">
        <v>12.0</v>
      </c>
      <c r="U254" s="1" t="s">
        <v>54</v>
      </c>
      <c r="V254" s="1" t="s">
        <v>55</v>
      </c>
      <c r="W254" s="6">
        <v>18.0</v>
      </c>
      <c r="X254" s="1" t="s">
        <v>56</v>
      </c>
      <c r="Y254" s="1" t="s">
        <v>57</v>
      </c>
      <c r="Z254" s="6">
        <v>12.62</v>
      </c>
      <c r="AA254" s="6">
        <v>80934.0</v>
      </c>
      <c r="AB254" s="10">
        <v>0.22</v>
      </c>
      <c r="AC254" s="1" t="s">
        <v>2972</v>
      </c>
      <c r="AD254" s="1" t="s">
        <v>2973</v>
      </c>
      <c r="AE254" s="1" t="s">
        <v>2974</v>
      </c>
      <c r="AF254" s="1" t="s">
        <v>2975</v>
      </c>
      <c r="AG254" s="1" t="s">
        <v>2974</v>
      </c>
      <c r="AH254" s="1" t="s">
        <v>85</v>
      </c>
      <c r="AI254" s="6">
        <v>49279.0</v>
      </c>
      <c r="AJ254" s="1" t="s">
        <v>86</v>
      </c>
      <c r="AK254" s="1" t="s">
        <v>2976</v>
      </c>
      <c r="AL254" s="1" t="s">
        <v>2977</v>
      </c>
      <c r="AM254" s="11" t="str">
        <f>VLOOKUP(N254,Sheet3!$B$4:$C$10,2,1)</f>
        <v>31-40</v>
      </c>
      <c r="AN254" s="12" t="str">
        <f>VLOOKUP(Z254,Sheet3!$F$4:$G$10,2,1)</f>
        <v>11-20</v>
      </c>
      <c r="AO254" s="5" t="str">
        <f>VLOOKUP(AA254,Sheet3!$I$3:$J$16,2,1)</f>
        <v>80000-100000</v>
      </c>
      <c r="AP254" s="5" t="str">
        <f>VLOOKUP(AB254,Sheet3!$L$4:$M$14,2,1)</f>
        <v>21% - 25%</v>
      </c>
    </row>
    <row r="255">
      <c r="A255" s="6">
        <v>255640.0</v>
      </c>
      <c r="B255" s="1" t="s">
        <v>66</v>
      </c>
      <c r="C255" s="1" t="s">
        <v>2978</v>
      </c>
      <c r="D255" s="1" t="s">
        <v>861</v>
      </c>
      <c r="E255" s="1" t="s">
        <v>2979</v>
      </c>
      <c r="F255" s="1" t="s">
        <v>70</v>
      </c>
      <c r="G255" s="1" t="s">
        <v>2980</v>
      </c>
      <c r="H255" s="1" t="s">
        <v>1395</v>
      </c>
      <c r="I255" s="1" t="s">
        <v>2981</v>
      </c>
      <c r="J255" s="1" t="s">
        <v>2982</v>
      </c>
      <c r="K255" s="1" t="s">
        <v>218</v>
      </c>
      <c r="L255" s="14">
        <v>31662.0</v>
      </c>
      <c r="M255" s="8">
        <v>0.16068287037037038</v>
      </c>
      <c r="N255" s="6">
        <v>30.91</v>
      </c>
      <c r="O255" s="6">
        <v>75.0</v>
      </c>
      <c r="P255" s="9">
        <v>39766.0</v>
      </c>
      <c r="Q255" s="1" t="s">
        <v>52</v>
      </c>
      <c r="R255" s="1" t="s">
        <v>53</v>
      </c>
      <c r="S255" s="6">
        <v>2008.0</v>
      </c>
      <c r="T255" s="6">
        <v>11.0</v>
      </c>
      <c r="U255" s="1" t="s">
        <v>148</v>
      </c>
      <c r="V255" s="1" t="s">
        <v>149</v>
      </c>
      <c r="W255" s="6">
        <v>14.0</v>
      </c>
      <c r="X255" s="1" t="s">
        <v>263</v>
      </c>
      <c r="Y255" s="1" t="s">
        <v>264</v>
      </c>
      <c r="Z255" s="6">
        <v>8.71</v>
      </c>
      <c r="AA255" s="6">
        <v>80699.0</v>
      </c>
      <c r="AB255" s="10">
        <v>0.21</v>
      </c>
      <c r="AC255" s="1" t="s">
        <v>2983</v>
      </c>
      <c r="AD255" s="1" t="s">
        <v>2984</v>
      </c>
      <c r="AE255" s="1" t="s">
        <v>2985</v>
      </c>
      <c r="AF255" s="1" t="s">
        <v>1672</v>
      </c>
      <c r="AG255" s="1" t="s">
        <v>2985</v>
      </c>
      <c r="AH255" s="1" t="s">
        <v>563</v>
      </c>
      <c r="AI255" s="6">
        <v>24850.0</v>
      </c>
      <c r="AJ255" s="1" t="s">
        <v>106</v>
      </c>
      <c r="AK255" s="1" t="s">
        <v>2986</v>
      </c>
      <c r="AL255" s="1" t="s">
        <v>2987</v>
      </c>
      <c r="AM255" s="11" t="str">
        <f>VLOOKUP(N255,Sheet3!$B$4:$C$10,2,1)</f>
        <v>21-30</v>
      </c>
      <c r="AN255" s="12" t="str">
        <f>VLOOKUP(Z255,Sheet3!$F$4:$G$10,2,1)</f>
        <v>5-10</v>
      </c>
      <c r="AO255" s="5" t="str">
        <f>VLOOKUP(AA255,Sheet3!$I$3:$J$16,2,1)</f>
        <v>80000-100000</v>
      </c>
      <c r="AP255" s="5" t="str">
        <f>VLOOKUP(AB255,Sheet3!$L$4:$M$14,2,1)</f>
        <v>21% - 25%</v>
      </c>
    </row>
    <row r="256">
      <c r="A256" s="6">
        <v>311079.0</v>
      </c>
      <c r="B256" s="1" t="s">
        <v>255</v>
      </c>
      <c r="C256" s="1" t="s">
        <v>2988</v>
      </c>
      <c r="D256" s="1" t="s">
        <v>111</v>
      </c>
      <c r="E256" s="1" t="s">
        <v>2989</v>
      </c>
      <c r="F256" s="1" t="s">
        <v>70</v>
      </c>
      <c r="G256" s="1" t="s">
        <v>2990</v>
      </c>
      <c r="H256" s="1" t="s">
        <v>1395</v>
      </c>
      <c r="I256" s="1" t="s">
        <v>2991</v>
      </c>
      <c r="J256" s="1" t="s">
        <v>2992</v>
      </c>
      <c r="K256" s="1" t="s">
        <v>1169</v>
      </c>
      <c r="L256" s="9">
        <v>32615.0</v>
      </c>
      <c r="M256" s="8">
        <v>0.07434027777777778</v>
      </c>
      <c r="N256" s="6">
        <v>28.3</v>
      </c>
      <c r="O256" s="6">
        <v>50.0</v>
      </c>
      <c r="P256" s="9">
        <v>40870.0</v>
      </c>
      <c r="Q256" s="1" t="s">
        <v>52</v>
      </c>
      <c r="R256" s="1" t="s">
        <v>53</v>
      </c>
      <c r="S256" s="6">
        <v>2011.0</v>
      </c>
      <c r="T256" s="6">
        <v>11.0</v>
      </c>
      <c r="U256" s="1" t="s">
        <v>148</v>
      </c>
      <c r="V256" s="1" t="s">
        <v>149</v>
      </c>
      <c r="W256" s="6">
        <v>23.0</v>
      </c>
      <c r="X256" s="1" t="s">
        <v>278</v>
      </c>
      <c r="Y256" s="1" t="s">
        <v>279</v>
      </c>
      <c r="Z256" s="6">
        <v>5.68</v>
      </c>
      <c r="AA256" s="6">
        <v>48192.0</v>
      </c>
      <c r="AB256" s="10">
        <v>0.21</v>
      </c>
      <c r="AC256" s="1" t="s">
        <v>2993</v>
      </c>
      <c r="AD256" s="1" t="s">
        <v>2994</v>
      </c>
      <c r="AE256" s="1" t="s">
        <v>2995</v>
      </c>
      <c r="AF256" s="1" t="s">
        <v>1884</v>
      </c>
      <c r="AG256" s="1" t="s">
        <v>2995</v>
      </c>
      <c r="AH256" s="1" t="s">
        <v>385</v>
      </c>
      <c r="AI256" s="6">
        <v>99135.0</v>
      </c>
      <c r="AJ256" s="1" t="s">
        <v>63</v>
      </c>
      <c r="AK256" s="1" t="s">
        <v>2996</v>
      </c>
      <c r="AL256" s="1" t="s">
        <v>2997</v>
      </c>
      <c r="AM256" s="11" t="str">
        <f>VLOOKUP(N256,Sheet3!$B$4:$C$10,2,1)</f>
        <v>21-30</v>
      </c>
      <c r="AN256" s="12" t="str">
        <f>VLOOKUP(Z256,Sheet3!$F$4:$G$10,2,1)</f>
        <v>5-10</v>
      </c>
      <c r="AO256" s="5" t="str">
        <f>VLOOKUP(AA256,Sheet3!$I$3:$J$16,2,1)</f>
        <v>40000-60000</v>
      </c>
      <c r="AP256" s="5" t="str">
        <f>VLOOKUP(AB256,Sheet3!$L$4:$M$14,2,1)</f>
        <v>21% - 25%</v>
      </c>
    </row>
    <row r="257">
      <c r="A257" s="6">
        <v>559421.0</v>
      </c>
      <c r="B257" s="1" t="s">
        <v>42</v>
      </c>
      <c r="C257" s="1" t="s">
        <v>2998</v>
      </c>
      <c r="D257" s="1" t="s">
        <v>257</v>
      </c>
      <c r="E257" s="1" t="s">
        <v>2999</v>
      </c>
      <c r="F257" s="1" t="s">
        <v>46</v>
      </c>
      <c r="G257" s="1" t="s">
        <v>3000</v>
      </c>
      <c r="H257" s="1" t="s">
        <v>1395</v>
      </c>
      <c r="I257" s="1" t="s">
        <v>3001</v>
      </c>
      <c r="J257" s="1" t="s">
        <v>3002</v>
      </c>
      <c r="K257" s="1" t="s">
        <v>1036</v>
      </c>
      <c r="L257" s="14">
        <v>31504.0</v>
      </c>
      <c r="M257" s="8">
        <v>0.799699074074074</v>
      </c>
      <c r="N257" s="6">
        <v>31.34</v>
      </c>
      <c r="O257" s="6">
        <v>43.0</v>
      </c>
      <c r="P257" s="14">
        <v>40731.0</v>
      </c>
      <c r="Q257" s="1" t="s">
        <v>308</v>
      </c>
      <c r="R257" s="1" t="s">
        <v>53</v>
      </c>
      <c r="S257" s="6">
        <v>2011.0</v>
      </c>
      <c r="T257" s="6">
        <v>7.0</v>
      </c>
      <c r="U257" s="1" t="s">
        <v>366</v>
      </c>
      <c r="V257" s="1" t="s">
        <v>367</v>
      </c>
      <c r="W257" s="6">
        <v>7.0</v>
      </c>
      <c r="X257" s="1" t="s">
        <v>150</v>
      </c>
      <c r="Y257" s="1" t="s">
        <v>151</v>
      </c>
      <c r="Z257" s="6">
        <v>6.06</v>
      </c>
      <c r="AA257" s="6">
        <v>155351.0</v>
      </c>
      <c r="AB257" s="10">
        <v>0.17</v>
      </c>
      <c r="AC257" s="1" t="s">
        <v>3003</v>
      </c>
      <c r="AD257" s="1" t="s">
        <v>3004</v>
      </c>
      <c r="AE257" s="1" t="s">
        <v>3005</v>
      </c>
      <c r="AF257" s="1" t="s">
        <v>3006</v>
      </c>
      <c r="AG257" s="1" t="s">
        <v>3005</v>
      </c>
      <c r="AH257" s="1" t="s">
        <v>2483</v>
      </c>
      <c r="AI257" s="6">
        <v>29216.0</v>
      </c>
      <c r="AJ257" s="1" t="s">
        <v>106</v>
      </c>
      <c r="AK257" s="1" t="s">
        <v>3007</v>
      </c>
      <c r="AL257" s="1" t="s">
        <v>3008</v>
      </c>
      <c r="AM257" s="11" t="str">
        <f>VLOOKUP(N257,Sheet3!$B$4:$C$10,2,1)</f>
        <v>31-40</v>
      </c>
      <c r="AN257" s="12" t="str">
        <f>VLOOKUP(Z257,Sheet3!$F$4:$G$10,2,1)</f>
        <v>5-10</v>
      </c>
      <c r="AO257" s="5" t="str">
        <f>VLOOKUP(AA257,Sheet3!$I$3:$J$16,2,1)</f>
        <v>140000-160000</v>
      </c>
      <c r="AP257" s="5" t="str">
        <f>VLOOKUP(AB257,Sheet3!$L$4:$M$14,2,1)</f>
        <v>16% - 20%</v>
      </c>
    </row>
    <row r="258">
      <c r="A258" s="6">
        <v>959306.0</v>
      </c>
      <c r="B258" s="1" t="s">
        <v>42</v>
      </c>
      <c r="C258" s="1" t="s">
        <v>3009</v>
      </c>
      <c r="D258" s="1" t="s">
        <v>257</v>
      </c>
      <c r="E258" s="1" t="s">
        <v>3010</v>
      </c>
      <c r="F258" s="1" t="s">
        <v>46</v>
      </c>
      <c r="G258" s="1" t="s">
        <v>3011</v>
      </c>
      <c r="H258" s="1" t="s">
        <v>1395</v>
      </c>
      <c r="I258" s="1" t="s">
        <v>3012</v>
      </c>
      <c r="J258" s="1" t="s">
        <v>3013</v>
      </c>
      <c r="K258" s="1" t="s">
        <v>1439</v>
      </c>
      <c r="L258" s="9">
        <v>26865.0</v>
      </c>
      <c r="M258" s="8">
        <v>0.34891203703703705</v>
      </c>
      <c r="N258" s="6">
        <v>44.05</v>
      </c>
      <c r="O258" s="6">
        <v>52.0</v>
      </c>
      <c r="P258" s="9">
        <v>36755.0</v>
      </c>
      <c r="Q258" s="1" t="s">
        <v>308</v>
      </c>
      <c r="R258" s="1" t="s">
        <v>53</v>
      </c>
      <c r="S258" s="6">
        <v>2000.0</v>
      </c>
      <c r="T258" s="6">
        <v>8.0</v>
      </c>
      <c r="U258" s="1" t="s">
        <v>433</v>
      </c>
      <c r="V258" s="1" t="s">
        <v>434</v>
      </c>
      <c r="W258" s="6">
        <v>17.0</v>
      </c>
      <c r="X258" s="1" t="s">
        <v>150</v>
      </c>
      <c r="Y258" s="1" t="s">
        <v>151</v>
      </c>
      <c r="Z258" s="6">
        <v>16.96</v>
      </c>
      <c r="AA258" s="6">
        <v>74961.0</v>
      </c>
      <c r="AB258" s="10">
        <v>0.3</v>
      </c>
      <c r="AC258" s="1" t="s">
        <v>3014</v>
      </c>
      <c r="AD258" s="1" t="s">
        <v>3015</v>
      </c>
      <c r="AE258" s="1" t="s">
        <v>3016</v>
      </c>
      <c r="AF258" s="1" t="s">
        <v>2802</v>
      </c>
      <c r="AG258" s="1" t="s">
        <v>3016</v>
      </c>
      <c r="AH258" s="1" t="s">
        <v>893</v>
      </c>
      <c r="AI258" s="6">
        <v>27821.0</v>
      </c>
      <c r="AJ258" s="1" t="s">
        <v>106</v>
      </c>
      <c r="AK258" s="1" t="s">
        <v>3017</v>
      </c>
      <c r="AL258" s="1" t="s">
        <v>3018</v>
      </c>
      <c r="AM258" s="11" t="str">
        <f>VLOOKUP(N258,Sheet3!$B$4:$C$10,2,1)</f>
        <v>41-50</v>
      </c>
      <c r="AN258" s="12" t="str">
        <f>VLOOKUP(Z258,Sheet3!$F$4:$G$10,2,1)</f>
        <v>11-20</v>
      </c>
      <c r="AO258" s="5" t="str">
        <f>VLOOKUP(AA258,Sheet3!$I$3:$J$16,2,1)</f>
        <v>60000-80000</v>
      </c>
      <c r="AP258" s="5" t="str">
        <f>VLOOKUP(AB258,Sheet3!$L$4:$M$14,2,1)</f>
        <v>26% - 30%</v>
      </c>
    </row>
    <row r="259">
      <c r="A259" s="6">
        <v>713805.0</v>
      </c>
      <c r="B259" s="1" t="s">
        <v>66</v>
      </c>
      <c r="C259" s="1" t="s">
        <v>1070</v>
      </c>
      <c r="D259" s="1" t="s">
        <v>466</v>
      </c>
      <c r="E259" s="1" t="s">
        <v>3019</v>
      </c>
      <c r="F259" s="1" t="s">
        <v>70</v>
      </c>
      <c r="G259" s="1" t="s">
        <v>3020</v>
      </c>
      <c r="H259" s="1" t="s">
        <v>1395</v>
      </c>
      <c r="I259" s="1" t="s">
        <v>3021</v>
      </c>
      <c r="J259" s="1" t="s">
        <v>3022</v>
      </c>
      <c r="K259" s="1" t="s">
        <v>2363</v>
      </c>
      <c r="L259" s="9">
        <v>26201.0</v>
      </c>
      <c r="M259" s="8">
        <v>0.027453703703703702</v>
      </c>
      <c r="N259" s="6">
        <v>45.87</v>
      </c>
      <c r="O259" s="6">
        <v>61.0</v>
      </c>
      <c r="P259" s="9">
        <v>38523.0</v>
      </c>
      <c r="Q259" s="1" t="s">
        <v>75</v>
      </c>
      <c r="R259" s="1" t="s">
        <v>76</v>
      </c>
      <c r="S259" s="6">
        <v>2005.0</v>
      </c>
      <c r="T259" s="6">
        <v>6.0</v>
      </c>
      <c r="U259" s="1" t="s">
        <v>324</v>
      </c>
      <c r="V259" s="1" t="s">
        <v>325</v>
      </c>
      <c r="W259" s="6">
        <v>20.0</v>
      </c>
      <c r="X259" s="1" t="s">
        <v>99</v>
      </c>
      <c r="Y259" s="1" t="s">
        <v>100</v>
      </c>
      <c r="Z259" s="6">
        <v>12.11</v>
      </c>
      <c r="AA259" s="6">
        <v>62876.0</v>
      </c>
      <c r="AB259" s="10">
        <v>0.15</v>
      </c>
      <c r="AC259" s="1" t="s">
        <v>3023</v>
      </c>
      <c r="AD259" s="1" t="s">
        <v>3024</v>
      </c>
      <c r="AE259" s="1" t="s">
        <v>3025</v>
      </c>
      <c r="AF259" s="1" t="s">
        <v>3026</v>
      </c>
      <c r="AG259" s="1" t="s">
        <v>3025</v>
      </c>
      <c r="AH259" s="1" t="s">
        <v>1527</v>
      </c>
      <c r="AI259" s="6">
        <v>36271.0</v>
      </c>
      <c r="AJ259" s="1" t="s">
        <v>106</v>
      </c>
      <c r="AK259" s="1" t="s">
        <v>3027</v>
      </c>
      <c r="AL259" s="1" t="s">
        <v>3028</v>
      </c>
      <c r="AM259" s="11" t="str">
        <f>VLOOKUP(N259,Sheet3!$B$4:$C$10,2,1)</f>
        <v>41-50</v>
      </c>
      <c r="AN259" s="12" t="str">
        <f>VLOOKUP(Z259,Sheet3!$F$4:$G$10,2,1)</f>
        <v>11-20</v>
      </c>
      <c r="AO259" s="5" t="str">
        <f>VLOOKUP(AA259,Sheet3!$I$3:$J$16,2,1)</f>
        <v>60000-80000</v>
      </c>
      <c r="AP259" s="5" t="str">
        <f>VLOOKUP(AB259,Sheet3!$L$4:$M$14,2,1)</f>
        <v>11% - 15%</v>
      </c>
    </row>
    <row r="260">
      <c r="A260" s="6">
        <v>532285.0</v>
      </c>
      <c r="B260" s="1" t="s">
        <v>42</v>
      </c>
      <c r="C260" s="1" t="s">
        <v>2433</v>
      </c>
      <c r="D260" s="1" t="s">
        <v>44</v>
      </c>
      <c r="E260" s="1" t="s">
        <v>233</v>
      </c>
      <c r="F260" s="1" t="s">
        <v>46</v>
      </c>
      <c r="G260" s="1" t="s">
        <v>3029</v>
      </c>
      <c r="H260" s="1" t="s">
        <v>1395</v>
      </c>
      <c r="I260" s="1" t="s">
        <v>3030</v>
      </c>
      <c r="J260" s="1" t="s">
        <v>3031</v>
      </c>
      <c r="K260" s="1" t="s">
        <v>483</v>
      </c>
      <c r="L260" s="14">
        <v>26972.0</v>
      </c>
      <c r="M260" s="8">
        <v>0.7149884259259259</v>
      </c>
      <c r="N260" s="6">
        <v>43.76</v>
      </c>
      <c r="O260" s="6">
        <v>49.0</v>
      </c>
      <c r="P260" s="9">
        <v>39433.0</v>
      </c>
      <c r="Q260" s="1" t="s">
        <v>52</v>
      </c>
      <c r="R260" s="1" t="s">
        <v>53</v>
      </c>
      <c r="S260" s="6">
        <v>2007.0</v>
      </c>
      <c r="T260" s="6">
        <v>12.0</v>
      </c>
      <c r="U260" s="1" t="s">
        <v>54</v>
      </c>
      <c r="V260" s="1" t="s">
        <v>55</v>
      </c>
      <c r="W260" s="6">
        <v>17.0</v>
      </c>
      <c r="X260" s="1" t="s">
        <v>99</v>
      </c>
      <c r="Y260" s="1" t="s">
        <v>100</v>
      </c>
      <c r="Z260" s="6">
        <v>9.62</v>
      </c>
      <c r="AA260" s="6">
        <v>88889.0</v>
      </c>
      <c r="AB260" s="10">
        <v>0.23</v>
      </c>
      <c r="AC260" s="1" t="s">
        <v>3032</v>
      </c>
      <c r="AD260" s="1" t="s">
        <v>3033</v>
      </c>
      <c r="AE260" s="1" t="s">
        <v>3034</v>
      </c>
      <c r="AF260" s="1" t="s">
        <v>3035</v>
      </c>
      <c r="AG260" s="1" t="s">
        <v>3034</v>
      </c>
      <c r="AH260" s="1" t="s">
        <v>156</v>
      </c>
      <c r="AI260" s="6">
        <v>22193.0</v>
      </c>
      <c r="AJ260" s="1" t="s">
        <v>106</v>
      </c>
      <c r="AK260" s="1" t="s">
        <v>3036</v>
      </c>
      <c r="AL260" s="1" t="s">
        <v>3037</v>
      </c>
      <c r="AM260" s="11" t="str">
        <f>VLOOKUP(N260,Sheet3!$B$4:$C$10,2,1)</f>
        <v>41-50</v>
      </c>
      <c r="AN260" s="12" t="str">
        <f>VLOOKUP(Z260,Sheet3!$F$4:$G$10,2,1)</f>
        <v>5-10</v>
      </c>
      <c r="AO260" s="5" t="str">
        <f>VLOOKUP(AA260,Sheet3!$I$3:$J$16,2,1)</f>
        <v>80000-100000</v>
      </c>
      <c r="AP260" s="5" t="str">
        <f>VLOOKUP(AB260,Sheet3!$L$4:$M$14,2,1)</f>
        <v>21% - 25%</v>
      </c>
    </row>
    <row r="261">
      <c r="A261" s="6">
        <v>664249.0</v>
      </c>
      <c r="B261" s="1" t="s">
        <v>66</v>
      </c>
      <c r="C261" s="1" t="s">
        <v>3038</v>
      </c>
      <c r="D261" s="1" t="s">
        <v>334</v>
      </c>
      <c r="E261" s="1" t="s">
        <v>3039</v>
      </c>
      <c r="F261" s="1" t="s">
        <v>70</v>
      </c>
      <c r="G261" s="1" t="s">
        <v>3040</v>
      </c>
      <c r="H261" s="1" t="s">
        <v>1395</v>
      </c>
      <c r="I261" s="1" t="s">
        <v>3041</v>
      </c>
      <c r="J261" s="1" t="s">
        <v>3042</v>
      </c>
      <c r="K261" s="1" t="s">
        <v>371</v>
      </c>
      <c r="L261" s="9">
        <v>30557.0</v>
      </c>
      <c r="M261" s="8">
        <v>0.04026620370370371</v>
      </c>
      <c r="N261" s="6">
        <v>33.94</v>
      </c>
      <c r="O261" s="6">
        <v>54.0</v>
      </c>
      <c r="P261" s="14">
        <v>38750.0</v>
      </c>
      <c r="Q261" s="1" t="s">
        <v>96</v>
      </c>
      <c r="R261" s="1" t="s">
        <v>76</v>
      </c>
      <c r="S261" s="6">
        <v>2006.0</v>
      </c>
      <c r="T261" s="6">
        <v>2.0</v>
      </c>
      <c r="U261" s="1" t="s">
        <v>117</v>
      </c>
      <c r="V261" s="1" t="s">
        <v>118</v>
      </c>
      <c r="W261" s="6">
        <v>2.0</v>
      </c>
      <c r="X261" s="1" t="s">
        <v>150</v>
      </c>
      <c r="Y261" s="1" t="s">
        <v>151</v>
      </c>
      <c r="Z261" s="6">
        <v>11.49</v>
      </c>
      <c r="AA261" s="6">
        <v>111583.0</v>
      </c>
      <c r="AB261" s="10">
        <v>0.27</v>
      </c>
      <c r="AC261" s="1" t="s">
        <v>3043</v>
      </c>
      <c r="AD261" s="1" t="s">
        <v>3044</v>
      </c>
      <c r="AE261" s="1" t="s">
        <v>3045</v>
      </c>
      <c r="AF261" s="1" t="s">
        <v>2813</v>
      </c>
      <c r="AG261" s="1" t="s">
        <v>3045</v>
      </c>
      <c r="AH261" s="1" t="s">
        <v>372</v>
      </c>
      <c r="AI261" s="6">
        <v>68838.0</v>
      </c>
      <c r="AJ261" s="1" t="s">
        <v>86</v>
      </c>
      <c r="AK261" s="1" t="s">
        <v>3046</v>
      </c>
      <c r="AL261" s="1" t="s">
        <v>3047</v>
      </c>
      <c r="AM261" s="11" t="str">
        <f>VLOOKUP(N261,Sheet3!$B$4:$C$10,2,1)</f>
        <v>31-40</v>
      </c>
      <c r="AN261" s="12" t="str">
        <f>VLOOKUP(Z261,Sheet3!$F$4:$G$10,2,1)</f>
        <v>11-20</v>
      </c>
      <c r="AO261" s="5" t="str">
        <f>VLOOKUP(AA261,Sheet3!$I$3:$J$16,2,1)</f>
        <v>100000-120000</v>
      </c>
      <c r="AP261" s="5" t="str">
        <f>VLOOKUP(AB261,Sheet3!$L$4:$M$14,2,1)</f>
        <v>26% - 30%</v>
      </c>
    </row>
    <row r="262">
      <c r="A262" s="6">
        <v>339483.0</v>
      </c>
      <c r="B262" s="1" t="s">
        <v>66</v>
      </c>
      <c r="C262" s="1" t="s">
        <v>491</v>
      </c>
      <c r="D262" s="1" t="s">
        <v>389</v>
      </c>
      <c r="E262" s="1" t="s">
        <v>3048</v>
      </c>
      <c r="F262" s="1" t="s">
        <v>70</v>
      </c>
      <c r="G262" s="1" t="s">
        <v>3049</v>
      </c>
      <c r="H262" s="1" t="s">
        <v>1395</v>
      </c>
      <c r="I262" s="1" t="s">
        <v>3050</v>
      </c>
      <c r="J262" s="1" t="s">
        <v>3051</v>
      </c>
      <c r="K262" s="1" t="s">
        <v>2106</v>
      </c>
      <c r="L262" s="9">
        <v>25583.0</v>
      </c>
      <c r="M262" s="8">
        <v>0.6820717592592592</v>
      </c>
      <c r="N262" s="6">
        <v>47.56</v>
      </c>
      <c r="O262" s="6">
        <v>59.0</v>
      </c>
      <c r="P262" s="14">
        <v>33456.0</v>
      </c>
      <c r="Q262" s="1" t="s">
        <v>308</v>
      </c>
      <c r="R262" s="1" t="s">
        <v>53</v>
      </c>
      <c r="S262" s="6">
        <v>1991.0</v>
      </c>
      <c r="T262" s="6">
        <v>8.0</v>
      </c>
      <c r="U262" s="1" t="s">
        <v>433</v>
      </c>
      <c r="V262" s="1" t="s">
        <v>434</v>
      </c>
      <c r="W262" s="6">
        <v>6.0</v>
      </c>
      <c r="X262" s="1" t="s">
        <v>79</v>
      </c>
      <c r="Y262" s="1" t="s">
        <v>80</v>
      </c>
      <c r="Z262" s="6">
        <v>25.99</v>
      </c>
      <c r="AA262" s="6">
        <v>171304.0</v>
      </c>
      <c r="AB262" s="10">
        <v>0.13</v>
      </c>
      <c r="AC262" s="1" t="s">
        <v>3052</v>
      </c>
      <c r="AD262" s="1" t="s">
        <v>3053</v>
      </c>
      <c r="AE262" s="1" t="s">
        <v>3054</v>
      </c>
      <c r="AF262" s="1" t="s">
        <v>3038</v>
      </c>
      <c r="AG262" s="1" t="s">
        <v>3054</v>
      </c>
      <c r="AH262" s="1" t="s">
        <v>284</v>
      </c>
      <c r="AI262" s="6">
        <v>50468.0</v>
      </c>
      <c r="AJ262" s="1" t="s">
        <v>86</v>
      </c>
      <c r="AK262" s="1" t="s">
        <v>3055</v>
      </c>
      <c r="AL262" s="1" t="s">
        <v>3056</v>
      </c>
      <c r="AM262" s="11" t="str">
        <f>VLOOKUP(N262,Sheet3!$B$4:$C$10,2,1)</f>
        <v>41-50</v>
      </c>
      <c r="AN262" s="13" t="str">
        <f>VLOOKUP(Z262,Sheet3!$F$4:$G$10,2,1)</f>
        <v>21-30</v>
      </c>
      <c r="AO262" s="5" t="str">
        <f>VLOOKUP(AA262,Sheet3!$I$3:$J$16,2,1)</f>
        <v>160000-180000</v>
      </c>
      <c r="AP262" s="5" t="str">
        <f>VLOOKUP(AB262,Sheet3!$L$4:$M$14,2,1)</f>
        <v>11% - 15%</v>
      </c>
    </row>
    <row r="263">
      <c r="A263" s="6">
        <v>155956.0</v>
      </c>
      <c r="B263" s="1" t="s">
        <v>66</v>
      </c>
      <c r="C263" s="1" t="s">
        <v>3057</v>
      </c>
      <c r="D263" s="1" t="s">
        <v>1663</v>
      </c>
      <c r="E263" s="1" t="s">
        <v>3058</v>
      </c>
      <c r="F263" s="1" t="s">
        <v>70</v>
      </c>
      <c r="G263" s="1" t="s">
        <v>3059</v>
      </c>
      <c r="H263" s="1" t="s">
        <v>1395</v>
      </c>
      <c r="I263" s="1" t="s">
        <v>3060</v>
      </c>
      <c r="J263" s="1" t="s">
        <v>3061</v>
      </c>
      <c r="K263" s="1" t="s">
        <v>744</v>
      </c>
      <c r="L263" s="9">
        <v>22908.0</v>
      </c>
      <c r="M263" s="8">
        <v>0.25504629629629627</v>
      </c>
      <c r="N263" s="6">
        <v>54.89</v>
      </c>
      <c r="O263" s="6">
        <v>90.0</v>
      </c>
      <c r="P263" s="9">
        <v>37851.0</v>
      </c>
      <c r="Q263" s="1" t="s">
        <v>308</v>
      </c>
      <c r="R263" s="1" t="s">
        <v>53</v>
      </c>
      <c r="S263" s="6">
        <v>2003.0</v>
      </c>
      <c r="T263" s="6">
        <v>8.0</v>
      </c>
      <c r="U263" s="1" t="s">
        <v>433</v>
      </c>
      <c r="V263" s="1" t="s">
        <v>434</v>
      </c>
      <c r="W263" s="6">
        <v>18.0</v>
      </c>
      <c r="X263" s="1" t="s">
        <v>99</v>
      </c>
      <c r="Y263" s="1" t="s">
        <v>100</v>
      </c>
      <c r="Z263" s="6">
        <v>13.95</v>
      </c>
      <c r="AA263" s="6">
        <v>78732.0</v>
      </c>
      <c r="AB263" s="10">
        <v>0.29</v>
      </c>
      <c r="AC263" s="1" t="s">
        <v>3062</v>
      </c>
      <c r="AD263" s="1" t="s">
        <v>3063</v>
      </c>
      <c r="AE263" s="1" t="s">
        <v>3064</v>
      </c>
      <c r="AF263" s="1" t="s">
        <v>3065</v>
      </c>
      <c r="AG263" s="1" t="s">
        <v>3064</v>
      </c>
      <c r="AH263" s="1" t="s">
        <v>210</v>
      </c>
      <c r="AI263" s="6">
        <v>60964.0</v>
      </c>
      <c r="AJ263" s="1" t="s">
        <v>86</v>
      </c>
      <c r="AK263" s="1" t="s">
        <v>3066</v>
      </c>
      <c r="AL263" s="1" t="s">
        <v>3067</v>
      </c>
      <c r="AM263" s="11" t="str">
        <f>VLOOKUP(N263,Sheet3!$B$4:$C$10,2,1)</f>
        <v>51-60</v>
      </c>
      <c r="AN263" s="12" t="str">
        <f>VLOOKUP(Z263,Sheet3!$F$4:$G$10,2,1)</f>
        <v>11-20</v>
      </c>
      <c r="AO263" s="5" t="str">
        <f>VLOOKUP(AA263,Sheet3!$I$3:$J$16,2,1)</f>
        <v>60000-80000</v>
      </c>
      <c r="AP263" s="5" t="str">
        <f>VLOOKUP(AB263,Sheet3!$L$4:$M$14,2,1)</f>
        <v>26% - 30%</v>
      </c>
    </row>
    <row r="264">
      <c r="A264" s="6">
        <v>791119.0</v>
      </c>
      <c r="B264" s="1" t="s">
        <v>66</v>
      </c>
      <c r="C264" s="1" t="s">
        <v>1652</v>
      </c>
      <c r="D264" s="1" t="s">
        <v>861</v>
      </c>
      <c r="E264" s="1" t="s">
        <v>2837</v>
      </c>
      <c r="F264" s="1" t="s">
        <v>70</v>
      </c>
      <c r="G264" s="1" t="s">
        <v>3068</v>
      </c>
      <c r="H264" s="1" t="s">
        <v>1395</v>
      </c>
      <c r="I264" s="1" t="s">
        <v>3069</v>
      </c>
      <c r="J264" s="1" t="s">
        <v>3070</v>
      </c>
      <c r="K264" s="1" t="s">
        <v>3071</v>
      </c>
      <c r="L264" s="9">
        <v>28822.0</v>
      </c>
      <c r="M264" s="8">
        <v>0.856875</v>
      </c>
      <c r="N264" s="6">
        <v>38.69</v>
      </c>
      <c r="O264" s="6">
        <v>56.0</v>
      </c>
      <c r="P264" s="14">
        <v>40487.0</v>
      </c>
      <c r="Q264" s="1" t="s">
        <v>52</v>
      </c>
      <c r="R264" s="1" t="s">
        <v>53</v>
      </c>
      <c r="S264" s="6">
        <v>2010.0</v>
      </c>
      <c r="T264" s="6">
        <v>11.0</v>
      </c>
      <c r="U264" s="1" t="s">
        <v>148</v>
      </c>
      <c r="V264" s="1" t="s">
        <v>149</v>
      </c>
      <c r="W264" s="6">
        <v>5.0</v>
      </c>
      <c r="X264" s="1" t="s">
        <v>263</v>
      </c>
      <c r="Y264" s="1" t="s">
        <v>264</v>
      </c>
      <c r="Z264" s="6">
        <v>6.73</v>
      </c>
      <c r="AA264" s="6">
        <v>126670.0</v>
      </c>
      <c r="AB264" s="10">
        <v>0.05</v>
      </c>
      <c r="AC264" s="1" t="s">
        <v>3072</v>
      </c>
      <c r="AD264" s="1" t="s">
        <v>3073</v>
      </c>
      <c r="AE264" s="1" t="s">
        <v>3074</v>
      </c>
      <c r="AF264" s="1" t="s">
        <v>3075</v>
      </c>
      <c r="AG264" s="1" t="s">
        <v>3074</v>
      </c>
      <c r="AH264" s="1" t="s">
        <v>563</v>
      </c>
      <c r="AI264" s="6">
        <v>26886.0</v>
      </c>
      <c r="AJ264" s="1" t="s">
        <v>106</v>
      </c>
      <c r="AK264" s="1" t="s">
        <v>3076</v>
      </c>
      <c r="AL264" s="1" t="s">
        <v>3077</v>
      </c>
      <c r="AM264" s="11" t="str">
        <f>VLOOKUP(N264,Sheet3!$B$4:$C$10,2,1)</f>
        <v>31-40</v>
      </c>
      <c r="AN264" s="12" t="str">
        <f>VLOOKUP(Z264,Sheet3!$F$4:$G$10,2,1)</f>
        <v>5-10</v>
      </c>
      <c r="AO264" s="5" t="str">
        <f>VLOOKUP(AA264,Sheet3!$I$3:$J$16,2,1)</f>
        <v>120000-140000</v>
      </c>
      <c r="AP264" s="5" t="str">
        <f>VLOOKUP(AB264,Sheet3!$L$4:$M$14,2,1)</f>
        <v>5% - 10%</v>
      </c>
    </row>
    <row r="265">
      <c r="A265" s="6">
        <v>798553.0</v>
      </c>
      <c r="B265" s="1" t="s">
        <v>227</v>
      </c>
      <c r="C265" s="1" t="s">
        <v>3078</v>
      </c>
      <c r="D265" s="1" t="s">
        <v>683</v>
      </c>
      <c r="E265" s="1" t="s">
        <v>2999</v>
      </c>
      <c r="F265" s="1" t="s">
        <v>70</v>
      </c>
      <c r="G265" s="1" t="s">
        <v>3079</v>
      </c>
      <c r="H265" s="1" t="s">
        <v>1395</v>
      </c>
      <c r="I265" s="1" t="s">
        <v>3080</v>
      </c>
      <c r="J265" s="1" t="s">
        <v>3081</v>
      </c>
      <c r="K265" s="1" t="s">
        <v>1840</v>
      </c>
      <c r="L265" s="9">
        <v>31655.0</v>
      </c>
      <c r="M265" s="8">
        <v>0.26210648148148147</v>
      </c>
      <c r="N265" s="6">
        <v>30.93</v>
      </c>
      <c r="O265" s="6">
        <v>90.0</v>
      </c>
      <c r="P265" s="9">
        <v>42109.0</v>
      </c>
      <c r="Q265" s="1" t="s">
        <v>75</v>
      </c>
      <c r="R265" s="1" t="s">
        <v>76</v>
      </c>
      <c r="S265" s="6">
        <v>2015.0</v>
      </c>
      <c r="T265" s="6">
        <v>4.0</v>
      </c>
      <c r="U265" s="1" t="s">
        <v>77</v>
      </c>
      <c r="V265" s="1" t="s">
        <v>78</v>
      </c>
      <c r="W265" s="6">
        <v>15.0</v>
      </c>
      <c r="X265" s="1" t="s">
        <v>278</v>
      </c>
      <c r="Y265" s="1" t="s">
        <v>279</v>
      </c>
      <c r="Z265" s="6">
        <v>2.29</v>
      </c>
      <c r="AA265" s="6">
        <v>102183.0</v>
      </c>
      <c r="AB265" s="10">
        <v>0.15</v>
      </c>
      <c r="AC265" s="1" t="s">
        <v>3082</v>
      </c>
      <c r="AD265" s="1" t="s">
        <v>3083</v>
      </c>
      <c r="AE265" s="1" t="s">
        <v>1320</v>
      </c>
      <c r="AF265" s="1" t="s">
        <v>2823</v>
      </c>
      <c r="AG265" s="1" t="s">
        <v>1320</v>
      </c>
      <c r="AH265" s="1" t="s">
        <v>740</v>
      </c>
      <c r="AI265" s="6">
        <v>1841.0</v>
      </c>
      <c r="AJ265" s="1" t="s">
        <v>224</v>
      </c>
      <c r="AK265" s="1" t="s">
        <v>3084</v>
      </c>
      <c r="AL265" s="1" t="s">
        <v>3085</v>
      </c>
      <c r="AM265" s="11" t="str">
        <f>VLOOKUP(N265,Sheet3!$B$4:$C$10,2,1)</f>
        <v>21-30</v>
      </c>
      <c r="AN265" s="13" t="str">
        <f>VLOOKUP(Z265,Sheet3!$F$4:$G$10,2,1)</f>
        <v>&lt; 5</v>
      </c>
      <c r="AO265" s="5" t="str">
        <f>VLOOKUP(AA265,Sheet3!$I$3:$J$16,2,1)</f>
        <v>100000-120000</v>
      </c>
      <c r="AP265" s="5" t="str">
        <f>VLOOKUP(AB265,Sheet3!$L$4:$M$14,2,1)</f>
        <v>11% - 15%</v>
      </c>
    </row>
    <row r="266">
      <c r="A266" s="6">
        <v>981925.0</v>
      </c>
      <c r="B266" s="1" t="s">
        <v>42</v>
      </c>
      <c r="C266" s="1" t="s">
        <v>3086</v>
      </c>
      <c r="D266" s="1" t="s">
        <v>334</v>
      </c>
      <c r="E266" s="1" t="s">
        <v>547</v>
      </c>
      <c r="F266" s="1" t="s">
        <v>46</v>
      </c>
      <c r="G266" s="1" t="s">
        <v>3087</v>
      </c>
      <c r="H266" s="1" t="s">
        <v>1395</v>
      </c>
      <c r="I266" s="1" t="s">
        <v>3088</v>
      </c>
      <c r="J266" s="1" t="s">
        <v>3089</v>
      </c>
      <c r="K266" s="1" t="s">
        <v>1027</v>
      </c>
      <c r="L266" s="9">
        <v>23582.0</v>
      </c>
      <c r="M266" s="8">
        <v>0.8005208333333333</v>
      </c>
      <c r="N266" s="6">
        <v>53.05</v>
      </c>
      <c r="O266" s="6">
        <v>45.0</v>
      </c>
      <c r="P266" s="9">
        <v>36459.0</v>
      </c>
      <c r="Q266" s="1" t="s">
        <v>52</v>
      </c>
      <c r="R266" s="1" t="s">
        <v>53</v>
      </c>
      <c r="S266" s="6">
        <v>1999.0</v>
      </c>
      <c r="T266" s="6">
        <v>10.0</v>
      </c>
      <c r="U266" s="1" t="s">
        <v>133</v>
      </c>
      <c r="V266" s="1" t="s">
        <v>134</v>
      </c>
      <c r="W266" s="6">
        <v>26.0</v>
      </c>
      <c r="X266" s="1" t="s">
        <v>79</v>
      </c>
      <c r="Y266" s="1" t="s">
        <v>80</v>
      </c>
      <c r="Z266" s="6">
        <v>17.77</v>
      </c>
      <c r="AA266" s="6">
        <v>87666.0</v>
      </c>
      <c r="AB266" s="10">
        <v>0.07</v>
      </c>
      <c r="AC266" s="1" t="s">
        <v>3090</v>
      </c>
      <c r="AD266" s="1" t="s">
        <v>3091</v>
      </c>
      <c r="AE266" s="1" t="s">
        <v>3092</v>
      </c>
      <c r="AF266" s="1" t="s">
        <v>3093</v>
      </c>
      <c r="AG266" s="1" t="s">
        <v>3092</v>
      </c>
      <c r="AH266" s="1" t="s">
        <v>356</v>
      </c>
      <c r="AI266" s="6">
        <v>13825.0</v>
      </c>
      <c r="AJ266" s="1" t="s">
        <v>224</v>
      </c>
      <c r="AK266" s="1" t="s">
        <v>3094</v>
      </c>
      <c r="AL266" s="1" t="s">
        <v>3095</v>
      </c>
      <c r="AM266" s="11" t="str">
        <f>VLOOKUP(N266,Sheet3!$B$4:$C$10,2,1)</f>
        <v>51-60</v>
      </c>
      <c r="AN266" s="12" t="str">
        <f>VLOOKUP(Z266,Sheet3!$F$4:$G$10,2,1)</f>
        <v>11-20</v>
      </c>
      <c r="AO266" s="5" t="str">
        <f>VLOOKUP(AA266,Sheet3!$I$3:$J$16,2,1)</f>
        <v>80000-100000</v>
      </c>
      <c r="AP266" s="5" t="str">
        <f>VLOOKUP(AB266,Sheet3!$L$4:$M$14,2,1)</f>
        <v>5% - 10%</v>
      </c>
    </row>
    <row r="267">
      <c r="A267" s="6">
        <v>648118.0</v>
      </c>
      <c r="B267" s="1" t="s">
        <v>89</v>
      </c>
      <c r="C267" s="1" t="s">
        <v>3096</v>
      </c>
      <c r="D267" s="1" t="s">
        <v>70</v>
      </c>
      <c r="E267" s="1" t="s">
        <v>339</v>
      </c>
      <c r="F267" s="1" t="s">
        <v>46</v>
      </c>
      <c r="G267" s="1" t="s">
        <v>3097</v>
      </c>
      <c r="H267" s="1" t="s">
        <v>1395</v>
      </c>
      <c r="I267" s="1" t="s">
        <v>3098</v>
      </c>
      <c r="J267" s="1" t="s">
        <v>3099</v>
      </c>
      <c r="K267" s="1" t="s">
        <v>2063</v>
      </c>
      <c r="L267" s="9">
        <v>26043.0</v>
      </c>
      <c r="M267" s="8">
        <v>0.07858796296296296</v>
      </c>
      <c r="N267" s="6">
        <v>46.3</v>
      </c>
      <c r="O267" s="6">
        <v>48.0</v>
      </c>
      <c r="P267" s="9">
        <v>42479.0</v>
      </c>
      <c r="Q267" s="1" t="s">
        <v>75</v>
      </c>
      <c r="R267" s="1" t="s">
        <v>76</v>
      </c>
      <c r="S267" s="6">
        <v>2016.0</v>
      </c>
      <c r="T267" s="6">
        <v>4.0</v>
      </c>
      <c r="U267" s="1" t="s">
        <v>77</v>
      </c>
      <c r="V267" s="1" t="s">
        <v>78</v>
      </c>
      <c r="W267" s="6">
        <v>19.0</v>
      </c>
      <c r="X267" s="1" t="s">
        <v>79</v>
      </c>
      <c r="Y267" s="1" t="s">
        <v>80</v>
      </c>
      <c r="Z267" s="6">
        <v>1.27</v>
      </c>
      <c r="AA267" s="6">
        <v>65153.0</v>
      </c>
      <c r="AB267" s="10">
        <v>0.29</v>
      </c>
      <c r="AC267" s="1" t="s">
        <v>3100</v>
      </c>
      <c r="AD267" s="1" t="s">
        <v>3101</v>
      </c>
      <c r="AE267" s="1" t="s">
        <v>3102</v>
      </c>
      <c r="AF267" s="1" t="s">
        <v>3103</v>
      </c>
      <c r="AG267" s="1" t="s">
        <v>3102</v>
      </c>
      <c r="AH267" s="1" t="s">
        <v>1972</v>
      </c>
      <c r="AI267" s="6">
        <v>84329.0</v>
      </c>
      <c r="AJ267" s="1" t="s">
        <v>63</v>
      </c>
      <c r="AK267" s="1" t="s">
        <v>3104</v>
      </c>
      <c r="AL267" s="1" t="s">
        <v>3105</v>
      </c>
      <c r="AM267" s="11" t="str">
        <f>VLOOKUP(N267,Sheet3!$B$4:$C$10,2,1)</f>
        <v>41-50</v>
      </c>
      <c r="AN267" s="13" t="str">
        <f>VLOOKUP(Z267,Sheet3!$F$4:$G$10,2,1)</f>
        <v>&lt; 5</v>
      </c>
      <c r="AO267" s="5" t="str">
        <f>VLOOKUP(AA267,Sheet3!$I$3:$J$16,2,1)</f>
        <v>60000-80000</v>
      </c>
      <c r="AP267" s="5" t="str">
        <f>VLOOKUP(AB267,Sheet3!$L$4:$M$14,2,1)</f>
        <v>26% - 30%</v>
      </c>
    </row>
    <row r="268">
      <c r="A268" s="6">
        <v>278391.0</v>
      </c>
      <c r="B268" s="1" t="s">
        <v>42</v>
      </c>
      <c r="C268" s="1" t="s">
        <v>2202</v>
      </c>
      <c r="D268" s="1" t="s">
        <v>318</v>
      </c>
      <c r="E268" s="1" t="s">
        <v>2678</v>
      </c>
      <c r="F268" s="1" t="s">
        <v>46</v>
      </c>
      <c r="G268" s="1" t="s">
        <v>3106</v>
      </c>
      <c r="H268" s="1" t="s">
        <v>1395</v>
      </c>
      <c r="I268" s="1" t="s">
        <v>3107</v>
      </c>
      <c r="J268" s="1" t="s">
        <v>3108</v>
      </c>
      <c r="K268" s="1" t="s">
        <v>3109</v>
      </c>
      <c r="L268" s="9">
        <v>33808.0</v>
      </c>
      <c r="M268" s="8">
        <v>0.4141087962962963</v>
      </c>
      <c r="N268" s="6">
        <v>25.03</v>
      </c>
      <c r="O268" s="6">
        <v>42.0</v>
      </c>
      <c r="P268" s="9">
        <v>42601.0</v>
      </c>
      <c r="Q268" s="1" t="s">
        <v>308</v>
      </c>
      <c r="R268" s="1" t="s">
        <v>53</v>
      </c>
      <c r="S268" s="6">
        <v>2016.0</v>
      </c>
      <c r="T268" s="6">
        <v>8.0</v>
      </c>
      <c r="U268" s="1" t="s">
        <v>433</v>
      </c>
      <c r="V268" s="1" t="s">
        <v>434</v>
      </c>
      <c r="W268" s="6">
        <v>19.0</v>
      </c>
      <c r="X268" s="1" t="s">
        <v>263</v>
      </c>
      <c r="Y268" s="1" t="s">
        <v>264</v>
      </c>
      <c r="Z268" s="6">
        <v>0.94</v>
      </c>
      <c r="AA268" s="6">
        <v>40883.0</v>
      </c>
      <c r="AB268" s="10">
        <v>0.09</v>
      </c>
      <c r="AC268" s="1" t="s">
        <v>3110</v>
      </c>
      <c r="AD268" s="1" t="s">
        <v>3111</v>
      </c>
      <c r="AE268" s="1" t="s">
        <v>3112</v>
      </c>
      <c r="AF268" s="1" t="s">
        <v>3113</v>
      </c>
      <c r="AG268" s="1" t="s">
        <v>3112</v>
      </c>
      <c r="AH268" s="1" t="s">
        <v>1505</v>
      </c>
      <c r="AI268" s="6">
        <v>56659.0</v>
      </c>
      <c r="AJ268" s="1" t="s">
        <v>86</v>
      </c>
      <c r="AK268" s="1" t="s">
        <v>3114</v>
      </c>
      <c r="AL268" s="1" t="s">
        <v>3115</v>
      </c>
      <c r="AM268" s="11" t="str">
        <f>VLOOKUP(N268,Sheet3!$B$4:$C$10,2,1)</f>
        <v>21-30</v>
      </c>
      <c r="AN268" s="13" t="str">
        <f>VLOOKUP(Z268,Sheet3!$F$4:$G$10,2,1)</f>
        <v>&lt; 5</v>
      </c>
      <c r="AO268" s="5" t="str">
        <f>VLOOKUP(AA268,Sheet3!$I$3:$J$16,2,1)</f>
        <v>40000-60000</v>
      </c>
      <c r="AP268" s="5" t="str">
        <f>VLOOKUP(AB268,Sheet3!$L$4:$M$14,2,1)</f>
        <v>5% - 10%</v>
      </c>
    </row>
    <row r="269">
      <c r="A269" s="6">
        <v>556573.0</v>
      </c>
      <c r="B269" s="1" t="s">
        <v>42</v>
      </c>
      <c r="C269" s="1" t="s">
        <v>3116</v>
      </c>
      <c r="D269" s="1" t="s">
        <v>68</v>
      </c>
      <c r="E269" s="1" t="s">
        <v>3117</v>
      </c>
      <c r="F269" s="1" t="s">
        <v>46</v>
      </c>
      <c r="G269" s="1" t="s">
        <v>3118</v>
      </c>
      <c r="H269" s="1" t="s">
        <v>1395</v>
      </c>
      <c r="I269" s="1" t="s">
        <v>3119</v>
      </c>
      <c r="J269" s="1" t="s">
        <v>3120</v>
      </c>
      <c r="K269" s="1" t="s">
        <v>3121</v>
      </c>
      <c r="L269" s="9">
        <v>24046.0</v>
      </c>
      <c r="M269" s="8">
        <v>0.02141203703703704</v>
      </c>
      <c r="N269" s="6">
        <v>51.78</v>
      </c>
      <c r="O269" s="6">
        <v>43.0</v>
      </c>
      <c r="P269" s="14">
        <v>33429.0</v>
      </c>
      <c r="Q269" s="1" t="s">
        <v>308</v>
      </c>
      <c r="R269" s="1" t="s">
        <v>53</v>
      </c>
      <c r="S269" s="6">
        <v>1991.0</v>
      </c>
      <c r="T269" s="6">
        <v>7.0</v>
      </c>
      <c r="U269" s="1" t="s">
        <v>366</v>
      </c>
      <c r="V269" s="1" t="s">
        <v>367</v>
      </c>
      <c r="W269" s="6">
        <v>10.0</v>
      </c>
      <c r="X269" s="1" t="s">
        <v>278</v>
      </c>
      <c r="Y269" s="1" t="s">
        <v>279</v>
      </c>
      <c r="Z269" s="6">
        <v>26.07</v>
      </c>
      <c r="AA269" s="6">
        <v>139115.0</v>
      </c>
      <c r="AB269" s="10">
        <v>0.04</v>
      </c>
      <c r="AC269" s="1" t="s">
        <v>3122</v>
      </c>
      <c r="AD269" s="1" t="s">
        <v>3123</v>
      </c>
      <c r="AE269" s="1" t="s">
        <v>3124</v>
      </c>
      <c r="AF269" s="1" t="s">
        <v>3125</v>
      </c>
      <c r="AG269" s="1" t="s">
        <v>3124</v>
      </c>
      <c r="AH269" s="1" t="s">
        <v>356</v>
      </c>
      <c r="AI269" s="6">
        <v>13117.0</v>
      </c>
      <c r="AJ269" s="1" t="s">
        <v>224</v>
      </c>
      <c r="AK269" s="1" t="s">
        <v>3126</v>
      </c>
      <c r="AL269" s="1" t="s">
        <v>3127</v>
      </c>
      <c r="AM269" s="11" t="str">
        <f>VLOOKUP(N269,Sheet3!$B$4:$C$10,2,1)</f>
        <v>51-60</v>
      </c>
      <c r="AN269" s="13" t="str">
        <f>VLOOKUP(Z269,Sheet3!$F$4:$G$10,2,1)</f>
        <v>21-30</v>
      </c>
      <c r="AO269" s="5" t="str">
        <f>VLOOKUP(AA269,Sheet3!$I$3:$J$16,2,1)</f>
        <v>120000-140000</v>
      </c>
      <c r="AP269" s="5" t="str">
        <f>VLOOKUP(AB269,Sheet3!$L$4:$M$14,2,1)</f>
        <v>&lt; 5%</v>
      </c>
    </row>
    <row r="270">
      <c r="A270" s="6">
        <v>159472.0</v>
      </c>
      <c r="B270" s="1" t="s">
        <v>125</v>
      </c>
      <c r="C270" s="1" t="s">
        <v>3128</v>
      </c>
      <c r="D270" s="1" t="s">
        <v>554</v>
      </c>
      <c r="E270" s="1" t="s">
        <v>228</v>
      </c>
      <c r="F270" s="1" t="s">
        <v>70</v>
      </c>
      <c r="G270" s="1" t="s">
        <v>3129</v>
      </c>
      <c r="H270" s="1" t="s">
        <v>1395</v>
      </c>
      <c r="I270" s="1" t="s">
        <v>3130</v>
      </c>
      <c r="J270" s="1" t="s">
        <v>3131</v>
      </c>
      <c r="K270" s="1" t="s">
        <v>3132</v>
      </c>
      <c r="L270" s="9">
        <v>23733.0</v>
      </c>
      <c r="M270" s="8">
        <v>0.23972222222222223</v>
      </c>
      <c r="N270" s="6">
        <v>52.63</v>
      </c>
      <c r="O270" s="6">
        <v>61.0</v>
      </c>
      <c r="P270" s="9">
        <v>36386.0</v>
      </c>
      <c r="Q270" s="1" t="s">
        <v>308</v>
      </c>
      <c r="R270" s="1" t="s">
        <v>53</v>
      </c>
      <c r="S270" s="6">
        <v>1999.0</v>
      </c>
      <c r="T270" s="6">
        <v>8.0</v>
      </c>
      <c r="U270" s="1" t="s">
        <v>433</v>
      </c>
      <c r="V270" s="1" t="s">
        <v>434</v>
      </c>
      <c r="W270" s="6">
        <v>14.0</v>
      </c>
      <c r="X270" s="1" t="s">
        <v>56</v>
      </c>
      <c r="Y270" s="1" t="s">
        <v>57</v>
      </c>
      <c r="Z270" s="6">
        <v>17.97</v>
      </c>
      <c r="AA270" s="6">
        <v>198160.0</v>
      </c>
      <c r="AB270" s="10">
        <v>0.19</v>
      </c>
      <c r="AC270" s="1" t="s">
        <v>3133</v>
      </c>
      <c r="AD270" s="1" t="s">
        <v>3134</v>
      </c>
      <c r="AE270" s="1" t="s">
        <v>1538</v>
      </c>
      <c r="AF270" s="1" t="s">
        <v>1539</v>
      </c>
      <c r="AG270" s="1" t="s">
        <v>1538</v>
      </c>
      <c r="AH270" s="1" t="s">
        <v>488</v>
      </c>
      <c r="AI270" s="6">
        <v>32834.0</v>
      </c>
      <c r="AJ270" s="1" t="s">
        <v>106</v>
      </c>
      <c r="AK270" s="1" t="s">
        <v>3135</v>
      </c>
      <c r="AL270" s="1" t="s">
        <v>3136</v>
      </c>
      <c r="AM270" s="11" t="str">
        <f>VLOOKUP(N270,Sheet3!$B$4:$C$10,2,1)</f>
        <v>51-60</v>
      </c>
      <c r="AN270" s="12" t="str">
        <f>VLOOKUP(Z270,Sheet3!$F$4:$G$10,2,1)</f>
        <v>11-20</v>
      </c>
      <c r="AO270" s="5" t="str">
        <f>VLOOKUP(AA270,Sheet3!$I$3:$J$16,2,1)</f>
        <v>180000-200000</v>
      </c>
      <c r="AP270" s="5" t="str">
        <f>VLOOKUP(AB270,Sheet3!$L$4:$M$14,2,1)</f>
        <v>16% - 20%</v>
      </c>
    </row>
    <row r="271">
      <c r="A271" s="6">
        <v>871770.0</v>
      </c>
      <c r="B271" s="1" t="s">
        <v>42</v>
      </c>
      <c r="C271" s="1" t="s">
        <v>3137</v>
      </c>
      <c r="D271" s="1" t="s">
        <v>416</v>
      </c>
      <c r="E271" s="1" t="s">
        <v>2127</v>
      </c>
      <c r="F271" s="1" t="s">
        <v>46</v>
      </c>
      <c r="G271" s="1" t="s">
        <v>3138</v>
      </c>
      <c r="H271" s="1" t="s">
        <v>1395</v>
      </c>
      <c r="I271" s="1" t="s">
        <v>3139</v>
      </c>
      <c r="J271" s="1" t="s">
        <v>3140</v>
      </c>
      <c r="K271" s="1" t="s">
        <v>3048</v>
      </c>
      <c r="L271" s="14">
        <v>32972.0</v>
      </c>
      <c r="M271" s="8">
        <v>0.24569444444444444</v>
      </c>
      <c r="N271" s="6">
        <v>27.32</v>
      </c>
      <c r="O271" s="6">
        <v>50.0</v>
      </c>
      <c r="P271" s="9">
        <v>42141.0</v>
      </c>
      <c r="Q271" s="1" t="s">
        <v>75</v>
      </c>
      <c r="R271" s="1" t="s">
        <v>76</v>
      </c>
      <c r="S271" s="6">
        <v>2015.0</v>
      </c>
      <c r="T271" s="6">
        <v>5.0</v>
      </c>
      <c r="U271" s="1" t="s">
        <v>294</v>
      </c>
      <c r="V271" s="1" t="s">
        <v>294</v>
      </c>
      <c r="W271" s="6">
        <v>17.0</v>
      </c>
      <c r="X271" s="1" t="s">
        <v>534</v>
      </c>
      <c r="Y271" s="1" t="s">
        <v>535</v>
      </c>
      <c r="Z271" s="6">
        <v>2.2</v>
      </c>
      <c r="AA271" s="6">
        <v>69805.0</v>
      </c>
      <c r="AB271" s="10">
        <v>0.3</v>
      </c>
      <c r="AC271" s="1" t="s">
        <v>3141</v>
      </c>
      <c r="AD271" s="1" t="s">
        <v>3142</v>
      </c>
      <c r="AE271" s="1" t="s">
        <v>3143</v>
      </c>
      <c r="AF271" s="1" t="s">
        <v>1197</v>
      </c>
      <c r="AG271" s="1" t="s">
        <v>3143</v>
      </c>
      <c r="AH271" s="1" t="s">
        <v>974</v>
      </c>
      <c r="AI271" s="6">
        <v>43315.0</v>
      </c>
      <c r="AJ271" s="1" t="s">
        <v>86</v>
      </c>
      <c r="AK271" s="1" t="s">
        <v>3144</v>
      </c>
      <c r="AL271" s="1" t="s">
        <v>3145</v>
      </c>
      <c r="AM271" s="11" t="str">
        <f>VLOOKUP(N271,Sheet3!$B$4:$C$10,2,1)</f>
        <v>21-30</v>
      </c>
      <c r="AN271" s="13" t="str">
        <f>VLOOKUP(Z271,Sheet3!$F$4:$G$10,2,1)</f>
        <v>&lt; 5</v>
      </c>
      <c r="AO271" s="5" t="str">
        <f>VLOOKUP(AA271,Sheet3!$I$3:$J$16,2,1)</f>
        <v>60000-80000</v>
      </c>
      <c r="AP271" s="5" t="str">
        <f>VLOOKUP(AB271,Sheet3!$L$4:$M$14,2,1)</f>
        <v>26% - 30%</v>
      </c>
    </row>
    <row r="272">
      <c r="A272" s="6">
        <v>338556.0</v>
      </c>
      <c r="B272" s="1" t="s">
        <v>66</v>
      </c>
      <c r="C272" s="1" t="s">
        <v>3146</v>
      </c>
      <c r="D272" s="1" t="s">
        <v>416</v>
      </c>
      <c r="E272" s="1" t="s">
        <v>3147</v>
      </c>
      <c r="F272" s="1" t="s">
        <v>70</v>
      </c>
      <c r="G272" s="1" t="s">
        <v>3148</v>
      </c>
      <c r="H272" s="1" t="s">
        <v>1395</v>
      </c>
      <c r="I272" s="1" t="s">
        <v>3149</v>
      </c>
      <c r="J272" s="1" t="s">
        <v>3150</v>
      </c>
      <c r="K272" s="1" t="s">
        <v>1760</v>
      </c>
      <c r="L272" s="14">
        <v>32454.0</v>
      </c>
      <c r="M272" s="8">
        <v>0.3154282407407407</v>
      </c>
      <c r="N272" s="6">
        <v>28.74</v>
      </c>
      <c r="O272" s="6">
        <v>77.0</v>
      </c>
      <c r="P272" s="9">
        <v>41574.0</v>
      </c>
      <c r="Q272" s="1" t="s">
        <v>52</v>
      </c>
      <c r="R272" s="1" t="s">
        <v>53</v>
      </c>
      <c r="S272" s="6">
        <v>2013.0</v>
      </c>
      <c r="T272" s="6">
        <v>10.0</v>
      </c>
      <c r="U272" s="1" t="s">
        <v>133</v>
      </c>
      <c r="V272" s="1" t="s">
        <v>134</v>
      </c>
      <c r="W272" s="6">
        <v>27.0</v>
      </c>
      <c r="X272" s="1" t="s">
        <v>534</v>
      </c>
      <c r="Y272" s="1" t="s">
        <v>535</v>
      </c>
      <c r="Z272" s="6">
        <v>3.75</v>
      </c>
      <c r="AA272" s="6">
        <v>178530.0</v>
      </c>
      <c r="AB272" s="10">
        <v>0.2</v>
      </c>
      <c r="AC272" s="1" t="s">
        <v>3151</v>
      </c>
      <c r="AD272" s="1" t="s">
        <v>3152</v>
      </c>
      <c r="AE272" s="1" t="s">
        <v>3153</v>
      </c>
      <c r="AF272" s="1" t="s">
        <v>3154</v>
      </c>
      <c r="AG272" s="1" t="s">
        <v>3153</v>
      </c>
      <c r="AH272" s="1" t="s">
        <v>2028</v>
      </c>
      <c r="AI272" s="6">
        <v>86432.0</v>
      </c>
      <c r="AJ272" s="1" t="s">
        <v>63</v>
      </c>
      <c r="AK272" s="1" t="s">
        <v>3155</v>
      </c>
      <c r="AL272" s="1" t="s">
        <v>3156</v>
      </c>
      <c r="AM272" s="11" t="str">
        <f>VLOOKUP(N272,Sheet3!$B$4:$C$10,2,1)</f>
        <v>21-30</v>
      </c>
      <c r="AN272" s="13" t="str">
        <f>VLOOKUP(Z272,Sheet3!$F$4:$G$10,2,1)</f>
        <v>&lt; 5</v>
      </c>
      <c r="AO272" s="5" t="str">
        <f>VLOOKUP(AA272,Sheet3!$I$3:$J$16,2,1)</f>
        <v>160000-180000</v>
      </c>
      <c r="AP272" s="5" t="str">
        <f>VLOOKUP(AB272,Sheet3!$L$4:$M$14,2,1)</f>
        <v>16% - 20%</v>
      </c>
    </row>
    <row r="273">
      <c r="A273" s="6">
        <v>182719.0</v>
      </c>
      <c r="B273" s="1" t="s">
        <v>42</v>
      </c>
      <c r="C273" s="1" t="s">
        <v>3157</v>
      </c>
      <c r="D273" s="1" t="s">
        <v>360</v>
      </c>
      <c r="E273" s="1" t="s">
        <v>3158</v>
      </c>
      <c r="F273" s="1" t="s">
        <v>46</v>
      </c>
      <c r="G273" s="1" t="s">
        <v>3159</v>
      </c>
      <c r="H273" s="1" t="s">
        <v>1395</v>
      </c>
      <c r="I273" s="1" t="s">
        <v>3160</v>
      </c>
      <c r="J273" s="1" t="s">
        <v>3161</v>
      </c>
      <c r="K273" s="1" t="s">
        <v>45</v>
      </c>
      <c r="L273" s="9">
        <v>22110.0</v>
      </c>
      <c r="M273" s="8">
        <v>0.7162384259259259</v>
      </c>
      <c r="N273" s="6">
        <v>57.08</v>
      </c>
      <c r="O273" s="6">
        <v>44.0</v>
      </c>
      <c r="P273" s="9">
        <v>39405.0</v>
      </c>
      <c r="Q273" s="1" t="s">
        <v>52</v>
      </c>
      <c r="R273" s="1" t="s">
        <v>53</v>
      </c>
      <c r="S273" s="6">
        <v>2007.0</v>
      </c>
      <c r="T273" s="6">
        <v>11.0</v>
      </c>
      <c r="U273" s="1" t="s">
        <v>148</v>
      </c>
      <c r="V273" s="1" t="s">
        <v>149</v>
      </c>
      <c r="W273" s="6">
        <v>19.0</v>
      </c>
      <c r="X273" s="1" t="s">
        <v>99</v>
      </c>
      <c r="Y273" s="1" t="s">
        <v>100</v>
      </c>
      <c r="Z273" s="6">
        <v>9.7</v>
      </c>
      <c r="AA273" s="6">
        <v>111372.0</v>
      </c>
      <c r="AB273" s="10">
        <v>0.3</v>
      </c>
      <c r="AC273" s="1" t="s">
        <v>3162</v>
      </c>
      <c r="AD273" s="1" t="s">
        <v>3163</v>
      </c>
      <c r="AE273" s="1" t="s">
        <v>3164</v>
      </c>
      <c r="AF273" s="1" t="s">
        <v>905</v>
      </c>
      <c r="AG273" s="1" t="s">
        <v>3164</v>
      </c>
      <c r="AH273" s="1" t="s">
        <v>210</v>
      </c>
      <c r="AI273" s="6">
        <v>62926.0</v>
      </c>
      <c r="AJ273" s="1" t="s">
        <v>86</v>
      </c>
      <c r="AK273" s="1" t="s">
        <v>3165</v>
      </c>
      <c r="AL273" s="1" t="s">
        <v>3166</v>
      </c>
      <c r="AM273" s="11" t="str">
        <f>VLOOKUP(N273,Sheet3!$B$4:$C$10,2,1)</f>
        <v>51-60</v>
      </c>
      <c r="AN273" s="12" t="str">
        <f>VLOOKUP(Z273,Sheet3!$F$4:$G$10,2,1)</f>
        <v>5-10</v>
      </c>
      <c r="AO273" s="5" t="str">
        <f>VLOOKUP(AA273,Sheet3!$I$3:$J$16,2,1)</f>
        <v>100000-120000</v>
      </c>
      <c r="AP273" s="5" t="str">
        <f>VLOOKUP(AB273,Sheet3!$L$4:$M$14,2,1)</f>
        <v>26% - 30%</v>
      </c>
    </row>
    <row r="274">
      <c r="A274" s="6">
        <v>305556.0</v>
      </c>
      <c r="B274" s="1" t="s">
        <v>66</v>
      </c>
      <c r="C274" s="1" t="s">
        <v>3167</v>
      </c>
      <c r="D274" s="1" t="s">
        <v>186</v>
      </c>
      <c r="E274" s="1" t="s">
        <v>1565</v>
      </c>
      <c r="F274" s="1" t="s">
        <v>70</v>
      </c>
      <c r="G274" s="1" t="s">
        <v>3168</v>
      </c>
      <c r="H274" s="1" t="s">
        <v>1395</v>
      </c>
      <c r="I274" s="1" t="s">
        <v>3169</v>
      </c>
      <c r="J274" s="1" t="s">
        <v>3170</v>
      </c>
      <c r="K274" s="1" t="s">
        <v>1509</v>
      </c>
      <c r="L274" s="9">
        <v>27349.0</v>
      </c>
      <c r="M274" s="8">
        <v>0.5398495370370371</v>
      </c>
      <c r="N274" s="6">
        <v>42.73</v>
      </c>
      <c r="O274" s="6">
        <v>58.0</v>
      </c>
      <c r="P274" s="9">
        <v>36629.0</v>
      </c>
      <c r="Q274" s="1" t="s">
        <v>75</v>
      </c>
      <c r="R274" s="1" t="s">
        <v>76</v>
      </c>
      <c r="S274" s="6">
        <v>2000.0</v>
      </c>
      <c r="T274" s="6">
        <v>4.0</v>
      </c>
      <c r="U274" s="1" t="s">
        <v>77</v>
      </c>
      <c r="V274" s="1" t="s">
        <v>78</v>
      </c>
      <c r="W274" s="6">
        <v>13.0</v>
      </c>
      <c r="X274" s="1" t="s">
        <v>150</v>
      </c>
      <c r="Y274" s="1" t="s">
        <v>151</v>
      </c>
      <c r="Z274" s="6">
        <v>17.3</v>
      </c>
      <c r="AA274" s="6">
        <v>125802.0</v>
      </c>
      <c r="AB274" s="10">
        <v>0.23</v>
      </c>
      <c r="AC274" s="1" t="s">
        <v>3171</v>
      </c>
      <c r="AD274" s="1" t="s">
        <v>3172</v>
      </c>
      <c r="AE274" s="1" t="s">
        <v>3173</v>
      </c>
      <c r="AF274" s="1" t="s">
        <v>807</v>
      </c>
      <c r="AG274" s="1" t="s">
        <v>3173</v>
      </c>
      <c r="AH274" s="1" t="s">
        <v>169</v>
      </c>
      <c r="AI274" s="6">
        <v>79043.0</v>
      </c>
      <c r="AJ274" s="1" t="s">
        <v>106</v>
      </c>
      <c r="AK274" s="1" t="s">
        <v>3174</v>
      </c>
      <c r="AL274" s="1" t="s">
        <v>3175</v>
      </c>
      <c r="AM274" s="11" t="str">
        <f>VLOOKUP(N274,Sheet3!$B$4:$C$10,2,1)</f>
        <v>41-50</v>
      </c>
      <c r="AN274" s="12" t="str">
        <f>VLOOKUP(Z274,Sheet3!$F$4:$G$10,2,1)</f>
        <v>11-20</v>
      </c>
      <c r="AO274" s="5" t="str">
        <f>VLOOKUP(AA274,Sheet3!$I$3:$J$16,2,1)</f>
        <v>120000-140000</v>
      </c>
      <c r="AP274" s="5" t="str">
        <f>VLOOKUP(AB274,Sheet3!$L$4:$M$14,2,1)</f>
        <v>21% - 25%</v>
      </c>
    </row>
    <row r="275">
      <c r="A275" s="6">
        <v>915507.0</v>
      </c>
      <c r="B275" s="1" t="s">
        <v>66</v>
      </c>
      <c r="C275" s="1" t="s">
        <v>3176</v>
      </c>
      <c r="D275" s="1" t="s">
        <v>529</v>
      </c>
      <c r="E275" s="1" t="s">
        <v>3177</v>
      </c>
      <c r="F275" s="1" t="s">
        <v>70</v>
      </c>
      <c r="G275" s="1" t="s">
        <v>3178</v>
      </c>
      <c r="H275" s="1" t="s">
        <v>1395</v>
      </c>
      <c r="I275" s="1" t="s">
        <v>3179</v>
      </c>
      <c r="J275" s="1" t="s">
        <v>3180</v>
      </c>
      <c r="K275" s="1" t="s">
        <v>3181</v>
      </c>
      <c r="L275" s="9">
        <v>27047.0</v>
      </c>
      <c r="M275" s="8">
        <v>0.010590277777777778</v>
      </c>
      <c r="N275" s="6">
        <v>43.55</v>
      </c>
      <c r="O275" s="6">
        <v>68.0</v>
      </c>
      <c r="P275" s="9">
        <v>40506.0</v>
      </c>
      <c r="Q275" s="1" t="s">
        <v>52</v>
      </c>
      <c r="R275" s="1" t="s">
        <v>53</v>
      </c>
      <c r="S275" s="6">
        <v>2010.0</v>
      </c>
      <c r="T275" s="6">
        <v>11.0</v>
      </c>
      <c r="U275" s="1" t="s">
        <v>148</v>
      </c>
      <c r="V275" s="1" t="s">
        <v>149</v>
      </c>
      <c r="W275" s="6">
        <v>24.0</v>
      </c>
      <c r="X275" s="1" t="s">
        <v>278</v>
      </c>
      <c r="Y275" s="1" t="s">
        <v>279</v>
      </c>
      <c r="Z275" s="6">
        <v>6.68</v>
      </c>
      <c r="AA275" s="6">
        <v>153636.0</v>
      </c>
      <c r="AB275" s="10">
        <v>0.01</v>
      </c>
      <c r="AC275" s="1" t="s">
        <v>3182</v>
      </c>
      <c r="AD275" s="1" t="s">
        <v>3183</v>
      </c>
      <c r="AE275" s="1" t="s">
        <v>3184</v>
      </c>
      <c r="AF275" s="1" t="s">
        <v>3185</v>
      </c>
      <c r="AG275" s="1" t="s">
        <v>3184</v>
      </c>
      <c r="AH275" s="1" t="s">
        <v>893</v>
      </c>
      <c r="AI275" s="6">
        <v>27506.0</v>
      </c>
      <c r="AJ275" s="1" t="s">
        <v>106</v>
      </c>
      <c r="AK275" s="1" t="s">
        <v>3186</v>
      </c>
      <c r="AL275" s="1" t="s">
        <v>3187</v>
      </c>
      <c r="AM275" s="11" t="str">
        <f>VLOOKUP(N275,Sheet3!$B$4:$C$10,2,1)</f>
        <v>41-50</v>
      </c>
      <c r="AN275" s="12" t="str">
        <f>VLOOKUP(Z275,Sheet3!$F$4:$G$10,2,1)</f>
        <v>5-10</v>
      </c>
      <c r="AO275" s="5" t="str">
        <f>VLOOKUP(AA275,Sheet3!$I$3:$J$16,2,1)</f>
        <v>140000-160000</v>
      </c>
      <c r="AP275" s="5" t="str">
        <f>VLOOKUP(AB275,Sheet3!$L$4:$M$14,2,1)</f>
        <v>&lt; 5%</v>
      </c>
    </row>
    <row r="276">
      <c r="A276" s="6">
        <v>761381.0</v>
      </c>
      <c r="B276" s="1" t="s">
        <v>42</v>
      </c>
      <c r="C276" s="1" t="s">
        <v>1106</v>
      </c>
      <c r="D276" s="1" t="s">
        <v>68</v>
      </c>
      <c r="E276" s="1" t="s">
        <v>3188</v>
      </c>
      <c r="F276" s="1" t="s">
        <v>46</v>
      </c>
      <c r="G276" s="1" t="s">
        <v>3189</v>
      </c>
      <c r="H276" s="1" t="s">
        <v>1395</v>
      </c>
      <c r="I276" s="1" t="s">
        <v>3190</v>
      </c>
      <c r="J276" s="1" t="s">
        <v>3191</v>
      </c>
      <c r="K276" s="1" t="s">
        <v>1023</v>
      </c>
      <c r="L276" s="9">
        <v>31525.0</v>
      </c>
      <c r="M276" s="8">
        <v>0.036493055555555556</v>
      </c>
      <c r="N276" s="6">
        <v>31.28</v>
      </c>
      <c r="O276" s="6">
        <v>45.0</v>
      </c>
      <c r="P276" s="9">
        <v>42719.0</v>
      </c>
      <c r="Q276" s="1" t="s">
        <v>52</v>
      </c>
      <c r="R276" s="1" t="s">
        <v>53</v>
      </c>
      <c r="S276" s="6">
        <v>2016.0</v>
      </c>
      <c r="T276" s="6">
        <v>12.0</v>
      </c>
      <c r="U276" s="1" t="s">
        <v>54</v>
      </c>
      <c r="V276" s="1" t="s">
        <v>55</v>
      </c>
      <c r="W276" s="6">
        <v>15.0</v>
      </c>
      <c r="X276" s="1" t="s">
        <v>150</v>
      </c>
      <c r="Y276" s="1" t="s">
        <v>151</v>
      </c>
      <c r="Z276" s="6">
        <v>0.62</v>
      </c>
      <c r="AA276" s="6">
        <v>46766.0</v>
      </c>
      <c r="AB276" s="10">
        <v>0.1</v>
      </c>
      <c r="AC276" s="1" t="s">
        <v>3192</v>
      </c>
      <c r="AD276" s="1" t="s">
        <v>3193</v>
      </c>
      <c r="AE276" s="1" t="s">
        <v>3194</v>
      </c>
      <c r="AF276" s="1" t="s">
        <v>3195</v>
      </c>
      <c r="AG276" s="1" t="s">
        <v>3194</v>
      </c>
      <c r="AH276" s="1" t="s">
        <v>1032</v>
      </c>
      <c r="AI276" s="6">
        <v>67217.0</v>
      </c>
      <c r="AJ276" s="1" t="s">
        <v>86</v>
      </c>
      <c r="AK276" s="1" t="s">
        <v>3196</v>
      </c>
      <c r="AL276" s="1" t="s">
        <v>3197</v>
      </c>
      <c r="AM276" s="11" t="str">
        <f>VLOOKUP(N276,Sheet3!$B$4:$C$10,2,1)</f>
        <v>31-40</v>
      </c>
      <c r="AN276" s="13" t="str">
        <f>VLOOKUP(Z276,Sheet3!$F$4:$G$10,2,1)</f>
        <v>&lt; 5</v>
      </c>
      <c r="AO276" s="5" t="str">
        <f>VLOOKUP(AA276,Sheet3!$I$3:$J$16,2,1)</f>
        <v>40000-60000</v>
      </c>
      <c r="AP276" s="5" t="str">
        <f>VLOOKUP(AB276,Sheet3!$L$4:$M$14,2,1)</f>
        <v>5% - 10%</v>
      </c>
    </row>
    <row r="277">
      <c r="A277" s="6">
        <v>141022.0</v>
      </c>
      <c r="B277" s="1" t="s">
        <v>66</v>
      </c>
      <c r="C277" s="1" t="s">
        <v>3198</v>
      </c>
      <c r="D277" s="1" t="s">
        <v>360</v>
      </c>
      <c r="E277" s="1" t="s">
        <v>3199</v>
      </c>
      <c r="F277" s="1" t="s">
        <v>70</v>
      </c>
      <c r="G277" s="1" t="s">
        <v>3200</v>
      </c>
      <c r="H277" s="1" t="s">
        <v>1395</v>
      </c>
      <c r="I277" s="1" t="s">
        <v>3201</v>
      </c>
      <c r="J277" s="1" t="s">
        <v>3202</v>
      </c>
      <c r="K277" s="1" t="s">
        <v>3203</v>
      </c>
      <c r="L277" s="14">
        <v>29777.0</v>
      </c>
      <c r="M277" s="8">
        <v>0.775150462962963</v>
      </c>
      <c r="N277" s="6">
        <v>36.07</v>
      </c>
      <c r="O277" s="6">
        <v>89.0</v>
      </c>
      <c r="P277" s="14">
        <v>38414.0</v>
      </c>
      <c r="Q277" s="1" t="s">
        <v>96</v>
      </c>
      <c r="R277" s="1" t="s">
        <v>76</v>
      </c>
      <c r="S277" s="6">
        <v>2005.0</v>
      </c>
      <c r="T277" s="6">
        <v>3.0</v>
      </c>
      <c r="U277" s="1" t="s">
        <v>97</v>
      </c>
      <c r="V277" s="1" t="s">
        <v>98</v>
      </c>
      <c r="W277" s="6">
        <v>3.0</v>
      </c>
      <c r="X277" s="1" t="s">
        <v>150</v>
      </c>
      <c r="Y277" s="1" t="s">
        <v>151</v>
      </c>
      <c r="Z277" s="6">
        <v>12.41</v>
      </c>
      <c r="AA277" s="6">
        <v>187480.0</v>
      </c>
      <c r="AB277" s="10">
        <v>0.16</v>
      </c>
      <c r="AC277" s="1" t="s">
        <v>3204</v>
      </c>
      <c r="AD277" s="1" t="s">
        <v>3205</v>
      </c>
      <c r="AE277" s="1" t="s">
        <v>424</v>
      </c>
      <c r="AF277" s="1" t="s">
        <v>424</v>
      </c>
      <c r="AG277" s="1" t="s">
        <v>424</v>
      </c>
      <c r="AH277" s="1" t="s">
        <v>238</v>
      </c>
      <c r="AI277" s="6">
        <v>95842.0</v>
      </c>
      <c r="AJ277" s="1" t="s">
        <v>63</v>
      </c>
      <c r="AK277" s="1" t="s">
        <v>3206</v>
      </c>
      <c r="AL277" s="1" t="s">
        <v>3207</v>
      </c>
      <c r="AM277" s="11" t="str">
        <f>VLOOKUP(N277,Sheet3!$B$4:$C$10,2,1)</f>
        <v>31-40</v>
      </c>
      <c r="AN277" s="12" t="str">
        <f>VLOOKUP(Z277,Sheet3!$F$4:$G$10,2,1)</f>
        <v>11-20</v>
      </c>
      <c r="AO277" s="5" t="str">
        <f>VLOOKUP(AA277,Sheet3!$I$3:$J$16,2,1)</f>
        <v>180000-200000</v>
      </c>
      <c r="AP277" s="5" t="str">
        <f>VLOOKUP(AB277,Sheet3!$L$4:$M$14,2,1)</f>
        <v>16% - 20%</v>
      </c>
    </row>
    <row r="278">
      <c r="A278" s="6">
        <v>528086.0</v>
      </c>
      <c r="B278" s="1" t="s">
        <v>66</v>
      </c>
      <c r="C278" s="1" t="s">
        <v>1888</v>
      </c>
      <c r="D278" s="1" t="s">
        <v>68</v>
      </c>
      <c r="E278" s="1" t="s">
        <v>768</v>
      </c>
      <c r="F278" s="1" t="s">
        <v>70</v>
      </c>
      <c r="G278" s="1" t="s">
        <v>3208</v>
      </c>
      <c r="H278" s="1" t="s">
        <v>1395</v>
      </c>
      <c r="I278" s="1" t="s">
        <v>3209</v>
      </c>
      <c r="J278" s="1" t="s">
        <v>3210</v>
      </c>
      <c r="K278" s="1" t="s">
        <v>380</v>
      </c>
      <c r="L278" s="14">
        <v>27069.0</v>
      </c>
      <c r="M278" s="8">
        <v>0.44805555555555554</v>
      </c>
      <c r="N278" s="6">
        <v>43.49</v>
      </c>
      <c r="O278" s="6">
        <v>55.0</v>
      </c>
      <c r="P278" s="14">
        <v>41401.0</v>
      </c>
      <c r="Q278" s="1" t="s">
        <v>75</v>
      </c>
      <c r="R278" s="1" t="s">
        <v>76</v>
      </c>
      <c r="S278" s="6">
        <v>2013.0</v>
      </c>
      <c r="T278" s="6">
        <v>5.0</v>
      </c>
      <c r="U278" s="1" t="s">
        <v>294</v>
      </c>
      <c r="V278" s="1" t="s">
        <v>294</v>
      </c>
      <c r="W278" s="6">
        <v>7.0</v>
      </c>
      <c r="X278" s="1" t="s">
        <v>79</v>
      </c>
      <c r="Y278" s="1" t="s">
        <v>80</v>
      </c>
      <c r="Z278" s="6">
        <v>4.23</v>
      </c>
      <c r="AA278" s="6">
        <v>95018.0</v>
      </c>
      <c r="AB278" s="10">
        <v>0.16</v>
      </c>
      <c r="AC278" s="1" t="s">
        <v>3211</v>
      </c>
      <c r="AD278" s="1" t="s">
        <v>3212</v>
      </c>
      <c r="AE278" s="1" t="s">
        <v>3213</v>
      </c>
      <c r="AF278" s="1" t="s">
        <v>3214</v>
      </c>
      <c r="AG278" s="1" t="s">
        <v>3213</v>
      </c>
      <c r="AH278" s="1" t="s">
        <v>85</v>
      </c>
      <c r="AI278" s="6">
        <v>48288.0</v>
      </c>
      <c r="AJ278" s="1" t="s">
        <v>86</v>
      </c>
      <c r="AK278" s="1" t="s">
        <v>3215</v>
      </c>
      <c r="AL278" s="1" t="s">
        <v>3216</v>
      </c>
      <c r="AM278" s="11" t="str">
        <f>VLOOKUP(N278,Sheet3!$B$4:$C$10,2,1)</f>
        <v>41-50</v>
      </c>
      <c r="AN278" s="13" t="str">
        <f>VLOOKUP(Z278,Sheet3!$F$4:$G$10,2,1)</f>
        <v>&lt; 5</v>
      </c>
      <c r="AO278" s="5" t="str">
        <f>VLOOKUP(AA278,Sheet3!$I$3:$J$16,2,1)</f>
        <v>80000-100000</v>
      </c>
      <c r="AP278" s="5" t="str">
        <f>VLOOKUP(AB278,Sheet3!$L$4:$M$14,2,1)</f>
        <v>16% - 20%</v>
      </c>
    </row>
    <row r="279">
      <c r="A279" s="6">
        <v>177821.0</v>
      </c>
      <c r="B279" s="1" t="s">
        <v>66</v>
      </c>
      <c r="C279" s="1" t="s">
        <v>3217</v>
      </c>
      <c r="D279" s="1" t="s">
        <v>318</v>
      </c>
      <c r="E279" s="1" t="s">
        <v>347</v>
      </c>
      <c r="F279" s="1" t="s">
        <v>70</v>
      </c>
      <c r="G279" s="1" t="s">
        <v>3218</v>
      </c>
      <c r="H279" s="1" t="s">
        <v>1395</v>
      </c>
      <c r="I279" s="1" t="s">
        <v>3219</v>
      </c>
      <c r="J279" s="1" t="s">
        <v>3220</v>
      </c>
      <c r="K279" s="1" t="s">
        <v>815</v>
      </c>
      <c r="L279" s="14">
        <v>27432.0</v>
      </c>
      <c r="M279" s="8">
        <v>0.725474537037037</v>
      </c>
      <c r="N279" s="6">
        <v>42.5</v>
      </c>
      <c r="O279" s="6">
        <v>79.0</v>
      </c>
      <c r="P279" s="14">
        <v>39543.0</v>
      </c>
      <c r="Q279" s="1" t="s">
        <v>75</v>
      </c>
      <c r="R279" s="1" t="s">
        <v>76</v>
      </c>
      <c r="S279" s="6">
        <v>2008.0</v>
      </c>
      <c r="T279" s="6">
        <v>4.0</v>
      </c>
      <c r="U279" s="1" t="s">
        <v>77</v>
      </c>
      <c r="V279" s="1" t="s">
        <v>78</v>
      </c>
      <c r="W279" s="6">
        <v>5.0</v>
      </c>
      <c r="X279" s="1" t="s">
        <v>56</v>
      </c>
      <c r="Y279" s="1" t="s">
        <v>57</v>
      </c>
      <c r="Z279" s="6">
        <v>9.32</v>
      </c>
      <c r="AA279" s="6">
        <v>173372.0</v>
      </c>
      <c r="AB279" s="10">
        <v>0.24</v>
      </c>
      <c r="AC279" s="1" t="s">
        <v>3221</v>
      </c>
      <c r="AD279" s="1" t="s">
        <v>3222</v>
      </c>
      <c r="AE279" s="1" t="s">
        <v>3223</v>
      </c>
      <c r="AF279" s="1" t="s">
        <v>3224</v>
      </c>
      <c r="AG279" s="1" t="s">
        <v>3223</v>
      </c>
      <c r="AH279" s="1" t="s">
        <v>223</v>
      </c>
      <c r="AI279" s="6">
        <v>17051.0</v>
      </c>
      <c r="AJ279" s="1" t="s">
        <v>224</v>
      </c>
      <c r="AK279" s="1" t="s">
        <v>3225</v>
      </c>
      <c r="AL279" s="1" t="s">
        <v>3226</v>
      </c>
      <c r="AM279" s="11" t="str">
        <f>VLOOKUP(N279,Sheet3!$B$4:$C$10,2,1)</f>
        <v>41-50</v>
      </c>
      <c r="AN279" s="12" t="str">
        <f>VLOOKUP(Z279,Sheet3!$F$4:$G$10,2,1)</f>
        <v>5-10</v>
      </c>
      <c r="AO279" s="5" t="str">
        <f>VLOOKUP(AA279,Sheet3!$I$3:$J$16,2,1)</f>
        <v>160000-180000</v>
      </c>
      <c r="AP279" s="5" t="str">
        <f>VLOOKUP(AB279,Sheet3!$L$4:$M$14,2,1)</f>
        <v>21% - 25%</v>
      </c>
    </row>
    <row r="280">
      <c r="A280" s="6">
        <v>740281.0</v>
      </c>
      <c r="B280" s="1" t="s">
        <v>42</v>
      </c>
      <c r="C280" s="1" t="s">
        <v>3227</v>
      </c>
      <c r="D280" s="1" t="s">
        <v>44</v>
      </c>
      <c r="E280" s="1" t="s">
        <v>1266</v>
      </c>
      <c r="F280" s="1" t="s">
        <v>46</v>
      </c>
      <c r="G280" s="1" t="s">
        <v>3228</v>
      </c>
      <c r="H280" s="1" t="s">
        <v>1395</v>
      </c>
      <c r="I280" s="1" t="s">
        <v>3229</v>
      </c>
      <c r="J280" s="1" t="s">
        <v>3230</v>
      </c>
      <c r="K280" s="1" t="s">
        <v>914</v>
      </c>
      <c r="L280" s="14">
        <v>32668.0</v>
      </c>
      <c r="M280" s="8">
        <v>0.7665509259259259</v>
      </c>
      <c r="N280" s="6">
        <v>28.15</v>
      </c>
      <c r="O280" s="6">
        <v>52.0</v>
      </c>
      <c r="P280" s="9">
        <v>40839.0</v>
      </c>
      <c r="Q280" s="1" t="s">
        <v>52</v>
      </c>
      <c r="R280" s="1" t="s">
        <v>53</v>
      </c>
      <c r="S280" s="6">
        <v>2011.0</v>
      </c>
      <c r="T280" s="6">
        <v>10.0</v>
      </c>
      <c r="U280" s="1" t="s">
        <v>133</v>
      </c>
      <c r="V280" s="1" t="s">
        <v>134</v>
      </c>
      <c r="W280" s="6">
        <v>23.0</v>
      </c>
      <c r="X280" s="1" t="s">
        <v>534</v>
      </c>
      <c r="Y280" s="1" t="s">
        <v>535</v>
      </c>
      <c r="Z280" s="6">
        <v>5.77</v>
      </c>
      <c r="AA280" s="6">
        <v>85410.0</v>
      </c>
      <c r="AB280" s="10">
        <v>0.16</v>
      </c>
      <c r="AC280" s="1" t="s">
        <v>3231</v>
      </c>
      <c r="AD280" s="1" t="s">
        <v>3232</v>
      </c>
      <c r="AE280" s="1" t="s">
        <v>3233</v>
      </c>
      <c r="AF280" s="1" t="s">
        <v>3234</v>
      </c>
      <c r="AG280" s="1" t="s">
        <v>3233</v>
      </c>
      <c r="AH280" s="1" t="s">
        <v>223</v>
      </c>
      <c r="AI280" s="6">
        <v>18510.0</v>
      </c>
      <c r="AJ280" s="1" t="s">
        <v>224</v>
      </c>
      <c r="AK280" s="1" t="s">
        <v>3235</v>
      </c>
      <c r="AL280" s="1" t="s">
        <v>3236</v>
      </c>
      <c r="AM280" s="11" t="str">
        <f>VLOOKUP(N280,Sheet3!$B$4:$C$10,2,1)</f>
        <v>21-30</v>
      </c>
      <c r="AN280" s="12" t="str">
        <f>VLOOKUP(Z280,Sheet3!$F$4:$G$10,2,1)</f>
        <v>5-10</v>
      </c>
      <c r="AO280" s="5" t="str">
        <f>VLOOKUP(AA280,Sheet3!$I$3:$J$16,2,1)</f>
        <v>80000-100000</v>
      </c>
      <c r="AP280" s="5" t="str">
        <f>VLOOKUP(AB280,Sheet3!$L$4:$M$14,2,1)</f>
        <v>16% - 20%</v>
      </c>
    </row>
    <row r="281">
      <c r="A281" s="6">
        <v>906797.0</v>
      </c>
      <c r="B281" s="1" t="s">
        <v>66</v>
      </c>
      <c r="C281" s="1" t="s">
        <v>3237</v>
      </c>
      <c r="D281" s="1" t="s">
        <v>1663</v>
      </c>
      <c r="E281" s="1" t="s">
        <v>2406</v>
      </c>
      <c r="F281" s="1" t="s">
        <v>70</v>
      </c>
      <c r="G281" s="1" t="s">
        <v>3238</v>
      </c>
      <c r="H281" s="1" t="s">
        <v>1395</v>
      </c>
      <c r="I281" s="1" t="s">
        <v>3239</v>
      </c>
      <c r="J281" s="1" t="s">
        <v>3240</v>
      </c>
      <c r="K281" s="1" t="s">
        <v>873</v>
      </c>
      <c r="L281" s="14">
        <v>33399.0</v>
      </c>
      <c r="M281" s="8">
        <v>0.1452314814814815</v>
      </c>
      <c r="N281" s="6">
        <v>26.15</v>
      </c>
      <c r="O281" s="6">
        <v>67.0</v>
      </c>
      <c r="P281" s="9">
        <v>42691.0</v>
      </c>
      <c r="Q281" s="1" t="s">
        <v>52</v>
      </c>
      <c r="R281" s="1" t="s">
        <v>53</v>
      </c>
      <c r="S281" s="6">
        <v>2016.0</v>
      </c>
      <c r="T281" s="6">
        <v>11.0</v>
      </c>
      <c r="U281" s="1" t="s">
        <v>148</v>
      </c>
      <c r="V281" s="1" t="s">
        <v>149</v>
      </c>
      <c r="W281" s="6">
        <v>17.0</v>
      </c>
      <c r="X281" s="1" t="s">
        <v>150</v>
      </c>
      <c r="Y281" s="1" t="s">
        <v>151</v>
      </c>
      <c r="Z281" s="6">
        <v>0.69</v>
      </c>
      <c r="AA281" s="6">
        <v>137995.0</v>
      </c>
      <c r="AB281" s="10">
        <v>0.01</v>
      </c>
      <c r="AC281" s="1" t="s">
        <v>3241</v>
      </c>
      <c r="AD281" s="1" t="s">
        <v>3242</v>
      </c>
      <c r="AE281" s="1" t="s">
        <v>3243</v>
      </c>
      <c r="AF281" s="1" t="s">
        <v>3244</v>
      </c>
      <c r="AG281" s="1" t="s">
        <v>3243</v>
      </c>
      <c r="AH281" s="1" t="s">
        <v>974</v>
      </c>
      <c r="AI281" s="6">
        <v>44656.0</v>
      </c>
      <c r="AJ281" s="1" t="s">
        <v>86</v>
      </c>
      <c r="AK281" s="1" t="s">
        <v>3245</v>
      </c>
      <c r="AL281" s="1" t="s">
        <v>3246</v>
      </c>
      <c r="AM281" s="11" t="str">
        <f>VLOOKUP(N281,Sheet3!$B$4:$C$10,2,1)</f>
        <v>21-30</v>
      </c>
      <c r="AN281" s="13" t="str">
        <f>VLOOKUP(Z281,Sheet3!$F$4:$G$10,2,1)</f>
        <v>&lt; 5</v>
      </c>
      <c r="AO281" s="5" t="str">
        <f>VLOOKUP(AA281,Sheet3!$I$3:$J$16,2,1)</f>
        <v>120000-140000</v>
      </c>
      <c r="AP281" s="5" t="str">
        <f>VLOOKUP(AB281,Sheet3!$L$4:$M$14,2,1)</f>
        <v>&lt; 5%</v>
      </c>
    </row>
    <row r="282">
      <c r="A282" s="6">
        <v>790008.0</v>
      </c>
      <c r="B282" s="1" t="s">
        <v>42</v>
      </c>
      <c r="C282" s="1" t="s">
        <v>3247</v>
      </c>
      <c r="D282" s="1" t="s">
        <v>443</v>
      </c>
      <c r="E282" s="1" t="s">
        <v>3248</v>
      </c>
      <c r="F282" s="1" t="s">
        <v>46</v>
      </c>
      <c r="G282" s="1" t="s">
        <v>3249</v>
      </c>
      <c r="H282" s="1" t="s">
        <v>1395</v>
      </c>
      <c r="I282" s="1" t="s">
        <v>3250</v>
      </c>
      <c r="J282" s="1" t="s">
        <v>3251</v>
      </c>
      <c r="K282" s="1" t="s">
        <v>2778</v>
      </c>
      <c r="L282" s="9">
        <v>28210.0</v>
      </c>
      <c r="M282" s="8">
        <v>0.7597685185185186</v>
      </c>
      <c r="N282" s="6">
        <v>40.37</v>
      </c>
      <c r="O282" s="6">
        <v>49.0</v>
      </c>
      <c r="P282" s="9">
        <v>40374.0</v>
      </c>
      <c r="Q282" s="1" t="s">
        <v>308</v>
      </c>
      <c r="R282" s="1" t="s">
        <v>53</v>
      </c>
      <c r="S282" s="6">
        <v>2010.0</v>
      </c>
      <c r="T282" s="6">
        <v>7.0</v>
      </c>
      <c r="U282" s="1" t="s">
        <v>366</v>
      </c>
      <c r="V282" s="1" t="s">
        <v>367</v>
      </c>
      <c r="W282" s="6">
        <v>15.0</v>
      </c>
      <c r="X282" s="1" t="s">
        <v>150</v>
      </c>
      <c r="Y282" s="1" t="s">
        <v>151</v>
      </c>
      <c r="Z282" s="6">
        <v>7.04</v>
      </c>
      <c r="AA282" s="6">
        <v>84136.0</v>
      </c>
      <c r="AB282" s="10">
        <v>0.23</v>
      </c>
      <c r="AC282" s="1" t="s">
        <v>3252</v>
      </c>
      <c r="AD282" s="1" t="s">
        <v>3253</v>
      </c>
      <c r="AE282" s="1" t="s">
        <v>2896</v>
      </c>
      <c r="AF282" s="1" t="s">
        <v>3254</v>
      </c>
      <c r="AG282" s="1" t="s">
        <v>2896</v>
      </c>
      <c r="AH282" s="1" t="s">
        <v>356</v>
      </c>
      <c r="AI282" s="6">
        <v>13135.0</v>
      </c>
      <c r="AJ282" s="1" t="s">
        <v>224</v>
      </c>
      <c r="AK282" s="1" t="s">
        <v>3255</v>
      </c>
      <c r="AL282" s="1" t="s">
        <v>3256</v>
      </c>
      <c r="AM282" s="11" t="str">
        <f>VLOOKUP(N282,Sheet3!$B$4:$C$10,2,1)</f>
        <v>31-40</v>
      </c>
      <c r="AN282" s="12" t="str">
        <f>VLOOKUP(Z282,Sheet3!$F$4:$G$10,2,1)</f>
        <v>5-10</v>
      </c>
      <c r="AO282" s="5" t="str">
        <f>VLOOKUP(AA282,Sheet3!$I$3:$J$16,2,1)</f>
        <v>80000-100000</v>
      </c>
      <c r="AP282" s="5" t="str">
        <f>VLOOKUP(AB282,Sheet3!$L$4:$M$14,2,1)</f>
        <v>21% - 25%</v>
      </c>
    </row>
    <row r="283">
      <c r="A283" s="6">
        <v>825433.0</v>
      </c>
      <c r="B283" s="1" t="s">
        <v>109</v>
      </c>
      <c r="C283" s="1" t="s">
        <v>402</v>
      </c>
      <c r="D283" s="1" t="s">
        <v>242</v>
      </c>
      <c r="E283" s="1" t="s">
        <v>3257</v>
      </c>
      <c r="F283" s="1" t="s">
        <v>46</v>
      </c>
      <c r="G283" s="1" t="s">
        <v>3258</v>
      </c>
      <c r="H283" s="1" t="s">
        <v>1395</v>
      </c>
      <c r="I283" s="1" t="s">
        <v>3259</v>
      </c>
      <c r="J283" s="1" t="s">
        <v>3260</v>
      </c>
      <c r="K283" s="1" t="s">
        <v>1589</v>
      </c>
      <c r="L283" s="9">
        <v>25042.0</v>
      </c>
      <c r="M283" s="8">
        <v>0.016921296296296295</v>
      </c>
      <c r="N283" s="6">
        <v>49.05</v>
      </c>
      <c r="O283" s="6">
        <v>60.0</v>
      </c>
      <c r="P283" s="9">
        <v>39410.0</v>
      </c>
      <c r="Q283" s="1" t="s">
        <v>52</v>
      </c>
      <c r="R283" s="1" t="s">
        <v>53</v>
      </c>
      <c r="S283" s="6">
        <v>2007.0</v>
      </c>
      <c r="T283" s="6">
        <v>11.0</v>
      </c>
      <c r="U283" s="1" t="s">
        <v>148</v>
      </c>
      <c r="V283" s="1" t="s">
        <v>149</v>
      </c>
      <c r="W283" s="6">
        <v>24.0</v>
      </c>
      <c r="X283" s="1" t="s">
        <v>56</v>
      </c>
      <c r="Y283" s="1" t="s">
        <v>57</v>
      </c>
      <c r="Z283" s="6">
        <v>9.68</v>
      </c>
      <c r="AA283" s="6">
        <v>84023.0</v>
      </c>
      <c r="AB283" s="10">
        <v>0.24</v>
      </c>
      <c r="AC283" s="1" t="s">
        <v>3261</v>
      </c>
      <c r="AD283" s="1" t="s">
        <v>3262</v>
      </c>
      <c r="AE283" s="1" t="s">
        <v>3263</v>
      </c>
      <c r="AF283" s="1" t="s">
        <v>1331</v>
      </c>
      <c r="AG283" s="1" t="s">
        <v>3263</v>
      </c>
      <c r="AH283" s="1" t="s">
        <v>223</v>
      </c>
      <c r="AI283" s="6">
        <v>19343.0</v>
      </c>
      <c r="AJ283" s="1" t="s">
        <v>224</v>
      </c>
      <c r="AK283" s="1" t="s">
        <v>3264</v>
      </c>
      <c r="AL283" s="1" t="s">
        <v>3265</v>
      </c>
      <c r="AM283" s="11" t="str">
        <f>VLOOKUP(N283,Sheet3!$B$4:$C$10,2,1)</f>
        <v>41-50</v>
      </c>
      <c r="AN283" s="12" t="str">
        <f>VLOOKUP(Z283,Sheet3!$F$4:$G$10,2,1)</f>
        <v>5-10</v>
      </c>
      <c r="AO283" s="5" t="str">
        <f>VLOOKUP(AA283,Sheet3!$I$3:$J$16,2,1)</f>
        <v>80000-100000</v>
      </c>
      <c r="AP283" s="5" t="str">
        <f>VLOOKUP(AB283,Sheet3!$L$4:$M$14,2,1)</f>
        <v>21% - 25%</v>
      </c>
    </row>
    <row r="284">
      <c r="A284" s="6">
        <v>941759.0</v>
      </c>
      <c r="B284" s="1" t="s">
        <v>227</v>
      </c>
      <c r="C284" s="1" t="s">
        <v>3266</v>
      </c>
      <c r="D284" s="1" t="s">
        <v>186</v>
      </c>
      <c r="E284" s="1" t="s">
        <v>3267</v>
      </c>
      <c r="F284" s="1" t="s">
        <v>70</v>
      </c>
      <c r="G284" s="1" t="s">
        <v>3268</v>
      </c>
      <c r="H284" s="1" t="s">
        <v>1395</v>
      </c>
      <c r="I284" s="1" t="s">
        <v>3269</v>
      </c>
      <c r="J284" s="1" t="s">
        <v>3270</v>
      </c>
      <c r="K284" s="1" t="s">
        <v>3271</v>
      </c>
      <c r="L284" s="14">
        <v>25295.0</v>
      </c>
      <c r="M284" s="8">
        <v>0.38203703703703706</v>
      </c>
      <c r="N284" s="6">
        <v>48.35</v>
      </c>
      <c r="O284" s="6">
        <v>82.0</v>
      </c>
      <c r="P284" s="9">
        <v>33037.0</v>
      </c>
      <c r="Q284" s="1" t="s">
        <v>75</v>
      </c>
      <c r="R284" s="1" t="s">
        <v>76</v>
      </c>
      <c r="S284" s="6">
        <v>1990.0</v>
      </c>
      <c r="T284" s="6">
        <v>6.0</v>
      </c>
      <c r="U284" s="1" t="s">
        <v>324</v>
      </c>
      <c r="V284" s="1" t="s">
        <v>325</v>
      </c>
      <c r="W284" s="6">
        <v>13.0</v>
      </c>
      <c r="X284" s="1" t="s">
        <v>278</v>
      </c>
      <c r="Y284" s="1" t="s">
        <v>279</v>
      </c>
      <c r="Z284" s="6">
        <v>27.14</v>
      </c>
      <c r="AA284" s="6">
        <v>119430.0</v>
      </c>
      <c r="AB284" s="10">
        <v>0.12</v>
      </c>
      <c r="AC284" s="1" t="s">
        <v>3272</v>
      </c>
      <c r="AD284" s="1" t="s">
        <v>3273</v>
      </c>
      <c r="AE284" s="1" t="s">
        <v>3274</v>
      </c>
      <c r="AF284" s="1" t="s">
        <v>764</v>
      </c>
      <c r="AG284" s="1" t="s">
        <v>3274</v>
      </c>
      <c r="AH284" s="1" t="s">
        <v>857</v>
      </c>
      <c r="AI284" s="6">
        <v>64108.0</v>
      </c>
      <c r="AJ284" s="1" t="s">
        <v>86</v>
      </c>
      <c r="AK284" s="1" t="s">
        <v>3275</v>
      </c>
      <c r="AL284" s="1" t="s">
        <v>3276</v>
      </c>
      <c r="AM284" s="11" t="str">
        <f>VLOOKUP(N284,Sheet3!$B$4:$C$10,2,1)</f>
        <v>41-50</v>
      </c>
      <c r="AN284" s="13" t="str">
        <f>VLOOKUP(Z284,Sheet3!$F$4:$G$10,2,1)</f>
        <v>21-30</v>
      </c>
      <c r="AO284" s="5" t="str">
        <f>VLOOKUP(AA284,Sheet3!$I$3:$J$16,2,1)</f>
        <v>100000-120000</v>
      </c>
      <c r="AP284" s="5" t="str">
        <f>VLOOKUP(AB284,Sheet3!$L$4:$M$14,2,1)</f>
        <v>11% - 15%</v>
      </c>
    </row>
    <row r="285">
      <c r="A285" s="6">
        <v>313864.0</v>
      </c>
      <c r="B285" s="1" t="s">
        <v>109</v>
      </c>
      <c r="C285" s="1" t="s">
        <v>3277</v>
      </c>
      <c r="D285" s="1" t="s">
        <v>416</v>
      </c>
      <c r="E285" s="1" t="s">
        <v>3278</v>
      </c>
      <c r="F285" s="1" t="s">
        <v>46</v>
      </c>
      <c r="G285" s="1" t="s">
        <v>3279</v>
      </c>
      <c r="H285" s="1" t="s">
        <v>1395</v>
      </c>
      <c r="I285" s="1" t="s">
        <v>3280</v>
      </c>
      <c r="J285" s="1" t="s">
        <v>3281</v>
      </c>
      <c r="K285" s="1" t="s">
        <v>3282</v>
      </c>
      <c r="L285" s="9">
        <v>23114.0</v>
      </c>
      <c r="M285" s="8">
        <v>0.08171296296296296</v>
      </c>
      <c r="N285" s="6">
        <v>54.33</v>
      </c>
      <c r="O285" s="6">
        <v>59.0</v>
      </c>
      <c r="P285" s="9">
        <v>35337.0</v>
      </c>
      <c r="Q285" s="1" t="s">
        <v>308</v>
      </c>
      <c r="R285" s="1" t="s">
        <v>53</v>
      </c>
      <c r="S285" s="6">
        <v>1996.0</v>
      </c>
      <c r="T285" s="6">
        <v>9.0</v>
      </c>
      <c r="U285" s="1" t="s">
        <v>309</v>
      </c>
      <c r="V285" s="1" t="s">
        <v>310</v>
      </c>
      <c r="W285" s="6">
        <v>29.0</v>
      </c>
      <c r="X285" s="1" t="s">
        <v>534</v>
      </c>
      <c r="Y285" s="1" t="s">
        <v>535</v>
      </c>
      <c r="Z285" s="6">
        <v>20.84</v>
      </c>
      <c r="AA285" s="6">
        <v>138006.0</v>
      </c>
      <c r="AB285" s="10">
        <v>0.29</v>
      </c>
      <c r="AC285" s="1" t="s">
        <v>3283</v>
      </c>
      <c r="AD285" s="1" t="s">
        <v>3284</v>
      </c>
      <c r="AE285" s="1" t="s">
        <v>3285</v>
      </c>
      <c r="AF285" s="1" t="s">
        <v>3286</v>
      </c>
      <c r="AG285" s="1" t="s">
        <v>3285</v>
      </c>
      <c r="AH285" s="1" t="s">
        <v>1413</v>
      </c>
      <c r="AI285" s="6">
        <v>80120.0</v>
      </c>
      <c r="AJ285" s="1" t="s">
        <v>63</v>
      </c>
      <c r="AK285" s="1" t="s">
        <v>3287</v>
      </c>
      <c r="AL285" s="1" t="s">
        <v>3288</v>
      </c>
      <c r="AM285" s="11" t="str">
        <f>VLOOKUP(N285,Sheet3!$B$4:$C$10,2,1)</f>
        <v>51-60</v>
      </c>
      <c r="AN285" s="12" t="str">
        <f>VLOOKUP(Z285,Sheet3!$F$4:$G$10,2,1)</f>
        <v>11-20</v>
      </c>
      <c r="AO285" s="5" t="str">
        <f>VLOOKUP(AA285,Sheet3!$I$3:$J$16,2,1)</f>
        <v>120000-140000</v>
      </c>
      <c r="AP285" s="5" t="str">
        <f>VLOOKUP(AB285,Sheet3!$L$4:$M$14,2,1)</f>
        <v>26% - 30%</v>
      </c>
    </row>
    <row r="286">
      <c r="A286" s="6">
        <v>978745.0</v>
      </c>
      <c r="B286" s="1" t="s">
        <v>109</v>
      </c>
      <c r="C286" s="1" t="s">
        <v>294</v>
      </c>
      <c r="D286" s="1" t="s">
        <v>443</v>
      </c>
      <c r="E286" s="1" t="s">
        <v>258</v>
      </c>
      <c r="F286" s="1" t="s">
        <v>46</v>
      </c>
      <c r="G286" s="1" t="s">
        <v>3289</v>
      </c>
      <c r="H286" s="1" t="s">
        <v>1395</v>
      </c>
      <c r="I286" s="1" t="s">
        <v>3290</v>
      </c>
      <c r="J286" s="1" t="s">
        <v>3291</v>
      </c>
      <c r="K286" s="1" t="s">
        <v>444</v>
      </c>
      <c r="L286" s="9">
        <v>27416.0</v>
      </c>
      <c r="M286" s="8">
        <v>0.08584490740740741</v>
      </c>
      <c r="N286" s="6">
        <v>42.54</v>
      </c>
      <c r="O286" s="6">
        <v>56.0</v>
      </c>
      <c r="P286" s="9">
        <v>42035.0</v>
      </c>
      <c r="Q286" s="1" t="s">
        <v>96</v>
      </c>
      <c r="R286" s="1" t="s">
        <v>76</v>
      </c>
      <c r="S286" s="6">
        <v>2015.0</v>
      </c>
      <c r="T286" s="6">
        <v>1.0</v>
      </c>
      <c r="U286" s="1" t="s">
        <v>276</v>
      </c>
      <c r="V286" s="1" t="s">
        <v>277</v>
      </c>
      <c r="W286" s="6">
        <v>31.0</v>
      </c>
      <c r="X286" s="1" t="s">
        <v>56</v>
      </c>
      <c r="Y286" s="1" t="s">
        <v>57</v>
      </c>
      <c r="Z286" s="6">
        <v>2.49</v>
      </c>
      <c r="AA286" s="6">
        <v>137894.0</v>
      </c>
      <c r="AB286" s="10">
        <v>0.26</v>
      </c>
      <c r="AC286" s="1" t="s">
        <v>3292</v>
      </c>
      <c r="AD286" s="1" t="s">
        <v>3293</v>
      </c>
      <c r="AE286" s="1" t="s">
        <v>942</v>
      </c>
      <c r="AF286" s="1" t="s">
        <v>2267</v>
      </c>
      <c r="AG286" s="1" t="s">
        <v>942</v>
      </c>
      <c r="AH286" s="1" t="s">
        <v>857</v>
      </c>
      <c r="AI286" s="6">
        <v>63056.0</v>
      </c>
      <c r="AJ286" s="1" t="s">
        <v>86</v>
      </c>
      <c r="AK286" s="1" t="s">
        <v>3294</v>
      </c>
      <c r="AL286" s="1" t="s">
        <v>3295</v>
      </c>
      <c r="AM286" s="11" t="str">
        <f>VLOOKUP(N286,Sheet3!$B$4:$C$10,2,1)</f>
        <v>41-50</v>
      </c>
      <c r="AN286" s="13" t="str">
        <f>VLOOKUP(Z286,Sheet3!$F$4:$G$10,2,1)</f>
        <v>&lt; 5</v>
      </c>
      <c r="AO286" s="5" t="str">
        <f>VLOOKUP(AA286,Sheet3!$I$3:$J$16,2,1)</f>
        <v>120000-140000</v>
      </c>
      <c r="AP286" s="5" t="str">
        <f>VLOOKUP(AB286,Sheet3!$L$4:$M$14,2,1)</f>
        <v>26% - 30%</v>
      </c>
    </row>
    <row r="287">
      <c r="A287" s="6">
        <v>807182.0</v>
      </c>
      <c r="B287" s="1" t="s">
        <v>109</v>
      </c>
      <c r="C287" s="1" t="s">
        <v>3296</v>
      </c>
      <c r="D287" s="1" t="s">
        <v>443</v>
      </c>
      <c r="E287" s="1" t="s">
        <v>3267</v>
      </c>
      <c r="F287" s="1" t="s">
        <v>46</v>
      </c>
      <c r="G287" s="1" t="s">
        <v>3297</v>
      </c>
      <c r="H287" s="1" t="s">
        <v>1395</v>
      </c>
      <c r="I287" s="1" t="s">
        <v>3298</v>
      </c>
      <c r="J287" s="1" t="s">
        <v>3299</v>
      </c>
      <c r="K287" s="1" t="s">
        <v>2967</v>
      </c>
      <c r="L287" s="9">
        <v>32368.0</v>
      </c>
      <c r="M287" s="8">
        <v>0.9831597222222223</v>
      </c>
      <c r="N287" s="6">
        <v>28.98</v>
      </c>
      <c r="O287" s="6">
        <v>43.0</v>
      </c>
      <c r="P287" s="14">
        <v>42467.0</v>
      </c>
      <c r="Q287" s="1" t="s">
        <v>75</v>
      </c>
      <c r="R287" s="1" t="s">
        <v>76</v>
      </c>
      <c r="S287" s="6">
        <v>2016.0</v>
      </c>
      <c r="T287" s="6">
        <v>4.0</v>
      </c>
      <c r="U287" s="1" t="s">
        <v>77</v>
      </c>
      <c r="V287" s="1" t="s">
        <v>78</v>
      </c>
      <c r="W287" s="6">
        <v>7.0</v>
      </c>
      <c r="X287" s="1" t="s">
        <v>150</v>
      </c>
      <c r="Y287" s="1" t="s">
        <v>151</v>
      </c>
      <c r="Z287" s="6">
        <v>1.31</v>
      </c>
      <c r="AA287" s="6">
        <v>121383.0</v>
      </c>
      <c r="AB287" s="10">
        <v>0.12</v>
      </c>
      <c r="AC287" s="1" t="s">
        <v>3300</v>
      </c>
      <c r="AD287" s="1" t="s">
        <v>3301</v>
      </c>
      <c r="AE287" s="1" t="s">
        <v>3302</v>
      </c>
      <c r="AF287" s="1" t="s">
        <v>3303</v>
      </c>
      <c r="AG287" s="1" t="s">
        <v>3302</v>
      </c>
      <c r="AH287" s="1" t="s">
        <v>210</v>
      </c>
      <c r="AI287" s="6">
        <v>62358.0</v>
      </c>
      <c r="AJ287" s="1" t="s">
        <v>86</v>
      </c>
      <c r="AK287" s="1" t="s">
        <v>3304</v>
      </c>
      <c r="AL287" s="1" t="s">
        <v>3305</v>
      </c>
      <c r="AM287" s="11" t="str">
        <f>VLOOKUP(N287,Sheet3!$B$4:$C$10,2,1)</f>
        <v>21-30</v>
      </c>
      <c r="AN287" s="13" t="str">
        <f>VLOOKUP(Z287,Sheet3!$F$4:$G$10,2,1)</f>
        <v>&lt; 5</v>
      </c>
      <c r="AO287" s="5" t="str">
        <f>VLOOKUP(AA287,Sheet3!$I$3:$J$16,2,1)</f>
        <v>120000-140000</v>
      </c>
      <c r="AP287" s="5" t="str">
        <f>VLOOKUP(AB287,Sheet3!$L$4:$M$14,2,1)</f>
        <v>11% - 15%</v>
      </c>
    </row>
    <row r="288">
      <c r="A288" s="6">
        <v>463743.0</v>
      </c>
      <c r="B288" s="1" t="s">
        <v>66</v>
      </c>
      <c r="C288" s="1" t="s">
        <v>631</v>
      </c>
      <c r="D288" s="1" t="s">
        <v>111</v>
      </c>
      <c r="E288" s="1" t="s">
        <v>1764</v>
      </c>
      <c r="F288" s="1" t="s">
        <v>70</v>
      </c>
      <c r="G288" s="1" t="s">
        <v>3306</v>
      </c>
      <c r="H288" s="1" t="s">
        <v>1395</v>
      </c>
      <c r="I288" s="1" t="s">
        <v>3307</v>
      </c>
      <c r="J288" s="1" t="s">
        <v>3308</v>
      </c>
      <c r="K288" s="1" t="s">
        <v>2402</v>
      </c>
      <c r="L288" s="9">
        <v>22177.0</v>
      </c>
      <c r="M288" s="8">
        <v>0.2607638888888889</v>
      </c>
      <c r="N288" s="6">
        <v>56.9</v>
      </c>
      <c r="O288" s="6">
        <v>50.0</v>
      </c>
      <c r="P288" s="9">
        <v>32341.0</v>
      </c>
      <c r="Q288" s="1" t="s">
        <v>308</v>
      </c>
      <c r="R288" s="1" t="s">
        <v>53</v>
      </c>
      <c r="S288" s="6">
        <v>1988.0</v>
      </c>
      <c r="T288" s="6">
        <v>7.0</v>
      </c>
      <c r="U288" s="1" t="s">
        <v>366</v>
      </c>
      <c r="V288" s="1" t="s">
        <v>367</v>
      </c>
      <c r="W288" s="6">
        <v>17.0</v>
      </c>
      <c r="X288" s="1" t="s">
        <v>534</v>
      </c>
      <c r="Y288" s="1" t="s">
        <v>535</v>
      </c>
      <c r="Z288" s="6">
        <v>29.05</v>
      </c>
      <c r="AA288" s="6">
        <v>91453.0</v>
      </c>
      <c r="AB288" s="10">
        <v>0.02</v>
      </c>
      <c r="AC288" s="1" t="s">
        <v>3309</v>
      </c>
      <c r="AD288" s="1" t="s">
        <v>3310</v>
      </c>
      <c r="AE288" s="1" t="s">
        <v>3311</v>
      </c>
      <c r="AF288" s="1" t="s">
        <v>1031</v>
      </c>
      <c r="AG288" s="1" t="s">
        <v>3311</v>
      </c>
      <c r="AH288" s="1" t="s">
        <v>1413</v>
      </c>
      <c r="AI288" s="6">
        <v>80104.0</v>
      </c>
      <c r="AJ288" s="1" t="s">
        <v>63</v>
      </c>
      <c r="AK288" s="1" t="s">
        <v>3312</v>
      </c>
      <c r="AL288" s="1" t="s">
        <v>3313</v>
      </c>
      <c r="AM288" s="11" t="str">
        <f>VLOOKUP(N288,Sheet3!$B$4:$C$10,2,1)</f>
        <v>51-60</v>
      </c>
      <c r="AN288" s="13" t="str">
        <f>VLOOKUP(Z288,Sheet3!$F$4:$G$10,2,1)</f>
        <v>21-30</v>
      </c>
      <c r="AO288" s="5" t="str">
        <f>VLOOKUP(AA288,Sheet3!$I$3:$J$16,2,1)</f>
        <v>80000-100000</v>
      </c>
      <c r="AP288" s="5" t="str">
        <f>VLOOKUP(AB288,Sheet3!$L$4:$M$14,2,1)</f>
        <v>&lt; 5%</v>
      </c>
    </row>
    <row r="289">
      <c r="A289" s="6">
        <v>901775.0</v>
      </c>
      <c r="B289" s="1" t="s">
        <v>42</v>
      </c>
      <c r="C289" s="1" t="s">
        <v>3314</v>
      </c>
      <c r="D289" s="1" t="s">
        <v>529</v>
      </c>
      <c r="E289" s="1" t="s">
        <v>1221</v>
      </c>
      <c r="F289" s="1" t="s">
        <v>46</v>
      </c>
      <c r="G289" s="1" t="s">
        <v>3315</v>
      </c>
      <c r="H289" s="1" t="s">
        <v>1395</v>
      </c>
      <c r="I289" s="1" t="s">
        <v>3316</v>
      </c>
      <c r="J289" s="1" t="s">
        <v>3317</v>
      </c>
      <c r="K289" s="1" t="s">
        <v>2512</v>
      </c>
      <c r="L289" s="14">
        <v>28430.0</v>
      </c>
      <c r="M289" s="8">
        <v>0.908587962962963</v>
      </c>
      <c r="N289" s="6">
        <v>39.76</v>
      </c>
      <c r="O289" s="6">
        <v>41.0</v>
      </c>
      <c r="P289" s="14">
        <v>42859.0</v>
      </c>
      <c r="Q289" s="1" t="s">
        <v>75</v>
      </c>
      <c r="R289" s="1" t="s">
        <v>76</v>
      </c>
      <c r="S289" s="6">
        <v>2017.0</v>
      </c>
      <c r="T289" s="6">
        <v>5.0</v>
      </c>
      <c r="U289" s="1" t="s">
        <v>294</v>
      </c>
      <c r="V289" s="1" t="s">
        <v>294</v>
      </c>
      <c r="W289" s="6">
        <v>4.0</v>
      </c>
      <c r="X289" s="1" t="s">
        <v>150</v>
      </c>
      <c r="Y289" s="1" t="s">
        <v>151</v>
      </c>
      <c r="Z289" s="6">
        <v>0.23</v>
      </c>
      <c r="AA289" s="6">
        <v>169631.0</v>
      </c>
      <c r="AB289" s="10">
        <v>0.17</v>
      </c>
      <c r="AC289" s="1" t="s">
        <v>3318</v>
      </c>
      <c r="AD289" s="1" t="s">
        <v>3319</v>
      </c>
      <c r="AE289" s="1" t="s">
        <v>3320</v>
      </c>
      <c r="AF289" s="1" t="s">
        <v>3321</v>
      </c>
      <c r="AG289" s="1" t="s">
        <v>3320</v>
      </c>
      <c r="AH289" s="1" t="s">
        <v>2536</v>
      </c>
      <c r="AI289" s="6">
        <v>5069.0</v>
      </c>
      <c r="AJ289" s="1" t="s">
        <v>224</v>
      </c>
      <c r="AK289" s="1" t="s">
        <v>3322</v>
      </c>
      <c r="AL289" s="1" t="s">
        <v>3323</v>
      </c>
      <c r="AM289" s="11" t="str">
        <f>VLOOKUP(N289,Sheet3!$B$4:$C$10,2,1)</f>
        <v>31-40</v>
      </c>
      <c r="AN289" s="13" t="str">
        <f>VLOOKUP(Z289,Sheet3!$F$4:$G$10,2,1)</f>
        <v>&lt; 5</v>
      </c>
      <c r="AO289" s="5" t="str">
        <f>VLOOKUP(AA289,Sheet3!$I$3:$J$16,2,1)</f>
        <v>160000-180000</v>
      </c>
      <c r="AP289" s="5" t="str">
        <f>VLOOKUP(AB289,Sheet3!$L$4:$M$14,2,1)</f>
        <v>16% - 20%</v>
      </c>
    </row>
    <row r="290">
      <c r="A290" s="6">
        <v>197867.0</v>
      </c>
      <c r="B290" s="1" t="s">
        <v>109</v>
      </c>
      <c r="C290" s="1" t="s">
        <v>3324</v>
      </c>
      <c r="D290" s="1" t="s">
        <v>111</v>
      </c>
      <c r="E290" s="1" t="s">
        <v>3325</v>
      </c>
      <c r="F290" s="1" t="s">
        <v>46</v>
      </c>
      <c r="G290" s="1" t="s">
        <v>3326</v>
      </c>
      <c r="H290" s="1" t="s">
        <v>1395</v>
      </c>
      <c r="I290" s="1" t="s">
        <v>3327</v>
      </c>
      <c r="J290" s="1" t="s">
        <v>3328</v>
      </c>
      <c r="K290" s="1" t="s">
        <v>2636</v>
      </c>
      <c r="L290" s="14">
        <v>34008.0</v>
      </c>
      <c r="M290" s="8">
        <v>0.007488425925925926</v>
      </c>
      <c r="N290" s="6">
        <v>24.48</v>
      </c>
      <c r="O290" s="6">
        <v>40.0</v>
      </c>
      <c r="P290" s="9">
        <v>41789.0</v>
      </c>
      <c r="Q290" s="1" t="s">
        <v>75</v>
      </c>
      <c r="R290" s="1" t="s">
        <v>76</v>
      </c>
      <c r="S290" s="6">
        <v>2014.0</v>
      </c>
      <c r="T290" s="6">
        <v>5.0</v>
      </c>
      <c r="U290" s="1" t="s">
        <v>294</v>
      </c>
      <c r="V290" s="1" t="s">
        <v>294</v>
      </c>
      <c r="W290" s="6">
        <v>30.0</v>
      </c>
      <c r="X290" s="1" t="s">
        <v>263</v>
      </c>
      <c r="Y290" s="1" t="s">
        <v>264</v>
      </c>
      <c r="Z290" s="6">
        <v>3.16</v>
      </c>
      <c r="AA290" s="6">
        <v>79934.0</v>
      </c>
      <c r="AB290" s="10">
        <v>0.09</v>
      </c>
      <c r="AC290" s="1" t="s">
        <v>3329</v>
      </c>
      <c r="AD290" s="1" t="s">
        <v>3330</v>
      </c>
      <c r="AE290" s="1" t="s">
        <v>3331</v>
      </c>
      <c r="AF290" s="1" t="s">
        <v>764</v>
      </c>
      <c r="AG290" s="1" t="s">
        <v>3331</v>
      </c>
      <c r="AH290" s="1" t="s">
        <v>811</v>
      </c>
      <c r="AI290" s="6">
        <v>39569.0</v>
      </c>
      <c r="AJ290" s="1" t="s">
        <v>106</v>
      </c>
      <c r="AK290" s="1" t="s">
        <v>3332</v>
      </c>
      <c r="AL290" s="1" t="s">
        <v>3333</v>
      </c>
      <c r="AM290" s="11" t="str">
        <f>VLOOKUP(N290,Sheet3!$B$4:$C$10,2,1)</f>
        <v>21-30</v>
      </c>
      <c r="AN290" s="13" t="str">
        <f>VLOOKUP(Z290,Sheet3!$F$4:$G$10,2,1)</f>
        <v>&lt; 5</v>
      </c>
      <c r="AO290" s="5" t="str">
        <f>VLOOKUP(AA290,Sheet3!$I$3:$J$16,2,1)</f>
        <v>60000-80000</v>
      </c>
      <c r="AP290" s="5" t="str">
        <f>VLOOKUP(AB290,Sheet3!$L$4:$M$14,2,1)</f>
        <v>5% - 10%</v>
      </c>
    </row>
    <row r="291">
      <c r="A291" s="6">
        <v>423470.0</v>
      </c>
      <c r="B291" s="1" t="s">
        <v>109</v>
      </c>
      <c r="C291" s="1" t="s">
        <v>3334</v>
      </c>
      <c r="D291" s="1" t="s">
        <v>44</v>
      </c>
      <c r="E291" s="1" t="s">
        <v>3335</v>
      </c>
      <c r="F291" s="1" t="s">
        <v>46</v>
      </c>
      <c r="G291" s="1" t="s">
        <v>3336</v>
      </c>
      <c r="H291" s="1" t="s">
        <v>1395</v>
      </c>
      <c r="I291" s="1" t="s">
        <v>3337</v>
      </c>
      <c r="J291" s="1" t="s">
        <v>3338</v>
      </c>
      <c r="K291" s="1" t="s">
        <v>3339</v>
      </c>
      <c r="L291" s="9">
        <v>33652.0</v>
      </c>
      <c r="M291" s="8">
        <v>0.7249652777777778</v>
      </c>
      <c r="N291" s="6">
        <v>25.46</v>
      </c>
      <c r="O291" s="6">
        <v>49.0</v>
      </c>
      <c r="P291" s="14">
        <v>42832.0</v>
      </c>
      <c r="Q291" s="1" t="s">
        <v>75</v>
      </c>
      <c r="R291" s="1" t="s">
        <v>76</v>
      </c>
      <c r="S291" s="6">
        <v>2017.0</v>
      </c>
      <c r="T291" s="6">
        <v>4.0</v>
      </c>
      <c r="U291" s="1" t="s">
        <v>77</v>
      </c>
      <c r="V291" s="1" t="s">
        <v>78</v>
      </c>
      <c r="W291" s="6">
        <v>7.0</v>
      </c>
      <c r="X291" s="1" t="s">
        <v>263</v>
      </c>
      <c r="Y291" s="1" t="s">
        <v>264</v>
      </c>
      <c r="Z291" s="6">
        <v>0.31</v>
      </c>
      <c r="AA291" s="6">
        <v>64521.0</v>
      </c>
      <c r="AB291" s="10">
        <v>0.15</v>
      </c>
      <c r="AC291" s="1" t="s">
        <v>3340</v>
      </c>
      <c r="AD291" s="1" t="s">
        <v>3341</v>
      </c>
      <c r="AE291" s="1" t="s">
        <v>3342</v>
      </c>
      <c r="AF291" s="1" t="s">
        <v>3343</v>
      </c>
      <c r="AG291" s="1" t="s">
        <v>3342</v>
      </c>
      <c r="AH291" s="1" t="s">
        <v>223</v>
      </c>
      <c r="AI291" s="6">
        <v>15674.0</v>
      </c>
      <c r="AJ291" s="1" t="s">
        <v>224</v>
      </c>
      <c r="AK291" s="1" t="s">
        <v>3344</v>
      </c>
      <c r="AL291" s="1" t="s">
        <v>3345</v>
      </c>
      <c r="AM291" s="11" t="str">
        <f>VLOOKUP(N291,Sheet3!$B$4:$C$10,2,1)</f>
        <v>21-30</v>
      </c>
      <c r="AN291" s="13" t="str">
        <f>VLOOKUP(Z291,Sheet3!$F$4:$G$10,2,1)</f>
        <v>&lt; 5</v>
      </c>
      <c r="AO291" s="5" t="str">
        <f>VLOOKUP(AA291,Sheet3!$I$3:$J$16,2,1)</f>
        <v>60000-80000</v>
      </c>
      <c r="AP291" s="5" t="str">
        <f>VLOOKUP(AB291,Sheet3!$L$4:$M$14,2,1)</f>
        <v>11% - 15%</v>
      </c>
    </row>
    <row r="292">
      <c r="A292" s="6">
        <v>238361.0</v>
      </c>
      <c r="B292" s="1" t="s">
        <v>227</v>
      </c>
      <c r="C292" s="1" t="s">
        <v>3346</v>
      </c>
      <c r="D292" s="1" t="s">
        <v>861</v>
      </c>
      <c r="E292" s="1" t="s">
        <v>3347</v>
      </c>
      <c r="F292" s="1" t="s">
        <v>70</v>
      </c>
      <c r="G292" s="1" t="s">
        <v>3348</v>
      </c>
      <c r="H292" s="1" t="s">
        <v>1395</v>
      </c>
      <c r="I292" s="1" t="s">
        <v>3349</v>
      </c>
      <c r="J292" s="1" t="s">
        <v>3350</v>
      </c>
      <c r="K292" s="1" t="s">
        <v>3351</v>
      </c>
      <c r="L292" s="9">
        <v>23848.0</v>
      </c>
      <c r="M292" s="8">
        <v>0.729537037037037</v>
      </c>
      <c r="N292" s="6">
        <v>52.32</v>
      </c>
      <c r="O292" s="6">
        <v>82.0</v>
      </c>
      <c r="P292" s="14">
        <v>32999.0</v>
      </c>
      <c r="Q292" s="1" t="s">
        <v>75</v>
      </c>
      <c r="R292" s="1" t="s">
        <v>76</v>
      </c>
      <c r="S292" s="6">
        <v>1990.0</v>
      </c>
      <c r="T292" s="6">
        <v>5.0</v>
      </c>
      <c r="U292" s="1" t="s">
        <v>294</v>
      </c>
      <c r="V292" s="1" t="s">
        <v>294</v>
      </c>
      <c r="W292" s="6">
        <v>6.0</v>
      </c>
      <c r="X292" s="1" t="s">
        <v>534</v>
      </c>
      <c r="Y292" s="1" t="s">
        <v>535</v>
      </c>
      <c r="Z292" s="6">
        <v>27.25</v>
      </c>
      <c r="AA292" s="6">
        <v>194264.0</v>
      </c>
      <c r="AB292" s="10">
        <v>0.01</v>
      </c>
      <c r="AC292" s="1" t="s">
        <v>3352</v>
      </c>
      <c r="AD292" s="1" t="s">
        <v>3353</v>
      </c>
      <c r="AE292" s="1" t="s">
        <v>3354</v>
      </c>
      <c r="AF292" s="1" t="s">
        <v>3355</v>
      </c>
      <c r="AG292" s="1" t="s">
        <v>3354</v>
      </c>
      <c r="AH292" s="1" t="s">
        <v>284</v>
      </c>
      <c r="AI292" s="6">
        <v>52161.0</v>
      </c>
      <c r="AJ292" s="1" t="s">
        <v>86</v>
      </c>
      <c r="AK292" s="1" t="s">
        <v>3356</v>
      </c>
      <c r="AL292" s="1" t="s">
        <v>3357</v>
      </c>
      <c r="AM292" s="11" t="str">
        <f>VLOOKUP(N292,Sheet3!$B$4:$C$10,2,1)</f>
        <v>51-60</v>
      </c>
      <c r="AN292" s="13" t="str">
        <f>VLOOKUP(Z292,Sheet3!$F$4:$G$10,2,1)</f>
        <v>21-30</v>
      </c>
      <c r="AO292" s="5" t="str">
        <f>VLOOKUP(AA292,Sheet3!$I$3:$J$16,2,1)</f>
        <v>180000-200000</v>
      </c>
      <c r="AP292" s="5" t="str">
        <f>VLOOKUP(AB292,Sheet3!$L$4:$M$14,2,1)</f>
        <v>&lt; 5%</v>
      </c>
    </row>
    <row r="293">
      <c r="A293" s="6">
        <v>596366.0</v>
      </c>
      <c r="B293" s="1" t="s">
        <v>109</v>
      </c>
      <c r="C293" s="1" t="s">
        <v>3358</v>
      </c>
      <c r="D293" s="1" t="s">
        <v>44</v>
      </c>
      <c r="E293" s="1" t="s">
        <v>2617</v>
      </c>
      <c r="F293" s="1" t="s">
        <v>46</v>
      </c>
      <c r="G293" s="1" t="s">
        <v>3359</v>
      </c>
      <c r="H293" s="1" t="s">
        <v>1395</v>
      </c>
      <c r="I293" s="1" t="s">
        <v>3360</v>
      </c>
      <c r="J293" s="1" t="s">
        <v>3361</v>
      </c>
      <c r="K293" s="1" t="s">
        <v>3362</v>
      </c>
      <c r="L293" s="14">
        <v>25691.0</v>
      </c>
      <c r="M293" s="8">
        <v>0.08152777777777778</v>
      </c>
      <c r="N293" s="6">
        <v>47.27</v>
      </c>
      <c r="O293" s="6">
        <v>54.0</v>
      </c>
      <c r="P293" s="14">
        <v>35160.0</v>
      </c>
      <c r="Q293" s="1" t="s">
        <v>75</v>
      </c>
      <c r="R293" s="1" t="s">
        <v>76</v>
      </c>
      <c r="S293" s="6">
        <v>1996.0</v>
      </c>
      <c r="T293" s="6">
        <v>4.0</v>
      </c>
      <c r="U293" s="1" t="s">
        <v>77</v>
      </c>
      <c r="V293" s="1" t="s">
        <v>78</v>
      </c>
      <c r="W293" s="6">
        <v>5.0</v>
      </c>
      <c r="X293" s="1" t="s">
        <v>263</v>
      </c>
      <c r="Y293" s="1" t="s">
        <v>264</v>
      </c>
      <c r="Z293" s="6">
        <v>21.33</v>
      </c>
      <c r="AA293" s="6">
        <v>104520.0</v>
      </c>
      <c r="AB293" s="10">
        <v>0.08</v>
      </c>
      <c r="AC293" s="1" t="s">
        <v>3363</v>
      </c>
      <c r="AD293" s="1" t="s">
        <v>3364</v>
      </c>
      <c r="AE293" s="1" t="s">
        <v>3365</v>
      </c>
      <c r="AF293" s="1" t="s">
        <v>3366</v>
      </c>
      <c r="AG293" s="1" t="s">
        <v>3365</v>
      </c>
      <c r="AH293" s="1" t="s">
        <v>893</v>
      </c>
      <c r="AI293" s="6">
        <v>27826.0</v>
      </c>
      <c r="AJ293" s="1" t="s">
        <v>106</v>
      </c>
      <c r="AK293" s="1" t="s">
        <v>3367</v>
      </c>
      <c r="AL293" s="1" t="s">
        <v>3368</v>
      </c>
      <c r="AM293" s="11" t="str">
        <f>VLOOKUP(N293,Sheet3!$B$4:$C$10,2,1)</f>
        <v>41-50</v>
      </c>
      <c r="AN293" s="13" t="str">
        <f>VLOOKUP(Z293,Sheet3!$F$4:$G$10,2,1)</f>
        <v>21-30</v>
      </c>
      <c r="AO293" s="5" t="str">
        <f>VLOOKUP(AA293,Sheet3!$I$3:$J$16,2,1)</f>
        <v>100000-120000</v>
      </c>
      <c r="AP293" s="5" t="str">
        <f>VLOOKUP(AB293,Sheet3!$L$4:$M$14,2,1)</f>
        <v>5% - 10%</v>
      </c>
    </row>
    <row r="294">
      <c r="A294" s="6">
        <v>725424.0</v>
      </c>
      <c r="B294" s="1" t="s">
        <v>255</v>
      </c>
      <c r="C294" s="1" t="s">
        <v>3369</v>
      </c>
      <c r="D294" s="1" t="s">
        <v>443</v>
      </c>
      <c r="E294" s="1" t="s">
        <v>3370</v>
      </c>
      <c r="F294" s="1" t="s">
        <v>70</v>
      </c>
      <c r="G294" s="1" t="s">
        <v>3371</v>
      </c>
      <c r="H294" s="1" t="s">
        <v>1395</v>
      </c>
      <c r="I294" s="1" t="s">
        <v>3372</v>
      </c>
      <c r="J294" s="1" t="s">
        <v>3373</v>
      </c>
      <c r="K294" s="1" t="s">
        <v>3058</v>
      </c>
      <c r="L294" s="14">
        <v>34396.0</v>
      </c>
      <c r="M294" s="8">
        <v>0.15409722222222222</v>
      </c>
      <c r="N294" s="6">
        <v>23.42</v>
      </c>
      <c r="O294" s="6">
        <v>61.0</v>
      </c>
      <c r="P294" s="9">
        <v>42610.0</v>
      </c>
      <c r="Q294" s="1" t="s">
        <v>308</v>
      </c>
      <c r="R294" s="1" t="s">
        <v>53</v>
      </c>
      <c r="S294" s="6">
        <v>2016.0</v>
      </c>
      <c r="T294" s="6">
        <v>8.0</v>
      </c>
      <c r="U294" s="1" t="s">
        <v>433</v>
      </c>
      <c r="V294" s="1" t="s">
        <v>434</v>
      </c>
      <c r="W294" s="6">
        <v>28.0</v>
      </c>
      <c r="X294" s="1" t="s">
        <v>534</v>
      </c>
      <c r="Y294" s="1" t="s">
        <v>535</v>
      </c>
      <c r="Z294" s="6">
        <v>0.92</v>
      </c>
      <c r="AA294" s="6">
        <v>65304.0</v>
      </c>
      <c r="AB294" s="10">
        <v>0.19</v>
      </c>
      <c r="AC294" s="1" t="s">
        <v>3374</v>
      </c>
      <c r="AD294" s="1" t="s">
        <v>3375</v>
      </c>
      <c r="AE294" s="1" t="s">
        <v>3376</v>
      </c>
      <c r="AF294" s="1" t="s">
        <v>1173</v>
      </c>
      <c r="AG294" s="1" t="s">
        <v>3376</v>
      </c>
      <c r="AH294" s="1" t="s">
        <v>501</v>
      </c>
      <c r="AI294" s="6">
        <v>82325.0</v>
      </c>
      <c r="AJ294" s="1" t="s">
        <v>63</v>
      </c>
      <c r="AK294" s="1" t="s">
        <v>3377</v>
      </c>
      <c r="AL294" s="1" t="s">
        <v>3378</v>
      </c>
      <c r="AM294" s="11" t="str">
        <f>VLOOKUP(N294,Sheet3!$B$4:$C$10,2,1)</f>
        <v>21-30</v>
      </c>
      <c r="AN294" s="13" t="str">
        <f>VLOOKUP(Z294,Sheet3!$F$4:$G$10,2,1)</f>
        <v>&lt; 5</v>
      </c>
      <c r="AO294" s="5" t="str">
        <f>VLOOKUP(AA294,Sheet3!$I$3:$J$16,2,1)</f>
        <v>60000-80000</v>
      </c>
      <c r="AP294" s="5" t="str">
        <f>VLOOKUP(AB294,Sheet3!$L$4:$M$14,2,1)</f>
        <v>16% - 20%</v>
      </c>
    </row>
    <row r="295">
      <c r="A295" s="6">
        <v>229037.0</v>
      </c>
      <c r="B295" s="1" t="s">
        <v>42</v>
      </c>
      <c r="C295" s="1" t="s">
        <v>3379</v>
      </c>
      <c r="D295" s="1" t="s">
        <v>861</v>
      </c>
      <c r="E295" s="1" t="s">
        <v>3380</v>
      </c>
      <c r="F295" s="1" t="s">
        <v>46</v>
      </c>
      <c r="G295" s="1" t="s">
        <v>3381</v>
      </c>
      <c r="H295" s="1" t="s">
        <v>1395</v>
      </c>
      <c r="I295" s="1" t="s">
        <v>3382</v>
      </c>
      <c r="J295" s="1" t="s">
        <v>3383</v>
      </c>
      <c r="K295" s="1" t="s">
        <v>3384</v>
      </c>
      <c r="L295" s="9">
        <v>34712.0</v>
      </c>
      <c r="M295" s="8">
        <v>0.14469907407407406</v>
      </c>
      <c r="N295" s="6">
        <v>22.55</v>
      </c>
      <c r="O295" s="6">
        <v>47.0</v>
      </c>
      <c r="P295" s="14">
        <v>42498.0</v>
      </c>
      <c r="Q295" s="1" t="s">
        <v>75</v>
      </c>
      <c r="R295" s="1" t="s">
        <v>76</v>
      </c>
      <c r="S295" s="6">
        <v>2016.0</v>
      </c>
      <c r="T295" s="6">
        <v>5.0</v>
      </c>
      <c r="U295" s="1" t="s">
        <v>294</v>
      </c>
      <c r="V295" s="1" t="s">
        <v>294</v>
      </c>
      <c r="W295" s="6">
        <v>8.0</v>
      </c>
      <c r="X295" s="1" t="s">
        <v>534</v>
      </c>
      <c r="Y295" s="1" t="s">
        <v>535</v>
      </c>
      <c r="Z295" s="6">
        <v>1.22</v>
      </c>
      <c r="AA295" s="6">
        <v>138294.0</v>
      </c>
      <c r="AB295" s="10">
        <v>0.17</v>
      </c>
      <c r="AC295" s="1" t="s">
        <v>3385</v>
      </c>
      <c r="AD295" s="1" t="s">
        <v>3386</v>
      </c>
      <c r="AE295" s="1" t="s">
        <v>3387</v>
      </c>
      <c r="AF295" s="1" t="s">
        <v>3388</v>
      </c>
      <c r="AG295" s="1" t="s">
        <v>3387</v>
      </c>
      <c r="AH295" s="1" t="s">
        <v>974</v>
      </c>
      <c r="AI295" s="6">
        <v>45145.0</v>
      </c>
      <c r="AJ295" s="1" t="s">
        <v>86</v>
      </c>
      <c r="AK295" s="1" t="s">
        <v>3389</v>
      </c>
      <c r="AL295" s="1" t="s">
        <v>3390</v>
      </c>
      <c r="AM295" s="11" t="str">
        <f>VLOOKUP(N295,Sheet3!$B$4:$C$10,2,1)</f>
        <v>21-30</v>
      </c>
      <c r="AN295" s="13" t="str">
        <f>VLOOKUP(Z295,Sheet3!$F$4:$G$10,2,1)</f>
        <v>&lt; 5</v>
      </c>
      <c r="AO295" s="5" t="str">
        <f>VLOOKUP(AA295,Sheet3!$I$3:$J$16,2,1)</f>
        <v>120000-140000</v>
      </c>
      <c r="AP295" s="5" t="str">
        <f>VLOOKUP(AB295,Sheet3!$L$4:$M$14,2,1)</f>
        <v>16% - 20%</v>
      </c>
    </row>
    <row r="296">
      <c r="A296" s="6">
        <v>434723.0</v>
      </c>
      <c r="B296" s="1" t="s">
        <v>109</v>
      </c>
      <c r="C296" s="1" t="s">
        <v>3391</v>
      </c>
      <c r="D296" s="1" t="s">
        <v>127</v>
      </c>
      <c r="E296" s="1" t="s">
        <v>2367</v>
      </c>
      <c r="F296" s="1" t="s">
        <v>46</v>
      </c>
      <c r="G296" s="1" t="s">
        <v>3392</v>
      </c>
      <c r="H296" s="1" t="s">
        <v>1395</v>
      </c>
      <c r="I296" s="1" t="s">
        <v>3393</v>
      </c>
      <c r="J296" s="1" t="s">
        <v>3394</v>
      </c>
      <c r="K296" s="1" t="s">
        <v>3395</v>
      </c>
      <c r="L296" s="14">
        <v>25728.0</v>
      </c>
      <c r="M296" s="8">
        <v>0.19327546296296297</v>
      </c>
      <c r="N296" s="6">
        <v>47.17</v>
      </c>
      <c r="O296" s="6">
        <v>58.0</v>
      </c>
      <c r="P296" s="14">
        <v>36172.0</v>
      </c>
      <c r="Q296" s="1" t="s">
        <v>96</v>
      </c>
      <c r="R296" s="1" t="s">
        <v>76</v>
      </c>
      <c r="S296" s="6">
        <v>1999.0</v>
      </c>
      <c r="T296" s="6">
        <v>1.0</v>
      </c>
      <c r="U296" s="1" t="s">
        <v>276</v>
      </c>
      <c r="V296" s="1" t="s">
        <v>277</v>
      </c>
      <c r="W296" s="6">
        <v>12.0</v>
      </c>
      <c r="X296" s="1" t="s">
        <v>79</v>
      </c>
      <c r="Y296" s="1" t="s">
        <v>80</v>
      </c>
      <c r="Z296" s="6">
        <v>18.55</v>
      </c>
      <c r="AA296" s="6">
        <v>83300.0</v>
      </c>
      <c r="AB296" s="10">
        <v>0.23</v>
      </c>
      <c r="AC296" s="1" t="s">
        <v>3396</v>
      </c>
      <c r="AD296" s="1" t="s">
        <v>3397</v>
      </c>
      <c r="AE296" s="1" t="s">
        <v>3398</v>
      </c>
      <c r="AF296" s="1" t="s">
        <v>237</v>
      </c>
      <c r="AG296" s="1" t="s">
        <v>3398</v>
      </c>
      <c r="AH296" s="1" t="s">
        <v>238</v>
      </c>
      <c r="AI296" s="6">
        <v>91749.0</v>
      </c>
      <c r="AJ296" s="1" t="s">
        <v>63</v>
      </c>
      <c r="AK296" s="1" t="s">
        <v>3399</v>
      </c>
      <c r="AL296" s="1" t="s">
        <v>3400</v>
      </c>
      <c r="AM296" s="11" t="str">
        <f>VLOOKUP(N296,Sheet3!$B$4:$C$10,2,1)</f>
        <v>41-50</v>
      </c>
      <c r="AN296" s="12" t="str">
        <f>VLOOKUP(Z296,Sheet3!$F$4:$G$10,2,1)</f>
        <v>11-20</v>
      </c>
      <c r="AO296" s="5" t="str">
        <f>VLOOKUP(AA296,Sheet3!$I$3:$J$16,2,1)</f>
        <v>80000-100000</v>
      </c>
      <c r="AP296" s="5" t="str">
        <f>VLOOKUP(AB296,Sheet3!$L$4:$M$14,2,1)</f>
        <v>21% - 25%</v>
      </c>
    </row>
    <row r="297">
      <c r="A297" s="6">
        <v>501422.0</v>
      </c>
      <c r="B297" s="1" t="s">
        <v>66</v>
      </c>
      <c r="C297" s="1" t="s">
        <v>3401</v>
      </c>
      <c r="D297" s="1" t="s">
        <v>403</v>
      </c>
      <c r="E297" s="1" t="s">
        <v>1676</v>
      </c>
      <c r="F297" s="1" t="s">
        <v>70</v>
      </c>
      <c r="G297" s="1" t="s">
        <v>3402</v>
      </c>
      <c r="H297" s="1" t="s">
        <v>1395</v>
      </c>
      <c r="I297" s="1" t="s">
        <v>3403</v>
      </c>
      <c r="J297" s="1" t="s">
        <v>3404</v>
      </c>
      <c r="K297" s="1" t="s">
        <v>2605</v>
      </c>
      <c r="L297" s="9">
        <v>30614.0</v>
      </c>
      <c r="M297" s="8">
        <v>0.9682175925925925</v>
      </c>
      <c r="N297" s="6">
        <v>33.78</v>
      </c>
      <c r="O297" s="6">
        <v>82.0</v>
      </c>
      <c r="P297" s="9">
        <v>39048.0</v>
      </c>
      <c r="Q297" s="1" t="s">
        <v>52</v>
      </c>
      <c r="R297" s="1" t="s">
        <v>53</v>
      </c>
      <c r="S297" s="6">
        <v>2006.0</v>
      </c>
      <c r="T297" s="6">
        <v>11.0</v>
      </c>
      <c r="U297" s="1" t="s">
        <v>148</v>
      </c>
      <c r="V297" s="1" t="s">
        <v>149</v>
      </c>
      <c r="W297" s="6">
        <v>27.0</v>
      </c>
      <c r="X297" s="1" t="s">
        <v>99</v>
      </c>
      <c r="Y297" s="1" t="s">
        <v>100</v>
      </c>
      <c r="Z297" s="6">
        <v>10.67</v>
      </c>
      <c r="AA297" s="6">
        <v>146356.0</v>
      </c>
      <c r="AB297" s="10">
        <v>0.17</v>
      </c>
      <c r="AC297" s="1" t="s">
        <v>3405</v>
      </c>
      <c r="AD297" s="1" t="s">
        <v>3406</v>
      </c>
      <c r="AE297" s="1" t="s">
        <v>3407</v>
      </c>
      <c r="AF297" s="1" t="s">
        <v>3408</v>
      </c>
      <c r="AG297" s="1" t="s">
        <v>3407</v>
      </c>
      <c r="AH297" s="1" t="s">
        <v>238</v>
      </c>
      <c r="AI297" s="6">
        <v>95296.0</v>
      </c>
      <c r="AJ297" s="1" t="s">
        <v>63</v>
      </c>
      <c r="AK297" s="1" t="s">
        <v>3409</v>
      </c>
      <c r="AL297" s="1" t="s">
        <v>3410</v>
      </c>
      <c r="AM297" s="11" t="str">
        <f>VLOOKUP(N297,Sheet3!$B$4:$C$10,2,1)</f>
        <v>31-40</v>
      </c>
      <c r="AN297" s="12" t="str">
        <f>VLOOKUP(Z297,Sheet3!$F$4:$G$10,2,1)</f>
        <v>5-10</v>
      </c>
      <c r="AO297" s="5" t="str">
        <f>VLOOKUP(AA297,Sheet3!$I$3:$J$16,2,1)</f>
        <v>140000-160000</v>
      </c>
      <c r="AP297" s="5" t="str">
        <f>VLOOKUP(AB297,Sheet3!$L$4:$M$14,2,1)</f>
        <v>16% - 20%</v>
      </c>
    </row>
    <row r="298">
      <c r="A298" s="6">
        <v>638943.0</v>
      </c>
      <c r="B298" s="1" t="s">
        <v>66</v>
      </c>
      <c r="C298" s="1" t="s">
        <v>3411</v>
      </c>
      <c r="D298" s="1" t="s">
        <v>360</v>
      </c>
      <c r="E298" s="1" t="s">
        <v>1074</v>
      </c>
      <c r="F298" s="1" t="s">
        <v>70</v>
      </c>
      <c r="G298" s="1" t="s">
        <v>3412</v>
      </c>
      <c r="H298" s="1" t="s">
        <v>1395</v>
      </c>
      <c r="I298" s="1" t="s">
        <v>3413</v>
      </c>
      <c r="J298" s="1" t="s">
        <v>3414</v>
      </c>
      <c r="K298" s="1" t="s">
        <v>3248</v>
      </c>
      <c r="L298" s="14">
        <v>27670.0</v>
      </c>
      <c r="M298" s="8">
        <v>0.2516087962962963</v>
      </c>
      <c r="N298" s="6">
        <v>41.85</v>
      </c>
      <c r="O298" s="6">
        <v>88.0</v>
      </c>
      <c r="P298" s="9">
        <v>36600.0</v>
      </c>
      <c r="Q298" s="1" t="s">
        <v>96</v>
      </c>
      <c r="R298" s="1" t="s">
        <v>76</v>
      </c>
      <c r="S298" s="6">
        <v>2000.0</v>
      </c>
      <c r="T298" s="6">
        <v>3.0</v>
      </c>
      <c r="U298" s="1" t="s">
        <v>97</v>
      </c>
      <c r="V298" s="1" t="s">
        <v>98</v>
      </c>
      <c r="W298" s="6">
        <v>15.0</v>
      </c>
      <c r="X298" s="1" t="s">
        <v>278</v>
      </c>
      <c r="Y298" s="1" t="s">
        <v>279</v>
      </c>
      <c r="Z298" s="6">
        <v>17.38</v>
      </c>
      <c r="AA298" s="6">
        <v>52960.0</v>
      </c>
      <c r="AB298" s="10">
        <v>0.24</v>
      </c>
      <c r="AC298" s="1" t="s">
        <v>3415</v>
      </c>
      <c r="AD298" s="1" t="s">
        <v>3416</v>
      </c>
      <c r="AE298" s="1" t="s">
        <v>3417</v>
      </c>
      <c r="AF298" s="1" t="s">
        <v>657</v>
      </c>
      <c r="AG298" s="1" t="s">
        <v>3417</v>
      </c>
      <c r="AH298" s="1" t="s">
        <v>525</v>
      </c>
      <c r="AI298" s="6">
        <v>72470.0</v>
      </c>
      <c r="AJ298" s="1" t="s">
        <v>106</v>
      </c>
      <c r="AK298" s="1" t="s">
        <v>3418</v>
      </c>
      <c r="AL298" s="1" t="s">
        <v>3419</v>
      </c>
      <c r="AM298" s="11" t="str">
        <f>VLOOKUP(N298,Sheet3!$B$4:$C$10,2,1)</f>
        <v>41-50</v>
      </c>
      <c r="AN298" s="12" t="str">
        <f>VLOOKUP(Z298,Sheet3!$F$4:$G$10,2,1)</f>
        <v>11-20</v>
      </c>
      <c r="AO298" s="5" t="str">
        <f>VLOOKUP(AA298,Sheet3!$I$3:$J$16,2,1)</f>
        <v>40000-60000</v>
      </c>
      <c r="AP298" s="5" t="str">
        <f>VLOOKUP(AB298,Sheet3!$L$4:$M$14,2,1)</f>
        <v>21% - 25%</v>
      </c>
    </row>
    <row r="299">
      <c r="A299" s="6">
        <v>935745.0</v>
      </c>
      <c r="B299" s="1" t="s">
        <v>66</v>
      </c>
      <c r="C299" s="1" t="s">
        <v>3420</v>
      </c>
      <c r="D299" s="1" t="s">
        <v>318</v>
      </c>
      <c r="E299" s="1" t="s">
        <v>2723</v>
      </c>
      <c r="F299" s="1" t="s">
        <v>70</v>
      </c>
      <c r="G299" s="1" t="s">
        <v>3421</v>
      </c>
      <c r="H299" s="1" t="s">
        <v>1395</v>
      </c>
      <c r="I299" s="1" t="s">
        <v>3422</v>
      </c>
      <c r="J299" s="1" t="s">
        <v>3423</v>
      </c>
      <c r="K299" s="1" t="s">
        <v>2629</v>
      </c>
      <c r="L299" s="9">
        <v>27353.0</v>
      </c>
      <c r="M299" s="8">
        <v>0.21229166666666666</v>
      </c>
      <c r="N299" s="6">
        <v>42.72</v>
      </c>
      <c r="O299" s="6">
        <v>70.0</v>
      </c>
      <c r="P299" s="9">
        <v>42246.0</v>
      </c>
      <c r="Q299" s="1" t="s">
        <v>308</v>
      </c>
      <c r="R299" s="1" t="s">
        <v>53</v>
      </c>
      <c r="S299" s="6">
        <v>2015.0</v>
      </c>
      <c r="T299" s="6">
        <v>8.0</v>
      </c>
      <c r="U299" s="1" t="s">
        <v>433</v>
      </c>
      <c r="V299" s="1" t="s">
        <v>434</v>
      </c>
      <c r="W299" s="6">
        <v>30.0</v>
      </c>
      <c r="X299" s="1" t="s">
        <v>534</v>
      </c>
      <c r="Y299" s="1" t="s">
        <v>535</v>
      </c>
      <c r="Z299" s="6">
        <v>1.91</v>
      </c>
      <c r="AA299" s="6">
        <v>195833.0</v>
      </c>
      <c r="AB299" s="10">
        <v>0.08</v>
      </c>
      <c r="AC299" s="1" t="s">
        <v>3424</v>
      </c>
      <c r="AD299" s="1" t="s">
        <v>3425</v>
      </c>
      <c r="AE299" s="1" t="s">
        <v>3426</v>
      </c>
      <c r="AF299" s="1" t="s">
        <v>3427</v>
      </c>
      <c r="AG299" s="1" t="s">
        <v>3426</v>
      </c>
      <c r="AH299" s="1" t="s">
        <v>857</v>
      </c>
      <c r="AI299" s="6">
        <v>65080.0</v>
      </c>
      <c r="AJ299" s="1" t="s">
        <v>86</v>
      </c>
      <c r="AK299" s="1" t="s">
        <v>3428</v>
      </c>
      <c r="AL299" s="1" t="s">
        <v>3429</v>
      </c>
      <c r="AM299" s="11" t="str">
        <f>VLOOKUP(N299,Sheet3!$B$4:$C$10,2,1)</f>
        <v>41-50</v>
      </c>
      <c r="AN299" s="13" t="str">
        <f>VLOOKUP(Z299,Sheet3!$F$4:$G$10,2,1)</f>
        <v>&lt; 5</v>
      </c>
      <c r="AO299" s="5" t="str">
        <f>VLOOKUP(AA299,Sheet3!$I$3:$J$16,2,1)</f>
        <v>180000-200000</v>
      </c>
      <c r="AP299" s="5" t="str">
        <f>VLOOKUP(AB299,Sheet3!$L$4:$M$14,2,1)</f>
        <v>5% - 10%</v>
      </c>
    </row>
    <row r="300">
      <c r="A300" s="6">
        <v>750581.0</v>
      </c>
      <c r="B300" s="1" t="s">
        <v>42</v>
      </c>
      <c r="C300" s="1" t="s">
        <v>3430</v>
      </c>
      <c r="D300" s="1" t="s">
        <v>173</v>
      </c>
      <c r="E300" s="1" t="s">
        <v>3431</v>
      </c>
      <c r="F300" s="1" t="s">
        <v>46</v>
      </c>
      <c r="G300" s="1" t="s">
        <v>3432</v>
      </c>
      <c r="H300" s="1" t="s">
        <v>1395</v>
      </c>
      <c r="I300" s="1" t="s">
        <v>3433</v>
      </c>
      <c r="J300" s="1" t="s">
        <v>3434</v>
      </c>
      <c r="K300" s="1" t="s">
        <v>2434</v>
      </c>
      <c r="L300" s="14">
        <v>25238.0</v>
      </c>
      <c r="M300" s="8">
        <v>0.355150462962963</v>
      </c>
      <c r="N300" s="6">
        <v>48.51</v>
      </c>
      <c r="O300" s="6">
        <v>46.0</v>
      </c>
      <c r="P300" s="9">
        <v>40103.0</v>
      </c>
      <c r="Q300" s="1" t="s">
        <v>52</v>
      </c>
      <c r="R300" s="1" t="s">
        <v>53</v>
      </c>
      <c r="S300" s="6">
        <v>2009.0</v>
      </c>
      <c r="T300" s="6">
        <v>10.0</v>
      </c>
      <c r="U300" s="1" t="s">
        <v>133</v>
      </c>
      <c r="V300" s="1" t="s">
        <v>134</v>
      </c>
      <c r="W300" s="6">
        <v>17.0</v>
      </c>
      <c r="X300" s="1" t="s">
        <v>56</v>
      </c>
      <c r="Y300" s="1" t="s">
        <v>57</v>
      </c>
      <c r="Z300" s="6">
        <v>7.78</v>
      </c>
      <c r="AA300" s="6">
        <v>49158.0</v>
      </c>
      <c r="AB300" s="10">
        <v>0.11</v>
      </c>
      <c r="AC300" s="1" t="s">
        <v>3435</v>
      </c>
      <c r="AD300" s="1" t="s">
        <v>3436</v>
      </c>
      <c r="AE300" s="1" t="s">
        <v>3437</v>
      </c>
      <c r="AF300" s="1" t="s">
        <v>3438</v>
      </c>
      <c r="AG300" s="1" t="s">
        <v>3437</v>
      </c>
      <c r="AH300" s="1" t="s">
        <v>488</v>
      </c>
      <c r="AI300" s="6">
        <v>32953.0</v>
      </c>
      <c r="AJ300" s="1" t="s">
        <v>106</v>
      </c>
      <c r="AK300" s="1" t="s">
        <v>3439</v>
      </c>
      <c r="AL300" s="1" t="s">
        <v>3440</v>
      </c>
      <c r="AM300" s="11" t="str">
        <f>VLOOKUP(N300,Sheet3!$B$4:$C$10,2,1)</f>
        <v>41-50</v>
      </c>
      <c r="AN300" s="12" t="str">
        <f>VLOOKUP(Z300,Sheet3!$F$4:$G$10,2,1)</f>
        <v>5-10</v>
      </c>
      <c r="AO300" s="5" t="str">
        <f>VLOOKUP(AA300,Sheet3!$I$3:$J$16,2,1)</f>
        <v>40000-60000</v>
      </c>
      <c r="AP300" s="5" t="str">
        <f>VLOOKUP(AB300,Sheet3!$L$4:$M$14,2,1)</f>
        <v>11% - 15%</v>
      </c>
    </row>
    <row r="301">
      <c r="A301" s="6">
        <v>468128.0</v>
      </c>
      <c r="B301" s="1" t="s">
        <v>66</v>
      </c>
      <c r="C301" s="1" t="s">
        <v>1872</v>
      </c>
      <c r="D301" s="1" t="s">
        <v>1300</v>
      </c>
      <c r="E301" s="1" t="s">
        <v>3441</v>
      </c>
      <c r="F301" s="1" t="s">
        <v>70</v>
      </c>
      <c r="G301" s="1" t="s">
        <v>3442</v>
      </c>
      <c r="H301" s="1" t="s">
        <v>1395</v>
      </c>
      <c r="I301" s="1" t="s">
        <v>3443</v>
      </c>
      <c r="J301" s="1" t="s">
        <v>3444</v>
      </c>
      <c r="K301" s="1" t="s">
        <v>1134</v>
      </c>
      <c r="L301" s="9">
        <v>34226.0</v>
      </c>
      <c r="M301" s="8">
        <v>0.2637731481481482</v>
      </c>
      <c r="N301" s="6">
        <v>23.88</v>
      </c>
      <c r="O301" s="6">
        <v>79.0</v>
      </c>
      <c r="P301" s="9">
        <v>42216.0</v>
      </c>
      <c r="Q301" s="1" t="s">
        <v>308</v>
      </c>
      <c r="R301" s="1" t="s">
        <v>53</v>
      </c>
      <c r="S301" s="6">
        <v>2015.0</v>
      </c>
      <c r="T301" s="6">
        <v>7.0</v>
      </c>
      <c r="U301" s="1" t="s">
        <v>366</v>
      </c>
      <c r="V301" s="1" t="s">
        <v>367</v>
      </c>
      <c r="W301" s="6">
        <v>31.0</v>
      </c>
      <c r="X301" s="1" t="s">
        <v>263</v>
      </c>
      <c r="Y301" s="1" t="s">
        <v>264</v>
      </c>
      <c r="Z301" s="6">
        <v>1.99</v>
      </c>
      <c r="AA301" s="6">
        <v>193352.0</v>
      </c>
      <c r="AB301" s="10">
        <v>0.23</v>
      </c>
      <c r="AC301" s="1" t="s">
        <v>3445</v>
      </c>
      <c r="AD301" s="1" t="s">
        <v>3446</v>
      </c>
      <c r="AE301" s="1" t="s">
        <v>3447</v>
      </c>
      <c r="AF301" s="1" t="s">
        <v>3447</v>
      </c>
      <c r="AG301" s="1" t="s">
        <v>3447</v>
      </c>
      <c r="AH301" s="1" t="s">
        <v>169</v>
      </c>
      <c r="AI301" s="6">
        <v>75972.0</v>
      </c>
      <c r="AJ301" s="1" t="s">
        <v>106</v>
      </c>
      <c r="AK301" s="1" t="s">
        <v>3448</v>
      </c>
      <c r="AL301" s="1" t="s">
        <v>3449</v>
      </c>
      <c r="AM301" s="11" t="str">
        <f>VLOOKUP(N301,Sheet3!$B$4:$C$10,2,1)</f>
        <v>21-30</v>
      </c>
      <c r="AN301" s="13" t="str">
        <f>VLOOKUP(Z301,Sheet3!$F$4:$G$10,2,1)</f>
        <v>&lt; 5</v>
      </c>
      <c r="AO301" s="5" t="str">
        <f>VLOOKUP(AA301,Sheet3!$I$3:$J$16,2,1)</f>
        <v>180000-200000</v>
      </c>
      <c r="AP301" s="5" t="str">
        <f>VLOOKUP(AB301,Sheet3!$L$4:$M$14,2,1)</f>
        <v>21% - 25%</v>
      </c>
    </row>
    <row r="302">
      <c r="A302" s="6">
        <v>884877.0</v>
      </c>
      <c r="B302" s="1" t="s">
        <v>66</v>
      </c>
      <c r="C302" s="1" t="s">
        <v>3450</v>
      </c>
      <c r="D302" s="1" t="s">
        <v>554</v>
      </c>
      <c r="E302" s="1" t="s">
        <v>719</v>
      </c>
      <c r="F302" s="1" t="s">
        <v>70</v>
      </c>
      <c r="G302" s="1" t="s">
        <v>3451</v>
      </c>
      <c r="H302" s="1" t="s">
        <v>1395</v>
      </c>
      <c r="I302" s="1" t="s">
        <v>3452</v>
      </c>
      <c r="J302" s="1" t="s">
        <v>3453</v>
      </c>
      <c r="K302" s="1" t="s">
        <v>3454</v>
      </c>
      <c r="L302" s="9">
        <v>32716.0</v>
      </c>
      <c r="M302" s="8">
        <v>0.8111226851851852</v>
      </c>
      <c r="N302" s="6">
        <v>28.02</v>
      </c>
      <c r="O302" s="6">
        <v>76.0</v>
      </c>
      <c r="P302" s="14">
        <v>41011.0</v>
      </c>
      <c r="Q302" s="1" t="s">
        <v>75</v>
      </c>
      <c r="R302" s="1" t="s">
        <v>76</v>
      </c>
      <c r="S302" s="6">
        <v>2012.0</v>
      </c>
      <c r="T302" s="6">
        <v>4.0</v>
      </c>
      <c r="U302" s="1" t="s">
        <v>77</v>
      </c>
      <c r="V302" s="1" t="s">
        <v>78</v>
      </c>
      <c r="W302" s="6">
        <v>12.0</v>
      </c>
      <c r="X302" s="1" t="s">
        <v>150</v>
      </c>
      <c r="Y302" s="1" t="s">
        <v>151</v>
      </c>
      <c r="Z302" s="6">
        <v>5.3</v>
      </c>
      <c r="AA302" s="6">
        <v>118264.0</v>
      </c>
      <c r="AB302" s="10">
        <v>0.12</v>
      </c>
      <c r="AC302" s="1" t="s">
        <v>3455</v>
      </c>
      <c r="AD302" s="1" t="s">
        <v>3456</v>
      </c>
      <c r="AE302" s="1" t="s">
        <v>3457</v>
      </c>
      <c r="AF302" s="1" t="s">
        <v>3005</v>
      </c>
      <c r="AG302" s="1" t="s">
        <v>3457</v>
      </c>
      <c r="AH302" s="1" t="s">
        <v>356</v>
      </c>
      <c r="AI302" s="6">
        <v>12593.0</v>
      </c>
      <c r="AJ302" s="1" t="s">
        <v>224</v>
      </c>
      <c r="AK302" s="1" t="s">
        <v>3458</v>
      </c>
      <c r="AL302" s="1" t="s">
        <v>3459</v>
      </c>
      <c r="AM302" s="11" t="str">
        <f>VLOOKUP(N302,Sheet3!$B$4:$C$10,2,1)</f>
        <v>21-30</v>
      </c>
      <c r="AN302" s="12" t="str">
        <f>VLOOKUP(Z302,Sheet3!$F$4:$G$10,2,1)</f>
        <v>5-10</v>
      </c>
      <c r="AO302" s="5" t="str">
        <f>VLOOKUP(AA302,Sheet3!$I$3:$J$16,2,1)</f>
        <v>100000-120000</v>
      </c>
      <c r="AP302" s="5" t="str">
        <f>VLOOKUP(AB302,Sheet3!$L$4:$M$14,2,1)</f>
        <v>11% - 15%</v>
      </c>
    </row>
    <row r="303">
      <c r="A303" s="6">
        <v>870904.0</v>
      </c>
      <c r="B303" s="1" t="s">
        <v>42</v>
      </c>
      <c r="C303" s="1" t="s">
        <v>3460</v>
      </c>
      <c r="D303" s="1" t="s">
        <v>46</v>
      </c>
      <c r="E303" s="1" t="s">
        <v>3461</v>
      </c>
      <c r="F303" s="1" t="s">
        <v>46</v>
      </c>
      <c r="G303" s="1" t="s">
        <v>3462</v>
      </c>
      <c r="H303" s="1" t="s">
        <v>1395</v>
      </c>
      <c r="I303" s="1" t="s">
        <v>3463</v>
      </c>
      <c r="J303" s="1" t="s">
        <v>3464</v>
      </c>
      <c r="K303" s="1" t="s">
        <v>3465</v>
      </c>
      <c r="L303" s="9">
        <v>24955.0</v>
      </c>
      <c r="M303" s="8">
        <v>0.9048611111111111</v>
      </c>
      <c r="N303" s="6">
        <v>49.28</v>
      </c>
      <c r="O303" s="6">
        <v>57.0</v>
      </c>
      <c r="P303" s="9">
        <v>39897.0</v>
      </c>
      <c r="Q303" s="1" t="s">
        <v>96</v>
      </c>
      <c r="R303" s="1" t="s">
        <v>76</v>
      </c>
      <c r="S303" s="6">
        <v>2009.0</v>
      </c>
      <c r="T303" s="6">
        <v>3.0</v>
      </c>
      <c r="U303" s="1" t="s">
        <v>97</v>
      </c>
      <c r="V303" s="1" t="s">
        <v>98</v>
      </c>
      <c r="W303" s="6">
        <v>25.0</v>
      </c>
      <c r="X303" s="1" t="s">
        <v>278</v>
      </c>
      <c r="Y303" s="1" t="s">
        <v>279</v>
      </c>
      <c r="Z303" s="6">
        <v>8.35</v>
      </c>
      <c r="AA303" s="6">
        <v>61056.0</v>
      </c>
      <c r="AB303" s="10">
        <v>0.3</v>
      </c>
      <c r="AC303" s="1" t="s">
        <v>3466</v>
      </c>
      <c r="AD303" s="1" t="s">
        <v>3467</v>
      </c>
      <c r="AE303" s="1" t="s">
        <v>3468</v>
      </c>
      <c r="AF303" s="1" t="s">
        <v>2267</v>
      </c>
      <c r="AG303" s="1" t="s">
        <v>3468</v>
      </c>
      <c r="AH303" s="1" t="s">
        <v>356</v>
      </c>
      <c r="AI303" s="6">
        <v>13655.0</v>
      </c>
      <c r="AJ303" s="1" t="s">
        <v>224</v>
      </c>
      <c r="AK303" s="1" t="s">
        <v>3469</v>
      </c>
      <c r="AL303" s="1" t="s">
        <v>3470</v>
      </c>
      <c r="AM303" s="11" t="str">
        <f>VLOOKUP(N303,Sheet3!$B$4:$C$10,2,1)</f>
        <v>41-50</v>
      </c>
      <c r="AN303" s="12" t="str">
        <f>VLOOKUP(Z303,Sheet3!$F$4:$G$10,2,1)</f>
        <v>5-10</v>
      </c>
      <c r="AO303" s="5" t="str">
        <f>VLOOKUP(AA303,Sheet3!$I$3:$J$16,2,1)</f>
        <v>60000-80000</v>
      </c>
      <c r="AP303" s="5" t="str">
        <f>VLOOKUP(AB303,Sheet3!$L$4:$M$14,2,1)</f>
        <v>26% - 30%</v>
      </c>
    </row>
    <row r="304">
      <c r="A304" s="6">
        <v>926224.0</v>
      </c>
      <c r="B304" s="1" t="s">
        <v>42</v>
      </c>
      <c r="C304" s="1" t="s">
        <v>3471</v>
      </c>
      <c r="D304" s="1" t="s">
        <v>861</v>
      </c>
      <c r="E304" s="1" t="s">
        <v>3472</v>
      </c>
      <c r="F304" s="1" t="s">
        <v>46</v>
      </c>
      <c r="G304" s="1" t="s">
        <v>3473</v>
      </c>
      <c r="H304" s="1" t="s">
        <v>1395</v>
      </c>
      <c r="I304" s="1" t="s">
        <v>3474</v>
      </c>
      <c r="J304" s="1" t="s">
        <v>3475</v>
      </c>
      <c r="K304" s="1" t="s">
        <v>3476</v>
      </c>
      <c r="L304" s="14">
        <v>28919.0</v>
      </c>
      <c r="M304" s="8">
        <v>0.6543865740740741</v>
      </c>
      <c r="N304" s="6">
        <v>38.42</v>
      </c>
      <c r="O304" s="6">
        <v>45.0</v>
      </c>
      <c r="P304" s="9">
        <v>39953.0</v>
      </c>
      <c r="Q304" s="1" t="s">
        <v>75</v>
      </c>
      <c r="R304" s="1" t="s">
        <v>76</v>
      </c>
      <c r="S304" s="6">
        <v>2009.0</v>
      </c>
      <c r="T304" s="6">
        <v>5.0</v>
      </c>
      <c r="U304" s="1" t="s">
        <v>294</v>
      </c>
      <c r="V304" s="1" t="s">
        <v>294</v>
      </c>
      <c r="W304" s="6">
        <v>20.0</v>
      </c>
      <c r="X304" s="1" t="s">
        <v>278</v>
      </c>
      <c r="Y304" s="1" t="s">
        <v>279</v>
      </c>
      <c r="Z304" s="6">
        <v>8.19</v>
      </c>
      <c r="AA304" s="6">
        <v>150091.0</v>
      </c>
      <c r="AB304" s="10">
        <v>0.26</v>
      </c>
      <c r="AC304" s="1" t="s">
        <v>3477</v>
      </c>
      <c r="AD304" s="1" t="s">
        <v>3478</v>
      </c>
      <c r="AE304" s="1" t="s">
        <v>679</v>
      </c>
      <c r="AF304" s="1" t="s">
        <v>2546</v>
      </c>
      <c r="AG304" s="1" t="s">
        <v>679</v>
      </c>
      <c r="AH304" s="1" t="s">
        <v>105</v>
      </c>
      <c r="AI304" s="6">
        <v>42502.0</v>
      </c>
      <c r="AJ304" s="1" t="s">
        <v>106</v>
      </c>
      <c r="AK304" s="1" t="s">
        <v>3479</v>
      </c>
      <c r="AL304" s="1" t="s">
        <v>3480</v>
      </c>
      <c r="AM304" s="11" t="str">
        <f>VLOOKUP(N304,Sheet3!$B$4:$C$10,2,1)</f>
        <v>31-40</v>
      </c>
      <c r="AN304" s="12" t="str">
        <f>VLOOKUP(Z304,Sheet3!$F$4:$G$10,2,1)</f>
        <v>5-10</v>
      </c>
      <c r="AO304" s="5" t="str">
        <f>VLOOKUP(AA304,Sheet3!$I$3:$J$16,2,1)</f>
        <v>140000-160000</v>
      </c>
      <c r="AP304" s="5" t="str">
        <f>VLOOKUP(AB304,Sheet3!$L$4:$M$14,2,1)</f>
        <v>26% - 30%</v>
      </c>
    </row>
    <row r="305">
      <c r="A305" s="6">
        <v>220061.0</v>
      </c>
      <c r="B305" s="1" t="s">
        <v>227</v>
      </c>
      <c r="C305" s="1" t="s">
        <v>3481</v>
      </c>
      <c r="D305" s="1" t="s">
        <v>554</v>
      </c>
      <c r="E305" s="1" t="s">
        <v>339</v>
      </c>
      <c r="F305" s="1" t="s">
        <v>70</v>
      </c>
      <c r="G305" s="1" t="s">
        <v>3482</v>
      </c>
      <c r="H305" s="1" t="s">
        <v>1395</v>
      </c>
      <c r="I305" s="1" t="s">
        <v>3483</v>
      </c>
      <c r="J305" s="1" t="s">
        <v>3484</v>
      </c>
      <c r="K305" s="1" t="s">
        <v>926</v>
      </c>
      <c r="L305" s="9">
        <v>24215.0</v>
      </c>
      <c r="M305" s="8">
        <v>0.9568171296296296</v>
      </c>
      <c r="N305" s="6">
        <v>51.31</v>
      </c>
      <c r="O305" s="6">
        <v>50.0</v>
      </c>
      <c r="P305" s="9">
        <v>39776.0</v>
      </c>
      <c r="Q305" s="1" t="s">
        <v>52</v>
      </c>
      <c r="R305" s="1" t="s">
        <v>53</v>
      </c>
      <c r="S305" s="6">
        <v>2008.0</v>
      </c>
      <c r="T305" s="6">
        <v>11.0</v>
      </c>
      <c r="U305" s="1" t="s">
        <v>148</v>
      </c>
      <c r="V305" s="1" t="s">
        <v>149</v>
      </c>
      <c r="W305" s="6">
        <v>24.0</v>
      </c>
      <c r="X305" s="1" t="s">
        <v>99</v>
      </c>
      <c r="Y305" s="1" t="s">
        <v>100</v>
      </c>
      <c r="Z305" s="6">
        <v>8.68</v>
      </c>
      <c r="AA305" s="6">
        <v>40749.0</v>
      </c>
      <c r="AB305" s="10">
        <v>0.21</v>
      </c>
      <c r="AC305" s="1" t="s">
        <v>3485</v>
      </c>
      <c r="AD305" s="1" t="s">
        <v>3486</v>
      </c>
      <c r="AE305" s="1" t="s">
        <v>3487</v>
      </c>
      <c r="AF305" s="1" t="s">
        <v>3488</v>
      </c>
      <c r="AG305" s="1" t="s">
        <v>3487</v>
      </c>
      <c r="AH305" s="1" t="s">
        <v>372</v>
      </c>
      <c r="AI305" s="6">
        <v>68661.0</v>
      </c>
      <c r="AJ305" s="1" t="s">
        <v>86</v>
      </c>
      <c r="AK305" s="1" t="s">
        <v>3489</v>
      </c>
      <c r="AL305" s="1" t="s">
        <v>3490</v>
      </c>
      <c r="AM305" s="11" t="str">
        <f>VLOOKUP(N305,Sheet3!$B$4:$C$10,2,1)</f>
        <v>51-60</v>
      </c>
      <c r="AN305" s="12" t="str">
        <f>VLOOKUP(Z305,Sheet3!$F$4:$G$10,2,1)</f>
        <v>5-10</v>
      </c>
      <c r="AO305" s="5" t="str">
        <f>VLOOKUP(AA305,Sheet3!$I$3:$J$16,2,1)</f>
        <v>40000-60000</v>
      </c>
      <c r="AP305" s="5" t="str">
        <f>VLOOKUP(AB305,Sheet3!$L$4:$M$14,2,1)</f>
        <v>21% - 25%</v>
      </c>
    </row>
    <row r="306">
      <c r="A306" s="6">
        <v>125823.0</v>
      </c>
      <c r="B306" s="1" t="s">
        <v>66</v>
      </c>
      <c r="C306" s="1" t="s">
        <v>3491</v>
      </c>
      <c r="D306" s="1" t="s">
        <v>1300</v>
      </c>
      <c r="E306" s="1" t="s">
        <v>3492</v>
      </c>
      <c r="F306" s="1" t="s">
        <v>70</v>
      </c>
      <c r="G306" s="1" t="s">
        <v>3493</v>
      </c>
      <c r="H306" s="1" t="s">
        <v>1395</v>
      </c>
      <c r="I306" s="1" t="s">
        <v>3494</v>
      </c>
      <c r="J306" s="1" t="s">
        <v>3495</v>
      </c>
      <c r="K306" s="1" t="s">
        <v>2956</v>
      </c>
      <c r="L306" s="9">
        <v>24155.0</v>
      </c>
      <c r="M306" s="8">
        <v>0.9442361111111112</v>
      </c>
      <c r="N306" s="6">
        <v>51.48</v>
      </c>
      <c r="O306" s="6">
        <v>61.0</v>
      </c>
      <c r="P306" s="9">
        <v>39705.0</v>
      </c>
      <c r="Q306" s="1" t="s">
        <v>308</v>
      </c>
      <c r="R306" s="1" t="s">
        <v>53</v>
      </c>
      <c r="S306" s="6">
        <v>2008.0</v>
      </c>
      <c r="T306" s="6">
        <v>9.0</v>
      </c>
      <c r="U306" s="1" t="s">
        <v>309</v>
      </c>
      <c r="V306" s="1" t="s">
        <v>310</v>
      </c>
      <c r="W306" s="6">
        <v>14.0</v>
      </c>
      <c r="X306" s="1" t="s">
        <v>534</v>
      </c>
      <c r="Y306" s="1" t="s">
        <v>535</v>
      </c>
      <c r="Z306" s="6">
        <v>8.87</v>
      </c>
      <c r="AA306" s="6">
        <v>165482.0</v>
      </c>
      <c r="AB306" s="10">
        <v>0.18</v>
      </c>
      <c r="AC306" s="1" t="s">
        <v>3496</v>
      </c>
      <c r="AD306" s="1" t="s">
        <v>3497</v>
      </c>
      <c r="AE306" s="1" t="s">
        <v>3498</v>
      </c>
      <c r="AF306" s="1" t="s">
        <v>3499</v>
      </c>
      <c r="AG306" s="1" t="s">
        <v>3498</v>
      </c>
      <c r="AH306" s="1" t="s">
        <v>223</v>
      </c>
      <c r="AI306" s="6">
        <v>18234.0</v>
      </c>
      <c r="AJ306" s="1" t="s">
        <v>224</v>
      </c>
      <c r="AK306" s="1" t="s">
        <v>3500</v>
      </c>
      <c r="AL306" s="1" t="s">
        <v>3501</v>
      </c>
      <c r="AM306" s="11" t="str">
        <f>VLOOKUP(N306,Sheet3!$B$4:$C$10,2,1)</f>
        <v>51-60</v>
      </c>
      <c r="AN306" s="12" t="str">
        <f>VLOOKUP(Z306,Sheet3!$F$4:$G$10,2,1)</f>
        <v>5-10</v>
      </c>
      <c r="AO306" s="5" t="str">
        <f>VLOOKUP(AA306,Sheet3!$I$3:$J$16,2,1)</f>
        <v>160000-180000</v>
      </c>
      <c r="AP306" s="5" t="str">
        <f>VLOOKUP(AB306,Sheet3!$L$4:$M$14,2,1)</f>
        <v>16% - 20%</v>
      </c>
    </row>
    <row r="307">
      <c r="A307" s="6">
        <v>768943.0</v>
      </c>
      <c r="B307" s="1" t="s">
        <v>109</v>
      </c>
      <c r="C307" s="1" t="s">
        <v>3502</v>
      </c>
      <c r="D307" s="1" t="s">
        <v>257</v>
      </c>
      <c r="E307" s="1" t="s">
        <v>3503</v>
      </c>
      <c r="F307" s="1" t="s">
        <v>46</v>
      </c>
      <c r="G307" s="1" t="s">
        <v>3504</v>
      </c>
      <c r="H307" s="1" t="s">
        <v>1395</v>
      </c>
      <c r="I307" s="1" t="s">
        <v>3505</v>
      </c>
      <c r="J307" s="1" t="s">
        <v>3506</v>
      </c>
      <c r="K307" s="1" t="s">
        <v>1642</v>
      </c>
      <c r="L307" s="14">
        <v>26886.0</v>
      </c>
      <c r="M307" s="8">
        <v>0.9931828703703703</v>
      </c>
      <c r="N307" s="6">
        <v>43.99</v>
      </c>
      <c r="O307" s="6">
        <v>52.0</v>
      </c>
      <c r="P307" s="9">
        <v>36448.0</v>
      </c>
      <c r="Q307" s="1" t="s">
        <v>52</v>
      </c>
      <c r="R307" s="1" t="s">
        <v>53</v>
      </c>
      <c r="S307" s="6">
        <v>1999.0</v>
      </c>
      <c r="T307" s="6">
        <v>10.0</v>
      </c>
      <c r="U307" s="1" t="s">
        <v>133</v>
      </c>
      <c r="V307" s="1" t="s">
        <v>134</v>
      </c>
      <c r="W307" s="6">
        <v>15.0</v>
      </c>
      <c r="X307" s="1" t="s">
        <v>263</v>
      </c>
      <c r="Y307" s="1" t="s">
        <v>264</v>
      </c>
      <c r="Z307" s="6">
        <v>17.8</v>
      </c>
      <c r="AA307" s="6">
        <v>71160.0</v>
      </c>
      <c r="AB307" s="10">
        <v>0.2</v>
      </c>
      <c r="AC307" s="1" t="s">
        <v>3507</v>
      </c>
      <c r="AD307" s="1" t="s">
        <v>3508</v>
      </c>
      <c r="AE307" s="1" t="s">
        <v>3509</v>
      </c>
      <c r="AF307" s="1" t="s">
        <v>1859</v>
      </c>
      <c r="AG307" s="1" t="s">
        <v>3509</v>
      </c>
      <c r="AH307" s="1" t="s">
        <v>488</v>
      </c>
      <c r="AI307" s="6">
        <v>32718.0</v>
      </c>
      <c r="AJ307" s="1" t="s">
        <v>106</v>
      </c>
      <c r="AK307" s="1" t="s">
        <v>3510</v>
      </c>
      <c r="AL307" s="1" t="s">
        <v>3511</v>
      </c>
      <c r="AM307" s="11" t="str">
        <f>VLOOKUP(N307,Sheet3!$B$4:$C$10,2,1)</f>
        <v>41-50</v>
      </c>
      <c r="AN307" s="12" t="str">
        <f>VLOOKUP(Z307,Sheet3!$F$4:$G$10,2,1)</f>
        <v>11-20</v>
      </c>
      <c r="AO307" s="5" t="str">
        <f>VLOOKUP(AA307,Sheet3!$I$3:$J$16,2,1)</f>
        <v>60000-80000</v>
      </c>
      <c r="AP307" s="5" t="str">
        <f>VLOOKUP(AB307,Sheet3!$L$4:$M$14,2,1)</f>
        <v>16% - 20%</v>
      </c>
    </row>
    <row r="308">
      <c r="A308" s="6">
        <v>591698.0</v>
      </c>
      <c r="B308" s="1" t="s">
        <v>42</v>
      </c>
      <c r="C308" s="1" t="s">
        <v>3096</v>
      </c>
      <c r="D308" s="1" t="s">
        <v>111</v>
      </c>
      <c r="E308" s="1" t="s">
        <v>380</v>
      </c>
      <c r="F308" s="1" t="s">
        <v>46</v>
      </c>
      <c r="G308" s="1" t="s">
        <v>3512</v>
      </c>
      <c r="H308" s="1" t="s">
        <v>1395</v>
      </c>
      <c r="I308" s="1" t="s">
        <v>3513</v>
      </c>
      <c r="J308" s="1" t="s">
        <v>3514</v>
      </c>
      <c r="K308" s="1" t="s">
        <v>3515</v>
      </c>
      <c r="L308" s="9">
        <v>31078.0</v>
      </c>
      <c r="M308" s="8">
        <v>0.05210648148148148</v>
      </c>
      <c r="N308" s="6">
        <v>32.51</v>
      </c>
      <c r="O308" s="6">
        <v>46.0</v>
      </c>
      <c r="P308" s="14">
        <v>40544.0</v>
      </c>
      <c r="Q308" s="1" t="s">
        <v>96</v>
      </c>
      <c r="R308" s="1" t="s">
        <v>76</v>
      </c>
      <c r="S308" s="6">
        <v>2011.0</v>
      </c>
      <c r="T308" s="6">
        <v>1.0</v>
      </c>
      <c r="U308" s="1" t="s">
        <v>276</v>
      </c>
      <c r="V308" s="1" t="s">
        <v>277</v>
      </c>
      <c r="W308" s="6">
        <v>1.0</v>
      </c>
      <c r="X308" s="1" t="s">
        <v>56</v>
      </c>
      <c r="Y308" s="1" t="s">
        <v>57</v>
      </c>
      <c r="Z308" s="6">
        <v>6.58</v>
      </c>
      <c r="AA308" s="6">
        <v>184505.0</v>
      </c>
      <c r="AB308" s="10">
        <v>0.12</v>
      </c>
      <c r="AC308" s="1" t="s">
        <v>3516</v>
      </c>
      <c r="AD308" s="1" t="s">
        <v>3517</v>
      </c>
      <c r="AE308" s="1" t="s">
        <v>1779</v>
      </c>
      <c r="AF308" s="1" t="s">
        <v>587</v>
      </c>
      <c r="AG308" s="1" t="s">
        <v>1779</v>
      </c>
      <c r="AH308" s="1" t="s">
        <v>356</v>
      </c>
      <c r="AI308" s="6">
        <v>11435.0</v>
      </c>
      <c r="AJ308" s="1" t="s">
        <v>224</v>
      </c>
      <c r="AK308" s="1" t="s">
        <v>3518</v>
      </c>
      <c r="AL308" s="1" t="s">
        <v>3519</v>
      </c>
      <c r="AM308" s="11" t="str">
        <f>VLOOKUP(N308,Sheet3!$B$4:$C$10,2,1)</f>
        <v>31-40</v>
      </c>
      <c r="AN308" s="12" t="str">
        <f>VLOOKUP(Z308,Sheet3!$F$4:$G$10,2,1)</f>
        <v>5-10</v>
      </c>
      <c r="AO308" s="5" t="str">
        <f>VLOOKUP(AA308,Sheet3!$I$3:$J$16,2,1)</f>
        <v>180000-200000</v>
      </c>
      <c r="AP308" s="5" t="str">
        <f>VLOOKUP(AB308,Sheet3!$L$4:$M$14,2,1)</f>
        <v>11% - 15%</v>
      </c>
    </row>
    <row r="309">
      <c r="A309" s="6">
        <v>700418.0</v>
      </c>
      <c r="B309" s="1" t="s">
        <v>89</v>
      </c>
      <c r="C309" s="1" t="s">
        <v>3520</v>
      </c>
      <c r="D309" s="1" t="s">
        <v>1663</v>
      </c>
      <c r="E309" s="1" t="s">
        <v>3521</v>
      </c>
      <c r="F309" s="1" t="s">
        <v>46</v>
      </c>
      <c r="G309" s="1" t="s">
        <v>3522</v>
      </c>
      <c r="H309" s="1" t="s">
        <v>1395</v>
      </c>
      <c r="I309" s="1" t="s">
        <v>3523</v>
      </c>
      <c r="J309" s="1" t="s">
        <v>3524</v>
      </c>
      <c r="K309" s="1" t="s">
        <v>2908</v>
      </c>
      <c r="L309" s="14">
        <v>34760.0</v>
      </c>
      <c r="M309" s="8">
        <v>0.3952199074074074</v>
      </c>
      <c r="N309" s="6">
        <v>22.42</v>
      </c>
      <c r="O309" s="6">
        <v>51.0</v>
      </c>
      <c r="P309" s="14">
        <v>42777.0</v>
      </c>
      <c r="Q309" s="1" t="s">
        <v>96</v>
      </c>
      <c r="R309" s="1" t="s">
        <v>76</v>
      </c>
      <c r="S309" s="6">
        <v>2017.0</v>
      </c>
      <c r="T309" s="6">
        <v>2.0</v>
      </c>
      <c r="U309" s="1" t="s">
        <v>117</v>
      </c>
      <c r="V309" s="1" t="s">
        <v>118</v>
      </c>
      <c r="W309" s="6">
        <v>11.0</v>
      </c>
      <c r="X309" s="1" t="s">
        <v>56</v>
      </c>
      <c r="Y309" s="1" t="s">
        <v>57</v>
      </c>
      <c r="Z309" s="6">
        <v>0.46</v>
      </c>
      <c r="AA309" s="6">
        <v>103327.0</v>
      </c>
      <c r="AB309" s="10">
        <v>0.22</v>
      </c>
      <c r="AC309" s="1" t="s">
        <v>3525</v>
      </c>
      <c r="AD309" s="1" t="s">
        <v>3526</v>
      </c>
      <c r="AE309" s="1" t="s">
        <v>3527</v>
      </c>
      <c r="AF309" s="1" t="s">
        <v>3528</v>
      </c>
      <c r="AG309" s="1" t="s">
        <v>3527</v>
      </c>
      <c r="AH309" s="1" t="s">
        <v>238</v>
      </c>
      <c r="AI309" s="6">
        <v>92567.0</v>
      </c>
      <c r="AJ309" s="1" t="s">
        <v>63</v>
      </c>
      <c r="AK309" s="1" t="s">
        <v>3529</v>
      </c>
      <c r="AL309" s="1" t="s">
        <v>3530</v>
      </c>
      <c r="AM309" s="11" t="str">
        <f>VLOOKUP(N309,Sheet3!$B$4:$C$10,2,1)</f>
        <v>21-30</v>
      </c>
      <c r="AN309" s="13" t="str">
        <f>VLOOKUP(Z309,Sheet3!$F$4:$G$10,2,1)</f>
        <v>&lt; 5</v>
      </c>
      <c r="AO309" s="5" t="str">
        <f>VLOOKUP(AA309,Sheet3!$I$3:$J$16,2,1)</f>
        <v>100000-120000</v>
      </c>
      <c r="AP309" s="5" t="str">
        <f>VLOOKUP(AB309,Sheet3!$L$4:$M$14,2,1)</f>
        <v>21% - 25%</v>
      </c>
    </row>
    <row r="310">
      <c r="A310" s="6">
        <v>476635.0</v>
      </c>
      <c r="B310" s="1" t="s">
        <v>42</v>
      </c>
      <c r="C310" s="1" t="s">
        <v>550</v>
      </c>
      <c r="D310" s="1" t="s">
        <v>242</v>
      </c>
      <c r="E310" s="1" t="s">
        <v>3531</v>
      </c>
      <c r="F310" s="1" t="s">
        <v>46</v>
      </c>
      <c r="G310" s="1" t="s">
        <v>3532</v>
      </c>
      <c r="H310" s="1" t="s">
        <v>1395</v>
      </c>
      <c r="I310" s="1" t="s">
        <v>3533</v>
      </c>
      <c r="J310" s="1" t="s">
        <v>3534</v>
      </c>
      <c r="K310" s="1" t="s">
        <v>2225</v>
      </c>
      <c r="L310" s="14">
        <v>24877.0</v>
      </c>
      <c r="M310" s="8">
        <v>0.10898148148148148</v>
      </c>
      <c r="N310" s="6">
        <v>49.5</v>
      </c>
      <c r="O310" s="6">
        <v>59.0</v>
      </c>
      <c r="P310" s="14">
        <v>34943.0</v>
      </c>
      <c r="Q310" s="1" t="s">
        <v>308</v>
      </c>
      <c r="R310" s="1" t="s">
        <v>53</v>
      </c>
      <c r="S310" s="6">
        <v>1995.0</v>
      </c>
      <c r="T310" s="6">
        <v>9.0</v>
      </c>
      <c r="U310" s="1" t="s">
        <v>309</v>
      </c>
      <c r="V310" s="1" t="s">
        <v>310</v>
      </c>
      <c r="W310" s="6">
        <v>1.0</v>
      </c>
      <c r="X310" s="1" t="s">
        <v>263</v>
      </c>
      <c r="Y310" s="1" t="s">
        <v>264</v>
      </c>
      <c r="Z310" s="6">
        <v>21.92</v>
      </c>
      <c r="AA310" s="6">
        <v>160288.0</v>
      </c>
      <c r="AB310" s="10">
        <v>0.27</v>
      </c>
      <c r="AC310" s="1" t="s">
        <v>3535</v>
      </c>
      <c r="AD310" s="1" t="s">
        <v>3536</v>
      </c>
      <c r="AE310" s="1" t="s">
        <v>3537</v>
      </c>
      <c r="AF310" s="1" t="s">
        <v>2106</v>
      </c>
      <c r="AG310" s="1" t="s">
        <v>3537</v>
      </c>
      <c r="AH310" s="1" t="s">
        <v>974</v>
      </c>
      <c r="AI310" s="6">
        <v>43657.0</v>
      </c>
      <c r="AJ310" s="1" t="s">
        <v>86</v>
      </c>
      <c r="AK310" s="1" t="s">
        <v>3538</v>
      </c>
      <c r="AL310" s="1" t="s">
        <v>3539</v>
      </c>
      <c r="AM310" s="11" t="str">
        <f>VLOOKUP(N310,Sheet3!$B$4:$C$10,2,1)</f>
        <v>41-50</v>
      </c>
      <c r="AN310" s="13" t="str">
        <f>VLOOKUP(Z310,Sheet3!$F$4:$G$10,2,1)</f>
        <v>21-30</v>
      </c>
      <c r="AO310" s="5" t="str">
        <f>VLOOKUP(AA310,Sheet3!$I$3:$J$16,2,1)</f>
        <v>160000-180000</v>
      </c>
      <c r="AP310" s="5" t="str">
        <f>VLOOKUP(AB310,Sheet3!$L$4:$M$14,2,1)</f>
        <v>26% - 30%</v>
      </c>
    </row>
    <row r="311">
      <c r="A311" s="6">
        <v>785299.0</v>
      </c>
      <c r="B311" s="1" t="s">
        <v>66</v>
      </c>
      <c r="C311" s="1" t="s">
        <v>3540</v>
      </c>
      <c r="D311" s="1" t="s">
        <v>46</v>
      </c>
      <c r="E311" s="1" t="s">
        <v>3541</v>
      </c>
      <c r="F311" s="1" t="s">
        <v>70</v>
      </c>
      <c r="G311" s="1" t="s">
        <v>3542</v>
      </c>
      <c r="H311" s="1" t="s">
        <v>1395</v>
      </c>
      <c r="I311" s="1" t="s">
        <v>3543</v>
      </c>
      <c r="J311" s="1" t="s">
        <v>3544</v>
      </c>
      <c r="K311" s="1" t="s">
        <v>2359</v>
      </c>
      <c r="L311" s="9">
        <v>25619.0</v>
      </c>
      <c r="M311" s="8">
        <v>0.6733912037037038</v>
      </c>
      <c r="N311" s="6">
        <v>47.47</v>
      </c>
      <c r="O311" s="6">
        <v>56.0</v>
      </c>
      <c r="P311" s="9">
        <v>38714.0</v>
      </c>
      <c r="Q311" s="1" t="s">
        <v>52</v>
      </c>
      <c r="R311" s="1" t="s">
        <v>53</v>
      </c>
      <c r="S311" s="6">
        <v>2005.0</v>
      </c>
      <c r="T311" s="6">
        <v>12.0</v>
      </c>
      <c r="U311" s="1" t="s">
        <v>54</v>
      </c>
      <c r="V311" s="1" t="s">
        <v>55</v>
      </c>
      <c r="W311" s="6">
        <v>28.0</v>
      </c>
      <c r="X311" s="1" t="s">
        <v>278</v>
      </c>
      <c r="Y311" s="1" t="s">
        <v>279</v>
      </c>
      <c r="Z311" s="6">
        <v>11.59</v>
      </c>
      <c r="AA311" s="6">
        <v>59123.0</v>
      </c>
      <c r="AB311" s="10">
        <v>0.0</v>
      </c>
      <c r="AC311" s="1" t="s">
        <v>3545</v>
      </c>
      <c r="AD311" s="1" t="s">
        <v>3546</v>
      </c>
      <c r="AE311" s="1" t="s">
        <v>3547</v>
      </c>
      <c r="AF311" s="1" t="s">
        <v>3548</v>
      </c>
      <c r="AG311" s="1" t="s">
        <v>3547</v>
      </c>
      <c r="AH311" s="1" t="s">
        <v>223</v>
      </c>
      <c r="AI311" s="6">
        <v>16321.0</v>
      </c>
      <c r="AJ311" s="1" t="s">
        <v>224</v>
      </c>
      <c r="AK311" s="1" t="s">
        <v>3549</v>
      </c>
      <c r="AL311" s="1" t="s">
        <v>3550</v>
      </c>
      <c r="AM311" s="11" t="str">
        <f>VLOOKUP(N311,Sheet3!$B$4:$C$10,2,1)</f>
        <v>41-50</v>
      </c>
      <c r="AN311" s="12" t="str">
        <f>VLOOKUP(Z311,Sheet3!$F$4:$G$10,2,1)</f>
        <v>11-20</v>
      </c>
      <c r="AO311" s="5" t="str">
        <f>VLOOKUP(AA311,Sheet3!$I$3:$J$16,2,1)</f>
        <v>40000-60000</v>
      </c>
      <c r="AP311" s="5" t="str">
        <f>VLOOKUP(AB311,Sheet3!$L$4:$M$14,2,1)</f>
        <v>&lt; 5%</v>
      </c>
    </row>
    <row r="312">
      <c r="A312" s="6">
        <v>225139.0</v>
      </c>
      <c r="B312" s="1" t="s">
        <v>227</v>
      </c>
      <c r="C312" s="1" t="s">
        <v>814</v>
      </c>
      <c r="D312" s="1" t="s">
        <v>683</v>
      </c>
      <c r="E312" s="1" t="s">
        <v>509</v>
      </c>
      <c r="F312" s="1" t="s">
        <v>70</v>
      </c>
      <c r="G312" s="1" t="s">
        <v>3551</v>
      </c>
      <c r="H312" s="1" t="s">
        <v>1395</v>
      </c>
      <c r="I312" s="1" t="s">
        <v>3552</v>
      </c>
      <c r="J312" s="1" t="s">
        <v>3553</v>
      </c>
      <c r="K312" s="1" t="s">
        <v>3554</v>
      </c>
      <c r="L312" s="9">
        <v>35142.0</v>
      </c>
      <c r="M312" s="8">
        <v>0.03395833333333333</v>
      </c>
      <c r="N312" s="6">
        <v>21.38</v>
      </c>
      <c r="O312" s="6">
        <v>58.0</v>
      </c>
      <c r="P312" s="14">
        <v>42833.0</v>
      </c>
      <c r="Q312" s="1" t="s">
        <v>75</v>
      </c>
      <c r="R312" s="1" t="s">
        <v>76</v>
      </c>
      <c r="S312" s="6">
        <v>2017.0</v>
      </c>
      <c r="T312" s="6">
        <v>4.0</v>
      </c>
      <c r="U312" s="1" t="s">
        <v>77</v>
      </c>
      <c r="V312" s="1" t="s">
        <v>78</v>
      </c>
      <c r="W312" s="6">
        <v>8.0</v>
      </c>
      <c r="X312" s="1" t="s">
        <v>56</v>
      </c>
      <c r="Y312" s="1" t="s">
        <v>57</v>
      </c>
      <c r="Z312" s="6">
        <v>0.3</v>
      </c>
      <c r="AA312" s="6">
        <v>183466.0</v>
      </c>
      <c r="AB312" s="10">
        <v>0.27</v>
      </c>
      <c r="AC312" s="1" t="s">
        <v>3555</v>
      </c>
      <c r="AD312" s="1" t="s">
        <v>3556</v>
      </c>
      <c r="AE312" s="1" t="s">
        <v>3557</v>
      </c>
      <c r="AF312" s="1" t="s">
        <v>3558</v>
      </c>
      <c r="AG312" s="1" t="s">
        <v>3557</v>
      </c>
      <c r="AH312" s="1" t="s">
        <v>105</v>
      </c>
      <c r="AI312" s="6">
        <v>41837.0</v>
      </c>
      <c r="AJ312" s="1" t="s">
        <v>106</v>
      </c>
      <c r="AK312" s="1" t="s">
        <v>3559</v>
      </c>
      <c r="AL312" s="1" t="s">
        <v>3560</v>
      </c>
      <c r="AM312" s="11" t="str">
        <f>VLOOKUP(N312,Sheet3!$B$4:$C$10,2,1)</f>
        <v>21-30</v>
      </c>
      <c r="AN312" s="13" t="str">
        <f>VLOOKUP(Z312,Sheet3!$F$4:$G$10,2,1)</f>
        <v>&lt; 5</v>
      </c>
      <c r="AO312" s="5" t="str">
        <f>VLOOKUP(AA312,Sheet3!$I$3:$J$16,2,1)</f>
        <v>180000-200000</v>
      </c>
      <c r="AP312" s="5" t="str">
        <f>VLOOKUP(AB312,Sheet3!$L$4:$M$14,2,1)</f>
        <v>26% - 30%</v>
      </c>
    </row>
    <row r="313">
      <c r="A313" s="6">
        <v>308125.0</v>
      </c>
      <c r="B313" s="1" t="s">
        <v>109</v>
      </c>
      <c r="C313" s="1" t="s">
        <v>3561</v>
      </c>
      <c r="D313" s="1" t="s">
        <v>111</v>
      </c>
      <c r="E313" s="1" t="s">
        <v>3562</v>
      </c>
      <c r="F313" s="1" t="s">
        <v>46</v>
      </c>
      <c r="G313" s="1" t="s">
        <v>3563</v>
      </c>
      <c r="H313" s="1" t="s">
        <v>1395</v>
      </c>
      <c r="I313" s="1" t="s">
        <v>3564</v>
      </c>
      <c r="J313" s="1" t="s">
        <v>3565</v>
      </c>
      <c r="K313" s="1" t="s">
        <v>3010</v>
      </c>
      <c r="L313" s="9">
        <v>25525.0</v>
      </c>
      <c r="M313" s="8">
        <v>0.02476851851851852</v>
      </c>
      <c r="N313" s="6">
        <v>47.72</v>
      </c>
      <c r="O313" s="6">
        <v>47.0</v>
      </c>
      <c r="P313" s="9">
        <v>35142.0</v>
      </c>
      <c r="Q313" s="1" t="s">
        <v>96</v>
      </c>
      <c r="R313" s="1" t="s">
        <v>76</v>
      </c>
      <c r="S313" s="6">
        <v>1996.0</v>
      </c>
      <c r="T313" s="6">
        <v>3.0</v>
      </c>
      <c r="U313" s="1" t="s">
        <v>97</v>
      </c>
      <c r="V313" s="1" t="s">
        <v>98</v>
      </c>
      <c r="W313" s="6">
        <v>18.0</v>
      </c>
      <c r="X313" s="1" t="s">
        <v>99</v>
      </c>
      <c r="Y313" s="1" t="s">
        <v>100</v>
      </c>
      <c r="Z313" s="6">
        <v>21.38</v>
      </c>
      <c r="AA313" s="6">
        <v>97890.0</v>
      </c>
      <c r="AB313" s="10">
        <v>0.29</v>
      </c>
      <c r="AC313" s="1" t="s">
        <v>3566</v>
      </c>
      <c r="AD313" s="1" t="s">
        <v>3567</v>
      </c>
      <c r="AE313" s="1" t="s">
        <v>3568</v>
      </c>
      <c r="AF313" s="1" t="s">
        <v>2636</v>
      </c>
      <c r="AG313" s="1" t="s">
        <v>3568</v>
      </c>
      <c r="AH313" s="1" t="s">
        <v>1079</v>
      </c>
      <c r="AI313" s="6">
        <v>83543.0</v>
      </c>
      <c r="AJ313" s="1" t="s">
        <v>63</v>
      </c>
      <c r="AK313" s="1" t="s">
        <v>3569</v>
      </c>
      <c r="AL313" s="1" t="s">
        <v>3570</v>
      </c>
      <c r="AM313" s="11" t="str">
        <f>VLOOKUP(N313,Sheet3!$B$4:$C$10,2,1)</f>
        <v>41-50</v>
      </c>
      <c r="AN313" s="13" t="str">
        <f>VLOOKUP(Z313,Sheet3!$F$4:$G$10,2,1)</f>
        <v>21-30</v>
      </c>
      <c r="AO313" s="5" t="str">
        <f>VLOOKUP(AA313,Sheet3!$I$3:$J$16,2,1)</f>
        <v>80000-100000</v>
      </c>
      <c r="AP313" s="5" t="str">
        <f>VLOOKUP(AB313,Sheet3!$L$4:$M$14,2,1)</f>
        <v>26% - 30%</v>
      </c>
    </row>
    <row r="314">
      <c r="A314" s="6">
        <v>129426.0</v>
      </c>
      <c r="B314" s="1" t="s">
        <v>89</v>
      </c>
      <c r="C314" s="1" t="s">
        <v>2796</v>
      </c>
      <c r="D314" s="1" t="s">
        <v>288</v>
      </c>
      <c r="E314" s="1" t="s">
        <v>3571</v>
      </c>
      <c r="F314" s="1" t="s">
        <v>46</v>
      </c>
      <c r="G314" s="1" t="s">
        <v>3572</v>
      </c>
      <c r="H314" s="1" t="s">
        <v>1395</v>
      </c>
      <c r="I314" s="1" t="s">
        <v>3573</v>
      </c>
      <c r="J314" s="1" t="s">
        <v>3574</v>
      </c>
      <c r="K314" s="1" t="s">
        <v>2813</v>
      </c>
      <c r="L314" s="9">
        <v>27745.0</v>
      </c>
      <c r="M314" s="8">
        <v>0.7046643518518518</v>
      </c>
      <c r="N314" s="6">
        <v>41.64</v>
      </c>
      <c r="O314" s="6">
        <v>40.0</v>
      </c>
      <c r="P314" s="9">
        <v>41562.0</v>
      </c>
      <c r="Q314" s="1" t="s">
        <v>52</v>
      </c>
      <c r="R314" s="1" t="s">
        <v>53</v>
      </c>
      <c r="S314" s="6">
        <v>2013.0</v>
      </c>
      <c r="T314" s="6">
        <v>10.0</v>
      </c>
      <c r="U314" s="1" t="s">
        <v>133</v>
      </c>
      <c r="V314" s="1" t="s">
        <v>134</v>
      </c>
      <c r="W314" s="6">
        <v>15.0</v>
      </c>
      <c r="X314" s="1" t="s">
        <v>79</v>
      </c>
      <c r="Y314" s="1" t="s">
        <v>80</v>
      </c>
      <c r="Z314" s="6">
        <v>3.79</v>
      </c>
      <c r="AA314" s="6">
        <v>82263.0</v>
      </c>
      <c r="AB314" s="10">
        <v>0.13</v>
      </c>
      <c r="AC314" s="1" t="s">
        <v>3575</v>
      </c>
      <c r="AD314" s="1" t="s">
        <v>3576</v>
      </c>
      <c r="AE314" s="1" t="s">
        <v>3577</v>
      </c>
      <c r="AF314" s="1" t="s">
        <v>1424</v>
      </c>
      <c r="AG314" s="1" t="s">
        <v>3577</v>
      </c>
      <c r="AH314" s="1" t="s">
        <v>1032</v>
      </c>
      <c r="AI314" s="6">
        <v>66219.0</v>
      </c>
      <c r="AJ314" s="1" t="s">
        <v>86</v>
      </c>
      <c r="AK314" s="1" t="s">
        <v>3578</v>
      </c>
      <c r="AL314" s="1" t="s">
        <v>3579</v>
      </c>
      <c r="AM314" s="11" t="str">
        <f>VLOOKUP(N314,Sheet3!$B$4:$C$10,2,1)</f>
        <v>41-50</v>
      </c>
      <c r="AN314" s="13" t="str">
        <f>VLOOKUP(Z314,Sheet3!$F$4:$G$10,2,1)</f>
        <v>&lt; 5</v>
      </c>
      <c r="AO314" s="5" t="str">
        <f>VLOOKUP(AA314,Sheet3!$I$3:$J$16,2,1)</f>
        <v>80000-100000</v>
      </c>
      <c r="AP314" s="5" t="str">
        <f>VLOOKUP(AB314,Sheet3!$L$4:$M$14,2,1)</f>
        <v>11% - 15%</v>
      </c>
    </row>
    <row r="315">
      <c r="A315" s="6">
        <v>399192.0</v>
      </c>
      <c r="B315" s="1" t="s">
        <v>66</v>
      </c>
      <c r="C315" s="1" t="s">
        <v>3580</v>
      </c>
      <c r="D315" s="1" t="s">
        <v>111</v>
      </c>
      <c r="E315" s="1" t="s">
        <v>3581</v>
      </c>
      <c r="F315" s="1" t="s">
        <v>70</v>
      </c>
      <c r="G315" s="1" t="s">
        <v>3582</v>
      </c>
      <c r="H315" s="1" t="s">
        <v>1395</v>
      </c>
      <c r="I315" s="1" t="s">
        <v>3583</v>
      </c>
      <c r="J315" s="1" t="s">
        <v>3584</v>
      </c>
      <c r="K315" s="1" t="s">
        <v>3181</v>
      </c>
      <c r="L315" s="9">
        <v>28082.0</v>
      </c>
      <c r="M315" s="8">
        <v>0.03563657407407408</v>
      </c>
      <c r="N315" s="6">
        <v>40.72</v>
      </c>
      <c r="O315" s="6">
        <v>60.0</v>
      </c>
      <c r="P315" s="14">
        <v>41162.0</v>
      </c>
      <c r="Q315" s="1" t="s">
        <v>308</v>
      </c>
      <c r="R315" s="1" t="s">
        <v>53</v>
      </c>
      <c r="S315" s="6">
        <v>2012.0</v>
      </c>
      <c r="T315" s="6">
        <v>9.0</v>
      </c>
      <c r="U315" s="1" t="s">
        <v>309</v>
      </c>
      <c r="V315" s="1" t="s">
        <v>310</v>
      </c>
      <c r="W315" s="6">
        <v>10.0</v>
      </c>
      <c r="X315" s="1" t="s">
        <v>99</v>
      </c>
      <c r="Y315" s="1" t="s">
        <v>100</v>
      </c>
      <c r="Z315" s="6">
        <v>4.88</v>
      </c>
      <c r="AA315" s="6">
        <v>136207.0</v>
      </c>
      <c r="AB315" s="10">
        <v>0.28</v>
      </c>
      <c r="AC315" s="1" t="s">
        <v>3585</v>
      </c>
      <c r="AD315" s="1" t="s">
        <v>3586</v>
      </c>
      <c r="AE315" s="1" t="s">
        <v>3587</v>
      </c>
      <c r="AF315" s="1" t="s">
        <v>1355</v>
      </c>
      <c r="AG315" s="1" t="s">
        <v>3587</v>
      </c>
      <c r="AH315" s="1" t="s">
        <v>210</v>
      </c>
      <c r="AI315" s="6">
        <v>60137.0</v>
      </c>
      <c r="AJ315" s="1" t="s">
        <v>86</v>
      </c>
      <c r="AK315" s="1" t="s">
        <v>3588</v>
      </c>
      <c r="AL315" s="1" t="s">
        <v>3589</v>
      </c>
      <c r="AM315" s="11" t="str">
        <f>VLOOKUP(N315,Sheet3!$B$4:$C$10,2,1)</f>
        <v>31-40</v>
      </c>
      <c r="AN315" s="13" t="str">
        <f>VLOOKUP(Z315,Sheet3!$F$4:$G$10,2,1)</f>
        <v>&lt; 5</v>
      </c>
      <c r="AO315" s="5" t="str">
        <f>VLOOKUP(AA315,Sheet3!$I$3:$J$16,2,1)</f>
        <v>120000-140000</v>
      </c>
      <c r="AP315" s="5" t="str">
        <f>VLOOKUP(AB315,Sheet3!$L$4:$M$14,2,1)</f>
        <v>26% - 30%</v>
      </c>
    </row>
    <row r="316">
      <c r="A316" s="6">
        <v>555551.0</v>
      </c>
      <c r="B316" s="1" t="s">
        <v>42</v>
      </c>
      <c r="C316" s="1" t="s">
        <v>3590</v>
      </c>
      <c r="D316" s="1" t="s">
        <v>44</v>
      </c>
      <c r="E316" s="1" t="s">
        <v>45</v>
      </c>
      <c r="F316" s="1" t="s">
        <v>46</v>
      </c>
      <c r="G316" s="1" t="s">
        <v>3591</v>
      </c>
      <c r="H316" s="1" t="s">
        <v>1395</v>
      </c>
      <c r="I316" s="1" t="s">
        <v>3592</v>
      </c>
      <c r="J316" s="1" t="s">
        <v>3593</v>
      </c>
      <c r="K316" s="1" t="s">
        <v>3594</v>
      </c>
      <c r="L316" s="14">
        <v>32303.0</v>
      </c>
      <c r="M316" s="8">
        <v>0.6991666666666667</v>
      </c>
      <c r="N316" s="6">
        <v>29.15</v>
      </c>
      <c r="O316" s="6">
        <v>59.0</v>
      </c>
      <c r="P316" s="14">
        <v>40490.0</v>
      </c>
      <c r="Q316" s="1" t="s">
        <v>52</v>
      </c>
      <c r="R316" s="1" t="s">
        <v>53</v>
      </c>
      <c r="S316" s="6">
        <v>2010.0</v>
      </c>
      <c r="T316" s="6">
        <v>11.0</v>
      </c>
      <c r="U316" s="1" t="s">
        <v>148</v>
      </c>
      <c r="V316" s="1" t="s">
        <v>149</v>
      </c>
      <c r="W316" s="6">
        <v>8.0</v>
      </c>
      <c r="X316" s="1" t="s">
        <v>99</v>
      </c>
      <c r="Y316" s="1" t="s">
        <v>100</v>
      </c>
      <c r="Z316" s="6">
        <v>6.72</v>
      </c>
      <c r="AA316" s="6">
        <v>143194.0</v>
      </c>
      <c r="AB316" s="10">
        <v>0.23</v>
      </c>
      <c r="AC316" s="1" t="s">
        <v>3595</v>
      </c>
      <c r="AD316" s="1" t="s">
        <v>3596</v>
      </c>
      <c r="AE316" s="1" t="s">
        <v>3597</v>
      </c>
      <c r="AF316" s="1" t="s">
        <v>3598</v>
      </c>
      <c r="AG316" s="1" t="s">
        <v>3597</v>
      </c>
      <c r="AH316" s="1" t="s">
        <v>169</v>
      </c>
      <c r="AI316" s="6">
        <v>79763.0</v>
      </c>
      <c r="AJ316" s="1" t="s">
        <v>106</v>
      </c>
      <c r="AK316" s="1" t="s">
        <v>3599</v>
      </c>
      <c r="AL316" s="1" t="s">
        <v>3600</v>
      </c>
      <c r="AM316" s="11" t="str">
        <f>VLOOKUP(N316,Sheet3!$B$4:$C$10,2,1)</f>
        <v>21-30</v>
      </c>
      <c r="AN316" s="12" t="str">
        <f>VLOOKUP(Z316,Sheet3!$F$4:$G$10,2,1)</f>
        <v>5-10</v>
      </c>
      <c r="AO316" s="5" t="str">
        <f>VLOOKUP(AA316,Sheet3!$I$3:$J$16,2,1)</f>
        <v>140000-160000</v>
      </c>
      <c r="AP316" s="5" t="str">
        <f>VLOOKUP(AB316,Sheet3!$L$4:$M$14,2,1)</f>
        <v>21% - 25%</v>
      </c>
    </row>
    <row r="317">
      <c r="A317" s="6">
        <v>245059.0</v>
      </c>
      <c r="B317" s="1" t="s">
        <v>66</v>
      </c>
      <c r="C317" s="1" t="s">
        <v>3601</v>
      </c>
      <c r="D317" s="1" t="s">
        <v>1663</v>
      </c>
      <c r="E317" s="1" t="s">
        <v>3602</v>
      </c>
      <c r="F317" s="1" t="s">
        <v>70</v>
      </c>
      <c r="G317" s="1" t="s">
        <v>3603</v>
      </c>
      <c r="H317" s="1" t="s">
        <v>1395</v>
      </c>
      <c r="I317" s="1" t="s">
        <v>3604</v>
      </c>
      <c r="J317" s="1" t="s">
        <v>3605</v>
      </c>
      <c r="K317" s="1" t="s">
        <v>1305</v>
      </c>
      <c r="L317" s="9">
        <v>31132.0</v>
      </c>
      <c r="M317" s="8">
        <v>0.7163657407407408</v>
      </c>
      <c r="N317" s="6">
        <v>32.36</v>
      </c>
      <c r="O317" s="6">
        <v>79.0</v>
      </c>
      <c r="P317" s="9">
        <v>40812.0</v>
      </c>
      <c r="Q317" s="1" t="s">
        <v>308</v>
      </c>
      <c r="R317" s="1" t="s">
        <v>53</v>
      </c>
      <c r="S317" s="6">
        <v>2011.0</v>
      </c>
      <c r="T317" s="6">
        <v>9.0</v>
      </c>
      <c r="U317" s="1" t="s">
        <v>309</v>
      </c>
      <c r="V317" s="1" t="s">
        <v>310</v>
      </c>
      <c r="W317" s="6">
        <v>26.0</v>
      </c>
      <c r="X317" s="1" t="s">
        <v>99</v>
      </c>
      <c r="Y317" s="1" t="s">
        <v>100</v>
      </c>
      <c r="Z317" s="6">
        <v>5.84</v>
      </c>
      <c r="AA317" s="6">
        <v>165777.0</v>
      </c>
      <c r="AB317" s="10">
        <v>0.25</v>
      </c>
      <c r="AC317" s="1" t="s">
        <v>3606</v>
      </c>
      <c r="AD317" s="1" t="s">
        <v>3607</v>
      </c>
      <c r="AE317" s="1" t="s">
        <v>1685</v>
      </c>
      <c r="AF317" s="1" t="s">
        <v>182</v>
      </c>
      <c r="AG317" s="1" t="s">
        <v>1685</v>
      </c>
      <c r="AH317" s="1" t="s">
        <v>156</v>
      </c>
      <c r="AI317" s="6">
        <v>22307.0</v>
      </c>
      <c r="AJ317" s="1" t="s">
        <v>106</v>
      </c>
      <c r="AK317" s="1" t="s">
        <v>3608</v>
      </c>
      <c r="AL317" s="1" t="s">
        <v>3609</v>
      </c>
      <c r="AM317" s="11" t="str">
        <f>VLOOKUP(N317,Sheet3!$B$4:$C$10,2,1)</f>
        <v>31-40</v>
      </c>
      <c r="AN317" s="12" t="str">
        <f>VLOOKUP(Z317,Sheet3!$F$4:$G$10,2,1)</f>
        <v>5-10</v>
      </c>
      <c r="AO317" s="5" t="str">
        <f>VLOOKUP(AA317,Sheet3!$I$3:$J$16,2,1)</f>
        <v>160000-180000</v>
      </c>
      <c r="AP317" s="5" t="str">
        <f>VLOOKUP(AB317,Sheet3!$L$4:$M$14,2,1)</f>
        <v>21% - 25%</v>
      </c>
    </row>
    <row r="318">
      <c r="A318" s="6">
        <v>423008.0</v>
      </c>
      <c r="B318" s="1" t="s">
        <v>89</v>
      </c>
      <c r="C318" s="1" t="s">
        <v>3610</v>
      </c>
      <c r="D318" s="1" t="s">
        <v>111</v>
      </c>
      <c r="E318" s="1" t="s">
        <v>1382</v>
      </c>
      <c r="F318" s="1" t="s">
        <v>46</v>
      </c>
      <c r="G318" s="1" t="s">
        <v>3611</v>
      </c>
      <c r="H318" s="1" t="s">
        <v>1395</v>
      </c>
      <c r="I318" s="1" t="s">
        <v>3612</v>
      </c>
      <c r="J318" s="1" t="s">
        <v>3613</v>
      </c>
      <c r="K318" s="1" t="s">
        <v>3614</v>
      </c>
      <c r="L318" s="14">
        <v>31179.0</v>
      </c>
      <c r="M318" s="8">
        <v>0.5869212962962963</v>
      </c>
      <c r="N318" s="6">
        <v>32.23</v>
      </c>
      <c r="O318" s="6">
        <v>43.0</v>
      </c>
      <c r="P318" s="14">
        <v>40067.0</v>
      </c>
      <c r="Q318" s="1" t="s">
        <v>308</v>
      </c>
      <c r="R318" s="1" t="s">
        <v>53</v>
      </c>
      <c r="S318" s="6">
        <v>2009.0</v>
      </c>
      <c r="T318" s="6">
        <v>9.0</v>
      </c>
      <c r="U318" s="1" t="s">
        <v>309</v>
      </c>
      <c r="V318" s="1" t="s">
        <v>310</v>
      </c>
      <c r="W318" s="6">
        <v>11.0</v>
      </c>
      <c r="X318" s="1" t="s">
        <v>263</v>
      </c>
      <c r="Y318" s="1" t="s">
        <v>264</v>
      </c>
      <c r="Z318" s="6">
        <v>7.88</v>
      </c>
      <c r="AA318" s="6">
        <v>77392.0</v>
      </c>
      <c r="AB318" s="10">
        <v>0.14</v>
      </c>
      <c r="AC318" s="1" t="s">
        <v>3615</v>
      </c>
      <c r="AD318" s="1" t="s">
        <v>3616</v>
      </c>
      <c r="AE318" s="1" t="s">
        <v>3617</v>
      </c>
      <c r="AF318" s="1" t="s">
        <v>237</v>
      </c>
      <c r="AG318" s="1" t="s">
        <v>3617</v>
      </c>
      <c r="AH318" s="1" t="s">
        <v>238</v>
      </c>
      <c r="AI318" s="6">
        <v>91025.0</v>
      </c>
      <c r="AJ318" s="1" t="s">
        <v>63</v>
      </c>
      <c r="AK318" s="1" t="s">
        <v>3618</v>
      </c>
      <c r="AL318" s="1" t="s">
        <v>3619</v>
      </c>
      <c r="AM318" s="11" t="str">
        <f>VLOOKUP(N318,Sheet3!$B$4:$C$10,2,1)</f>
        <v>31-40</v>
      </c>
      <c r="AN318" s="12" t="str">
        <f>VLOOKUP(Z318,Sheet3!$F$4:$G$10,2,1)</f>
        <v>5-10</v>
      </c>
      <c r="AO318" s="5" t="str">
        <f>VLOOKUP(AA318,Sheet3!$I$3:$J$16,2,1)</f>
        <v>60000-80000</v>
      </c>
      <c r="AP318" s="5" t="str">
        <f>VLOOKUP(AB318,Sheet3!$L$4:$M$14,2,1)</f>
        <v>11% - 15%</v>
      </c>
    </row>
    <row r="319">
      <c r="A319" s="6">
        <v>316407.0</v>
      </c>
      <c r="B319" s="1" t="s">
        <v>89</v>
      </c>
      <c r="C319" s="1" t="s">
        <v>3620</v>
      </c>
      <c r="D319" s="1" t="s">
        <v>683</v>
      </c>
      <c r="E319" s="1" t="s">
        <v>3621</v>
      </c>
      <c r="F319" s="1" t="s">
        <v>46</v>
      </c>
      <c r="G319" s="1" t="s">
        <v>3622</v>
      </c>
      <c r="H319" s="1" t="s">
        <v>1395</v>
      </c>
      <c r="I319" s="1" t="s">
        <v>3623</v>
      </c>
      <c r="J319" s="1" t="s">
        <v>3624</v>
      </c>
      <c r="K319" s="1" t="s">
        <v>3625</v>
      </c>
      <c r="L319" s="14">
        <v>34312.0</v>
      </c>
      <c r="M319" s="8">
        <v>0.5524652777777778</v>
      </c>
      <c r="N319" s="6">
        <v>23.65</v>
      </c>
      <c r="O319" s="6">
        <v>57.0</v>
      </c>
      <c r="P319" s="14">
        <v>42257.0</v>
      </c>
      <c r="Q319" s="1" t="s">
        <v>308</v>
      </c>
      <c r="R319" s="1" t="s">
        <v>53</v>
      </c>
      <c r="S319" s="6">
        <v>2015.0</v>
      </c>
      <c r="T319" s="6">
        <v>9.0</v>
      </c>
      <c r="U319" s="1" t="s">
        <v>309</v>
      </c>
      <c r="V319" s="1" t="s">
        <v>310</v>
      </c>
      <c r="W319" s="6">
        <v>10.0</v>
      </c>
      <c r="X319" s="1" t="s">
        <v>150</v>
      </c>
      <c r="Y319" s="1" t="s">
        <v>151</v>
      </c>
      <c r="Z319" s="6">
        <v>1.88</v>
      </c>
      <c r="AA319" s="6">
        <v>74449.0</v>
      </c>
      <c r="AB319" s="10">
        <v>0.0</v>
      </c>
      <c r="AC319" s="1" t="s">
        <v>3626</v>
      </c>
      <c r="AD319" s="1" t="s">
        <v>3627</v>
      </c>
      <c r="AE319" s="1" t="s">
        <v>3628</v>
      </c>
      <c r="AF319" s="1" t="s">
        <v>1539</v>
      </c>
      <c r="AG319" s="1" t="s">
        <v>3628</v>
      </c>
      <c r="AH319" s="1" t="s">
        <v>356</v>
      </c>
      <c r="AI319" s="6">
        <v>10969.0</v>
      </c>
      <c r="AJ319" s="1" t="s">
        <v>224</v>
      </c>
      <c r="AK319" s="1" t="s">
        <v>3629</v>
      </c>
      <c r="AL319" s="1" t="s">
        <v>3630</v>
      </c>
      <c r="AM319" s="11" t="str">
        <f>VLOOKUP(N319,Sheet3!$B$4:$C$10,2,1)</f>
        <v>21-30</v>
      </c>
      <c r="AN319" s="13" t="str">
        <f>VLOOKUP(Z319,Sheet3!$F$4:$G$10,2,1)</f>
        <v>&lt; 5</v>
      </c>
      <c r="AO319" s="5" t="str">
        <f>VLOOKUP(AA319,Sheet3!$I$3:$J$16,2,1)</f>
        <v>60000-80000</v>
      </c>
      <c r="AP319" s="5" t="str">
        <f>VLOOKUP(AB319,Sheet3!$L$4:$M$14,2,1)</f>
        <v>&lt; 5%</v>
      </c>
    </row>
    <row r="320">
      <c r="A320" s="6">
        <v>410027.0</v>
      </c>
      <c r="B320" s="1" t="s">
        <v>66</v>
      </c>
      <c r="C320" s="1" t="s">
        <v>3631</v>
      </c>
      <c r="D320" s="1" t="s">
        <v>46</v>
      </c>
      <c r="E320" s="1" t="s">
        <v>3632</v>
      </c>
      <c r="F320" s="1" t="s">
        <v>70</v>
      </c>
      <c r="G320" s="1" t="s">
        <v>3633</v>
      </c>
      <c r="H320" s="1" t="s">
        <v>1395</v>
      </c>
      <c r="I320" s="1" t="s">
        <v>3634</v>
      </c>
      <c r="J320" s="1" t="s">
        <v>3635</v>
      </c>
      <c r="K320" s="1" t="s">
        <v>2682</v>
      </c>
      <c r="L320" s="9">
        <v>22875.0</v>
      </c>
      <c r="M320" s="8">
        <v>0.4169212962962963</v>
      </c>
      <c r="N320" s="6">
        <v>54.98</v>
      </c>
      <c r="O320" s="6">
        <v>78.0</v>
      </c>
      <c r="P320" s="9">
        <v>40627.0</v>
      </c>
      <c r="Q320" s="1" t="s">
        <v>96</v>
      </c>
      <c r="R320" s="1" t="s">
        <v>76</v>
      </c>
      <c r="S320" s="6">
        <v>2011.0</v>
      </c>
      <c r="T320" s="6">
        <v>3.0</v>
      </c>
      <c r="U320" s="1" t="s">
        <v>97</v>
      </c>
      <c r="V320" s="1" t="s">
        <v>98</v>
      </c>
      <c r="W320" s="6">
        <v>25.0</v>
      </c>
      <c r="X320" s="1" t="s">
        <v>263</v>
      </c>
      <c r="Y320" s="1" t="s">
        <v>264</v>
      </c>
      <c r="Z320" s="6">
        <v>6.35</v>
      </c>
      <c r="AA320" s="6">
        <v>117566.0</v>
      </c>
      <c r="AB320" s="10">
        <v>0.04</v>
      </c>
      <c r="AC320" s="1" t="s">
        <v>3636</v>
      </c>
      <c r="AD320" s="1" t="s">
        <v>3637</v>
      </c>
      <c r="AE320" s="1" t="s">
        <v>3638</v>
      </c>
      <c r="AF320" s="1" t="s">
        <v>3528</v>
      </c>
      <c r="AG320" s="1" t="s">
        <v>3638</v>
      </c>
      <c r="AH320" s="1" t="s">
        <v>238</v>
      </c>
      <c r="AI320" s="6">
        <v>92879.0</v>
      </c>
      <c r="AJ320" s="1" t="s">
        <v>63</v>
      </c>
      <c r="AK320" s="1" t="s">
        <v>3639</v>
      </c>
      <c r="AL320" s="1" t="s">
        <v>3640</v>
      </c>
      <c r="AM320" s="11" t="str">
        <f>VLOOKUP(N320,Sheet3!$B$4:$C$10,2,1)</f>
        <v>51-60</v>
      </c>
      <c r="AN320" s="12" t="str">
        <f>VLOOKUP(Z320,Sheet3!$F$4:$G$10,2,1)</f>
        <v>5-10</v>
      </c>
      <c r="AO320" s="5" t="str">
        <f>VLOOKUP(AA320,Sheet3!$I$3:$J$16,2,1)</f>
        <v>100000-120000</v>
      </c>
      <c r="AP320" s="5" t="str">
        <f>VLOOKUP(AB320,Sheet3!$L$4:$M$14,2,1)</f>
        <v>&lt; 5%</v>
      </c>
    </row>
    <row r="321">
      <c r="A321" s="6">
        <v>307715.0</v>
      </c>
      <c r="B321" s="1" t="s">
        <v>255</v>
      </c>
      <c r="C321" s="1" t="s">
        <v>3641</v>
      </c>
      <c r="D321" s="1" t="s">
        <v>466</v>
      </c>
      <c r="E321" s="1" t="s">
        <v>3642</v>
      </c>
      <c r="F321" s="1" t="s">
        <v>70</v>
      </c>
      <c r="G321" s="1" t="s">
        <v>3643</v>
      </c>
      <c r="H321" s="1" t="s">
        <v>1395</v>
      </c>
      <c r="I321" s="1" t="s">
        <v>3644</v>
      </c>
      <c r="J321" s="1" t="s">
        <v>3645</v>
      </c>
      <c r="K321" s="1" t="s">
        <v>3646</v>
      </c>
      <c r="L321" s="9">
        <v>25925.0</v>
      </c>
      <c r="M321" s="8">
        <v>0.9085185185185185</v>
      </c>
      <c r="N321" s="6">
        <v>46.63</v>
      </c>
      <c r="O321" s="6">
        <v>61.0</v>
      </c>
      <c r="P321" s="14">
        <v>37715.0</v>
      </c>
      <c r="Q321" s="1" t="s">
        <v>75</v>
      </c>
      <c r="R321" s="1" t="s">
        <v>76</v>
      </c>
      <c r="S321" s="6">
        <v>2003.0</v>
      </c>
      <c r="T321" s="6">
        <v>4.0</v>
      </c>
      <c r="U321" s="1" t="s">
        <v>77</v>
      </c>
      <c r="V321" s="1" t="s">
        <v>78</v>
      </c>
      <c r="W321" s="6">
        <v>4.0</v>
      </c>
      <c r="X321" s="1" t="s">
        <v>263</v>
      </c>
      <c r="Y321" s="1" t="s">
        <v>264</v>
      </c>
      <c r="Z321" s="6">
        <v>14.33</v>
      </c>
      <c r="AA321" s="6">
        <v>115356.0</v>
      </c>
      <c r="AB321" s="10">
        <v>0.27</v>
      </c>
      <c r="AC321" s="1" t="s">
        <v>3647</v>
      </c>
      <c r="AD321" s="1" t="s">
        <v>3648</v>
      </c>
      <c r="AE321" s="1" t="s">
        <v>3649</v>
      </c>
      <c r="AF321" s="1" t="s">
        <v>3528</v>
      </c>
      <c r="AG321" s="1" t="s">
        <v>3649</v>
      </c>
      <c r="AH321" s="1" t="s">
        <v>238</v>
      </c>
      <c r="AI321" s="6">
        <v>92258.0</v>
      </c>
      <c r="AJ321" s="1" t="s">
        <v>63</v>
      </c>
      <c r="AK321" s="1" t="s">
        <v>3650</v>
      </c>
      <c r="AL321" s="1" t="s">
        <v>3651</v>
      </c>
      <c r="AM321" s="11" t="str">
        <f>VLOOKUP(N321,Sheet3!$B$4:$C$10,2,1)</f>
        <v>41-50</v>
      </c>
      <c r="AN321" s="12" t="str">
        <f>VLOOKUP(Z321,Sheet3!$F$4:$G$10,2,1)</f>
        <v>11-20</v>
      </c>
      <c r="AO321" s="5" t="str">
        <f>VLOOKUP(AA321,Sheet3!$I$3:$J$16,2,1)</f>
        <v>100000-120000</v>
      </c>
      <c r="AP321" s="5" t="str">
        <f>VLOOKUP(AB321,Sheet3!$L$4:$M$14,2,1)</f>
        <v>26% - 30%</v>
      </c>
    </row>
    <row r="322">
      <c r="A322" s="6">
        <v>690117.0</v>
      </c>
      <c r="B322" s="1" t="s">
        <v>66</v>
      </c>
      <c r="C322" s="1" t="s">
        <v>3652</v>
      </c>
      <c r="D322" s="1" t="s">
        <v>389</v>
      </c>
      <c r="E322" s="1" t="s">
        <v>3653</v>
      </c>
      <c r="F322" s="1" t="s">
        <v>70</v>
      </c>
      <c r="G322" s="1" t="s">
        <v>3654</v>
      </c>
      <c r="H322" s="1" t="s">
        <v>1395</v>
      </c>
      <c r="I322" s="1" t="s">
        <v>3655</v>
      </c>
      <c r="J322" s="1" t="s">
        <v>3656</v>
      </c>
      <c r="K322" s="1" t="s">
        <v>2491</v>
      </c>
      <c r="L322" s="9">
        <v>32045.0</v>
      </c>
      <c r="M322" s="8">
        <v>0.6371296296296296</v>
      </c>
      <c r="N322" s="6">
        <v>29.86</v>
      </c>
      <c r="O322" s="6">
        <v>60.0</v>
      </c>
      <c r="P322" s="9">
        <v>42418.0</v>
      </c>
      <c r="Q322" s="1" t="s">
        <v>96</v>
      </c>
      <c r="R322" s="1" t="s">
        <v>76</v>
      </c>
      <c r="S322" s="6">
        <v>2016.0</v>
      </c>
      <c r="T322" s="6">
        <v>2.0</v>
      </c>
      <c r="U322" s="1" t="s">
        <v>117</v>
      </c>
      <c r="V322" s="1" t="s">
        <v>118</v>
      </c>
      <c r="W322" s="6">
        <v>18.0</v>
      </c>
      <c r="X322" s="1" t="s">
        <v>150</v>
      </c>
      <c r="Y322" s="1" t="s">
        <v>151</v>
      </c>
      <c r="Z322" s="6">
        <v>1.44</v>
      </c>
      <c r="AA322" s="6">
        <v>170570.0</v>
      </c>
      <c r="AB322" s="10">
        <v>0.29</v>
      </c>
      <c r="AC322" s="1" t="s">
        <v>3657</v>
      </c>
      <c r="AD322" s="1" t="s">
        <v>3658</v>
      </c>
      <c r="AE322" s="1" t="s">
        <v>1492</v>
      </c>
      <c r="AF322" s="1" t="s">
        <v>1492</v>
      </c>
      <c r="AG322" s="1" t="s">
        <v>1492</v>
      </c>
      <c r="AH322" s="1" t="s">
        <v>488</v>
      </c>
      <c r="AI322" s="6">
        <v>34241.0</v>
      </c>
      <c r="AJ322" s="1" t="s">
        <v>106</v>
      </c>
      <c r="AK322" s="1" t="s">
        <v>3659</v>
      </c>
      <c r="AL322" s="1" t="s">
        <v>3660</v>
      </c>
      <c r="AM322" s="11" t="str">
        <f>VLOOKUP(N322,Sheet3!$B$4:$C$10,2,1)</f>
        <v>21-30</v>
      </c>
      <c r="AN322" s="13" t="str">
        <f>VLOOKUP(Z322,Sheet3!$F$4:$G$10,2,1)</f>
        <v>&lt; 5</v>
      </c>
      <c r="AO322" s="5" t="str">
        <f>VLOOKUP(AA322,Sheet3!$I$3:$J$16,2,1)</f>
        <v>160000-180000</v>
      </c>
      <c r="AP322" s="5" t="str">
        <f>VLOOKUP(AB322,Sheet3!$L$4:$M$14,2,1)</f>
        <v>26% - 30%</v>
      </c>
    </row>
    <row r="323">
      <c r="A323" s="6">
        <v>149844.0</v>
      </c>
      <c r="B323" s="1" t="s">
        <v>109</v>
      </c>
      <c r="C323" s="1" t="s">
        <v>3661</v>
      </c>
      <c r="D323" s="1" t="s">
        <v>554</v>
      </c>
      <c r="E323" s="1" t="s">
        <v>1759</v>
      </c>
      <c r="F323" s="1" t="s">
        <v>46</v>
      </c>
      <c r="G323" s="1" t="s">
        <v>3662</v>
      </c>
      <c r="H323" s="1" t="s">
        <v>1395</v>
      </c>
      <c r="I323" s="1" t="s">
        <v>3663</v>
      </c>
      <c r="J323" s="1" t="s">
        <v>3664</v>
      </c>
      <c r="K323" s="1" t="s">
        <v>3492</v>
      </c>
      <c r="L323" s="14">
        <v>30328.0</v>
      </c>
      <c r="M323" s="8">
        <v>0.6547337962962962</v>
      </c>
      <c r="N323" s="6">
        <v>34.56</v>
      </c>
      <c r="O323" s="6">
        <v>40.0</v>
      </c>
      <c r="P323" s="14">
        <v>41062.0</v>
      </c>
      <c r="Q323" s="1" t="s">
        <v>75</v>
      </c>
      <c r="R323" s="1" t="s">
        <v>76</v>
      </c>
      <c r="S323" s="6">
        <v>2012.0</v>
      </c>
      <c r="T323" s="6">
        <v>6.0</v>
      </c>
      <c r="U323" s="1" t="s">
        <v>324</v>
      </c>
      <c r="V323" s="1" t="s">
        <v>325</v>
      </c>
      <c r="W323" s="6">
        <v>2.0</v>
      </c>
      <c r="X323" s="1" t="s">
        <v>56</v>
      </c>
      <c r="Y323" s="1" t="s">
        <v>57</v>
      </c>
      <c r="Z323" s="6">
        <v>5.16</v>
      </c>
      <c r="AA323" s="6">
        <v>169176.0</v>
      </c>
      <c r="AB323" s="10">
        <v>0.2</v>
      </c>
      <c r="AC323" s="1" t="s">
        <v>3665</v>
      </c>
      <c r="AD323" s="1" t="s">
        <v>3666</v>
      </c>
      <c r="AE323" s="1" t="s">
        <v>3667</v>
      </c>
      <c r="AF323" s="1" t="s">
        <v>3668</v>
      </c>
      <c r="AG323" s="1" t="s">
        <v>3667</v>
      </c>
      <c r="AH323" s="1" t="s">
        <v>356</v>
      </c>
      <c r="AI323" s="6">
        <v>11741.0</v>
      </c>
      <c r="AJ323" s="1" t="s">
        <v>224</v>
      </c>
      <c r="AK323" s="1" t="s">
        <v>3669</v>
      </c>
      <c r="AL323" s="1" t="s">
        <v>3670</v>
      </c>
      <c r="AM323" s="11" t="str">
        <f>VLOOKUP(N323,Sheet3!$B$4:$C$10,2,1)</f>
        <v>31-40</v>
      </c>
      <c r="AN323" s="12" t="str">
        <f>VLOOKUP(Z323,Sheet3!$F$4:$G$10,2,1)</f>
        <v>5-10</v>
      </c>
      <c r="AO323" s="5" t="str">
        <f>VLOOKUP(AA323,Sheet3!$I$3:$J$16,2,1)</f>
        <v>160000-180000</v>
      </c>
      <c r="AP323" s="5" t="str">
        <f>VLOOKUP(AB323,Sheet3!$L$4:$M$14,2,1)</f>
        <v>16% - 20%</v>
      </c>
    </row>
    <row r="324">
      <c r="A324" s="6">
        <v>116530.0</v>
      </c>
      <c r="B324" s="1" t="s">
        <v>89</v>
      </c>
      <c r="C324" s="1" t="s">
        <v>3671</v>
      </c>
      <c r="D324" s="1" t="s">
        <v>1300</v>
      </c>
      <c r="E324" s="1" t="s">
        <v>989</v>
      </c>
      <c r="F324" s="1" t="s">
        <v>46</v>
      </c>
      <c r="G324" s="1" t="s">
        <v>3672</v>
      </c>
      <c r="H324" s="1" t="s">
        <v>1395</v>
      </c>
      <c r="I324" s="1" t="s">
        <v>3673</v>
      </c>
      <c r="J324" s="1" t="s">
        <v>3674</v>
      </c>
      <c r="K324" s="1" t="s">
        <v>1145</v>
      </c>
      <c r="L324" s="14">
        <v>23408.0</v>
      </c>
      <c r="M324" s="8">
        <v>0.6053935185185185</v>
      </c>
      <c r="N324" s="6">
        <v>53.52</v>
      </c>
      <c r="O324" s="6">
        <v>41.0</v>
      </c>
      <c r="P324" s="9">
        <v>32466.0</v>
      </c>
      <c r="Q324" s="1" t="s">
        <v>52</v>
      </c>
      <c r="R324" s="1" t="s">
        <v>53</v>
      </c>
      <c r="S324" s="6">
        <v>1988.0</v>
      </c>
      <c r="T324" s="6">
        <v>11.0</v>
      </c>
      <c r="U324" s="1" t="s">
        <v>148</v>
      </c>
      <c r="V324" s="1" t="s">
        <v>149</v>
      </c>
      <c r="W324" s="6">
        <v>19.0</v>
      </c>
      <c r="X324" s="1" t="s">
        <v>56</v>
      </c>
      <c r="Y324" s="1" t="s">
        <v>57</v>
      </c>
      <c r="Z324" s="6">
        <v>28.71</v>
      </c>
      <c r="AA324" s="6">
        <v>190616.0</v>
      </c>
      <c r="AB324" s="10">
        <v>0.01</v>
      </c>
      <c r="AC324" s="1" t="s">
        <v>3675</v>
      </c>
      <c r="AD324" s="1" t="s">
        <v>3676</v>
      </c>
      <c r="AE324" s="1" t="s">
        <v>3677</v>
      </c>
      <c r="AF324" s="1" t="s">
        <v>3677</v>
      </c>
      <c r="AG324" s="1" t="s">
        <v>3677</v>
      </c>
      <c r="AH324" s="1" t="s">
        <v>1638</v>
      </c>
      <c r="AI324" s="6">
        <v>57229.0</v>
      </c>
      <c r="AJ324" s="1" t="s">
        <v>86</v>
      </c>
      <c r="AK324" s="1" t="s">
        <v>3678</v>
      </c>
      <c r="AL324" s="1" t="s">
        <v>3679</v>
      </c>
      <c r="AM324" s="11" t="str">
        <f>VLOOKUP(N324,Sheet3!$B$4:$C$10,2,1)</f>
        <v>51-60</v>
      </c>
      <c r="AN324" s="13" t="str">
        <f>VLOOKUP(Z324,Sheet3!$F$4:$G$10,2,1)</f>
        <v>21-30</v>
      </c>
      <c r="AO324" s="5" t="str">
        <f>VLOOKUP(AA324,Sheet3!$I$3:$J$16,2,1)</f>
        <v>180000-200000</v>
      </c>
      <c r="AP324" s="5" t="str">
        <f>VLOOKUP(AB324,Sheet3!$L$4:$M$14,2,1)</f>
        <v>&lt; 5%</v>
      </c>
    </row>
    <row r="325">
      <c r="A325" s="6">
        <v>234429.0</v>
      </c>
      <c r="B325" s="1" t="s">
        <v>42</v>
      </c>
      <c r="C325" s="1" t="s">
        <v>3680</v>
      </c>
      <c r="D325" s="1" t="s">
        <v>360</v>
      </c>
      <c r="E325" s="1" t="s">
        <v>1934</v>
      </c>
      <c r="F325" s="1" t="s">
        <v>46</v>
      </c>
      <c r="G325" s="1" t="s">
        <v>3681</v>
      </c>
      <c r="H325" s="1" t="s">
        <v>1395</v>
      </c>
      <c r="I325" s="1" t="s">
        <v>3682</v>
      </c>
      <c r="J325" s="1" t="s">
        <v>3683</v>
      </c>
      <c r="K325" s="1" t="s">
        <v>3684</v>
      </c>
      <c r="L325" s="9">
        <v>30737.0</v>
      </c>
      <c r="M325" s="8">
        <v>0.5793171296296297</v>
      </c>
      <c r="N325" s="6">
        <v>33.44</v>
      </c>
      <c r="O325" s="6">
        <v>56.0</v>
      </c>
      <c r="P325" s="9">
        <v>39199.0</v>
      </c>
      <c r="Q325" s="1" t="s">
        <v>75</v>
      </c>
      <c r="R325" s="1" t="s">
        <v>76</v>
      </c>
      <c r="S325" s="6">
        <v>2007.0</v>
      </c>
      <c r="T325" s="6">
        <v>4.0</v>
      </c>
      <c r="U325" s="1" t="s">
        <v>77</v>
      </c>
      <c r="V325" s="1" t="s">
        <v>78</v>
      </c>
      <c r="W325" s="6">
        <v>27.0</v>
      </c>
      <c r="X325" s="1" t="s">
        <v>263</v>
      </c>
      <c r="Y325" s="1" t="s">
        <v>264</v>
      </c>
      <c r="Z325" s="6">
        <v>10.26</v>
      </c>
      <c r="AA325" s="6">
        <v>144528.0</v>
      </c>
      <c r="AB325" s="10">
        <v>0.23</v>
      </c>
      <c r="AC325" s="1" t="s">
        <v>3685</v>
      </c>
      <c r="AD325" s="1" t="s">
        <v>3686</v>
      </c>
      <c r="AE325" s="1" t="s">
        <v>3687</v>
      </c>
      <c r="AF325" s="1" t="s">
        <v>221</v>
      </c>
      <c r="AG325" s="1" t="s">
        <v>3687</v>
      </c>
      <c r="AH325" s="1" t="s">
        <v>223</v>
      </c>
      <c r="AI325" s="6">
        <v>19401.0</v>
      </c>
      <c r="AJ325" s="1" t="s">
        <v>224</v>
      </c>
      <c r="AK325" s="1" t="s">
        <v>3688</v>
      </c>
      <c r="AL325" s="1" t="s">
        <v>3689</v>
      </c>
      <c r="AM325" s="11" t="str">
        <f>VLOOKUP(N325,Sheet3!$B$4:$C$10,2,1)</f>
        <v>31-40</v>
      </c>
      <c r="AN325" s="12" t="str">
        <f>VLOOKUP(Z325,Sheet3!$F$4:$G$10,2,1)</f>
        <v>5-10</v>
      </c>
      <c r="AO325" s="5" t="str">
        <f>VLOOKUP(AA325,Sheet3!$I$3:$J$16,2,1)</f>
        <v>140000-160000</v>
      </c>
      <c r="AP325" s="5" t="str">
        <f>VLOOKUP(AB325,Sheet3!$L$4:$M$14,2,1)</f>
        <v>21% - 25%</v>
      </c>
    </row>
    <row r="326">
      <c r="A326" s="6">
        <v>437970.0</v>
      </c>
      <c r="B326" s="1" t="s">
        <v>125</v>
      </c>
      <c r="C326" s="1" t="s">
        <v>3690</v>
      </c>
      <c r="D326" s="1" t="s">
        <v>443</v>
      </c>
      <c r="E326" s="1" t="s">
        <v>3691</v>
      </c>
      <c r="F326" s="1" t="s">
        <v>70</v>
      </c>
      <c r="G326" s="1" t="s">
        <v>3692</v>
      </c>
      <c r="H326" s="1" t="s">
        <v>1395</v>
      </c>
      <c r="I326" s="1" t="s">
        <v>3693</v>
      </c>
      <c r="J326" s="1" t="s">
        <v>3694</v>
      </c>
      <c r="K326" s="1" t="s">
        <v>2423</v>
      </c>
      <c r="L326" s="9">
        <v>32768.0</v>
      </c>
      <c r="M326" s="8">
        <v>0.6758333333333333</v>
      </c>
      <c r="N326" s="6">
        <v>27.88</v>
      </c>
      <c r="O326" s="6">
        <v>66.0</v>
      </c>
      <c r="P326" s="14">
        <v>41491.0</v>
      </c>
      <c r="Q326" s="1" t="s">
        <v>308</v>
      </c>
      <c r="R326" s="1" t="s">
        <v>53</v>
      </c>
      <c r="S326" s="6">
        <v>2013.0</v>
      </c>
      <c r="T326" s="6">
        <v>8.0</v>
      </c>
      <c r="U326" s="1" t="s">
        <v>433</v>
      </c>
      <c r="V326" s="1" t="s">
        <v>434</v>
      </c>
      <c r="W326" s="6">
        <v>5.0</v>
      </c>
      <c r="X326" s="1" t="s">
        <v>99</v>
      </c>
      <c r="Y326" s="1" t="s">
        <v>100</v>
      </c>
      <c r="Z326" s="6">
        <v>3.98</v>
      </c>
      <c r="AA326" s="6">
        <v>178094.0</v>
      </c>
      <c r="AB326" s="10">
        <v>0.19</v>
      </c>
      <c r="AC326" s="1" t="s">
        <v>3695</v>
      </c>
      <c r="AD326" s="1" t="s">
        <v>3696</v>
      </c>
      <c r="AE326" s="1" t="s">
        <v>3642</v>
      </c>
      <c r="AF326" s="1" t="s">
        <v>3697</v>
      </c>
      <c r="AG326" s="1" t="s">
        <v>3642</v>
      </c>
      <c r="AH326" s="1" t="s">
        <v>284</v>
      </c>
      <c r="AI326" s="6">
        <v>50276.0</v>
      </c>
      <c r="AJ326" s="1" t="s">
        <v>86</v>
      </c>
      <c r="AK326" s="1" t="s">
        <v>3698</v>
      </c>
      <c r="AL326" s="1" t="s">
        <v>3699</v>
      </c>
      <c r="AM326" s="11" t="str">
        <f>VLOOKUP(N326,Sheet3!$B$4:$C$10,2,1)</f>
        <v>21-30</v>
      </c>
      <c r="AN326" s="13" t="str">
        <f>VLOOKUP(Z326,Sheet3!$F$4:$G$10,2,1)</f>
        <v>&lt; 5</v>
      </c>
      <c r="AO326" s="5" t="str">
        <f>VLOOKUP(AA326,Sheet3!$I$3:$J$16,2,1)</f>
        <v>160000-180000</v>
      </c>
      <c r="AP326" s="5" t="str">
        <f>VLOOKUP(AB326,Sheet3!$L$4:$M$14,2,1)</f>
        <v>16% - 20%</v>
      </c>
    </row>
    <row r="327">
      <c r="A327" s="6">
        <v>766745.0</v>
      </c>
      <c r="B327" s="1" t="s">
        <v>125</v>
      </c>
      <c r="C327" s="1" t="s">
        <v>3700</v>
      </c>
      <c r="D327" s="1" t="s">
        <v>1663</v>
      </c>
      <c r="E327" s="1" t="s">
        <v>2816</v>
      </c>
      <c r="F327" s="1" t="s">
        <v>46</v>
      </c>
      <c r="G327" s="1" t="s">
        <v>3701</v>
      </c>
      <c r="H327" s="1" t="s">
        <v>1395</v>
      </c>
      <c r="I327" s="1" t="s">
        <v>3702</v>
      </c>
      <c r="J327" s="1" t="s">
        <v>3703</v>
      </c>
      <c r="K327" s="1" t="s">
        <v>3128</v>
      </c>
      <c r="L327" s="9">
        <v>23730.0</v>
      </c>
      <c r="M327" s="8">
        <v>0.5258912037037037</v>
      </c>
      <c r="N327" s="6">
        <v>52.64</v>
      </c>
      <c r="O327" s="6">
        <v>47.0</v>
      </c>
      <c r="P327" s="9">
        <v>38806.0</v>
      </c>
      <c r="Q327" s="1" t="s">
        <v>96</v>
      </c>
      <c r="R327" s="1" t="s">
        <v>76</v>
      </c>
      <c r="S327" s="6">
        <v>2006.0</v>
      </c>
      <c r="T327" s="6">
        <v>3.0</v>
      </c>
      <c r="U327" s="1" t="s">
        <v>97</v>
      </c>
      <c r="V327" s="1" t="s">
        <v>98</v>
      </c>
      <c r="W327" s="6">
        <v>30.0</v>
      </c>
      <c r="X327" s="1" t="s">
        <v>150</v>
      </c>
      <c r="Y327" s="1" t="s">
        <v>151</v>
      </c>
      <c r="Z327" s="6">
        <v>11.34</v>
      </c>
      <c r="AA327" s="6">
        <v>61487.0</v>
      </c>
      <c r="AB327" s="10">
        <v>0.3</v>
      </c>
      <c r="AC327" s="1" t="s">
        <v>3704</v>
      </c>
      <c r="AD327" s="1" t="s">
        <v>3705</v>
      </c>
      <c r="AE327" s="1" t="s">
        <v>3706</v>
      </c>
      <c r="AF327" s="1" t="s">
        <v>3707</v>
      </c>
      <c r="AG327" s="1" t="s">
        <v>3706</v>
      </c>
      <c r="AH327" s="1" t="s">
        <v>974</v>
      </c>
      <c r="AI327" s="6">
        <v>45253.0</v>
      </c>
      <c r="AJ327" s="1" t="s">
        <v>86</v>
      </c>
      <c r="AK327" s="1" t="s">
        <v>3708</v>
      </c>
      <c r="AL327" s="1" t="s">
        <v>3709</v>
      </c>
      <c r="AM327" s="11" t="str">
        <f>VLOOKUP(N327,Sheet3!$B$4:$C$10,2,1)</f>
        <v>51-60</v>
      </c>
      <c r="AN327" s="12" t="str">
        <f>VLOOKUP(Z327,Sheet3!$F$4:$G$10,2,1)</f>
        <v>11-20</v>
      </c>
      <c r="AO327" s="5" t="str">
        <f>VLOOKUP(AA327,Sheet3!$I$3:$J$16,2,1)</f>
        <v>60000-80000</v>
      </c>
      <c r="AP327" s="5" t="str">
        <f>VLOOKUP(AB327,Sheet3!$L$4:$M$14,2,1)</f>
        <v>26% - 30%</v>
      </c>
    </row>
    <row r="328">
      <c r="A328" s="6">
        <v>684446.0</v>
      </c>
      <c r="B328" s="1" t="s">
        <v>66</v>
      </c>
      <c r="C328" s="1" t="s">
        <v>3710</v>
      </c>
      <c r="D328" s="1" t="s">
        <v>186</v>
      </c>
      <c r="E328" s="1" t="s">
        <v>3711</v>
      </c>
      <c r="F328" s="1" t="s">
        <v>70</v>
      </c>
      <c r="G328" s="1" t="s">
        <v>3712</v>
      </c>
      <c r="H328" s="1" t="s">
        <v>1395</v>
      </c>
      <c r="I328" s="1" t="s">
        <v>3713</v>
      </c>
      <c r="J328" s="1" t="s">
        <v>3714</v>
      </c>
      <c r="K328" s="1" t="s">
        <v>1023</v>
      </c>
      <c r="L328" s="9">
        <v>31101.0</v>
      </c>
      <c r="M328" s="8">
        <v>0.31625</v>
      </c>
      <c r="N328" s="6">
        <v>32.45</v>
      </c>
      <c r="O328" s="6">
        <v>83.0</v>
      </c>
      <c r="P328" s="14">
        <v>39511.0</v>
      </c>
      <c r="Q328" s="1" t="s">
        <v>96</v>
      </c>
      <c r="R328" s="1" t="s">
        <v>76</v>
      </c>
      <c r="S328" s="6">
        <v>2008.0</v>
      </c>
      <c r="T328" s="6">
        <v>3.0</v>
      </c>
      <c r="U328" s="1" t="s">
        <v>97</v>
      </c>
      <c r="V328" s="1" t="s">
        <v>98</v>
      </c>
      <c r="W328" s="6">
        <v>4.0</v>
      </c>
      <c r="X328" s="1" t="s">
        <v>79</v>
      </c>
      <c r="Y328" s="1" t="s">
        <v>80</v>
      </c>
      <c r="Z328" s="6">
        <v>9.41</v>
      </c>
      <c r="AA328" s="6">
        <v>169032.0</v>
      </c>
      <c r="AB328" s="10">
        <v>0.04</v>
      </c>
      <c r="AC328" s="1" t="s">
        <v>3715</v>
      </c>
      <c r="AD328" s="1" t="s">
        <v>3716</v>
      </c>
      <c r="AE328" s="1" t="s">
        <v>3717</v>
      </c>
      <c r="AF328" s="1" t="s">
        <v>3718</v>
      </c>
      <c r="AG328" s="1" t="s">
        <v>3717</v>
      </c>
      <c r="AH328" s="1" t="s">
        <v>238</v>
      </c>
      <c r="AI328" s="6">
        <v>96076.0</v>
      </c>
      <c r="AJ328" s="1" t="s">
        <v>63</v>
      </c>
      <c r="AK328" s="1" t="s">
        <v>3719</v>
      </c>
      <c r="AL328" s="1" t="s">
        <v>3720</v>
      </c>
      <c r="AM328" s="11" t="str">
        <f>VLOOKUP(N328,Sheet3!$B$4:$C$10,2,1)</f>
        <v>31-40</v>
      </c>
      <c r="AN328" s="12" t="str">
        <f>VLOOKUP(Z328,Sheet3!$F$4:$G$10,2,1)</f>
        <v>5-10</v>
      </c>
      <c r="AO328" s="5" t="str">
        <f>VLOOKUP(AA328,Sheet3!$I$3:$J$16,2,1)</f>
        <v>160000-180000</v>
      </c>
      <c r="AP328" s="5" t="str">
        <f>VLOOKUP(AB328,Sheet3!$L$4:$M$14,2,1)</f>
        <v>&lt; 5%</v>
      </c>
    </row>
    <row r="329">
      <c r="A329" s="6">
        <v>385932.0</v>
      </c>
      <c r="B329" s="1" t="s">
        <v>42</v>
      </c>
      <c r="C329" s="1" t="s">
        <v>3721</v>
      </c>
      <c r="D329" s="1" t="s">
        <v>70</v>
      </c>
      <c r="E329" s="1" t="s">
        <v>3158</v>
      </c>
      <c r="F329" s="1" t="s">
        <v>46</v>
      </c>
      <c r="G329" s="1" t="s">
        <v>3722</v>
      </c>
      <c r="H329" s="1" t="s">
        <v>1395</v>
      </c>
      <c r="I329" s="1" t="s">
        <v>3723</v>
      </c>
      <c r="J329" s="1" t="s">
        <v>3724</v>
      </c>
      <c r="K329" s="1" t="s">
        <v>3725</v>
      </c>
      <c r="L329" s="9">
        <v>34592.0</v>
      </c>
      <c r="M329" s="8">
        <v>0.9490162037037037</v>
      </c>
      <c r="N329" s="6">
        <v>22.88</v>
      </c>
      <c r="O329" s="6">
        <v>47.0</v>
      </c>
      <c r="P329" s="9">
        <v>42602.0</v>
      </c>
      <c r="Q329" s="1" t="s">
        <v>308</v>
      </c>
      <c r="R329" s="1" t="s">
        <v>53</v>
      </c>
      <c r="S329" s="6">
        <v>2016.0</v>
      </c>
      <c r="T329" s="6">
        <v>8.0</v>
      </c>
      <c r="U329" s="1" t="s">
        <v>433</v>
      </c>
      <c r="V329" s="1" t="s">
        <v>434</v>
      </c>
      <c r="W329" s="6">
        <v>20.0</v>
      </c>
      <c r="X329" s="1" t="s">
        <v>56</v>
      </c>
      <c r="Y329" s="1" t="s">
        <v>57</v>
      </c>
      <c r="Z329" s="6">
        <v>0.94</v>
      </c>
      <c r="AA329" s="6">
        <v>163224.0</v>
      </c>
      <c r="AB329" s="10">
        <v>0.12</v>
      </c>
      <c r="AC329" s="1" t="s">
        <v>3726</v>
      </c>
      <c r="AD329" s="1" t="s">
        <v>3727</v>
      </c>
      <c r="AE329" s="1" t="s">
        <v>3728</v>
      </c>
      <c r="AF329" s="1" t="s">
        <v>3729</v>
      </c>
      <c r="AG329" s="1" t="s">
        <v>3728</v>
      </c>
      <c r="AH329" s="1" t="s">
        <v>105</v>
      </c>
      <c r="AI329" s="6">
        <v>41743.0</v>
      </c>
      <c r="AJ329" s="1" t="s">
        <v>106</v>
      </c>
      <c r="AK329" s="1" t="s">
        <v>3730</v>
      </c>
      <c r="AL329" s="1" t="s">
        <v>3731</v>
      </c>
      <c r="AM329" s="11" t="str">
        <f>VLOOKUP(N329,Sheet3!$B$4:$C$10,2,1)</f>
        <v>21-30</v>
      </c>
      <c r="AN329" s="13" t="str">
        <f>VLOOKUP(Z329,Sheet3!$F$4:$G$10,2,1)</f>
        <v>&lt; 5</v>
      </c>
      <c r="AO329" s="5" t="str">
        <f>VLOOKUP(AA329,Sheet3!$I$3:$J$16,2,1)</f>
        <v>160000-180000</v>
      </c>
      <c r="AP329" s="5" t="str">
        <f>VLOOKUP(AB329,Sheet3!$L$4:$M$14,2,1)</f>
        <v>11% - 15%</v>
      </c>
    </row>
    <row r="330">
      <c r="A330" s="6">
        <v>862150.0</v>
      </c>
      <c r="B330" s="1" t="s">
        <v>125</v>
      </c>
      <c r="C330" s="1" t="s">
        <v>256</v>
      </c>
      <c r="D330" s="1" t="s">
        <v>416</v>
      </c>
      <c r="E330" s="1" t="s">
        <v>3732</v>
      </c>
      <c r="F330" s="1" t="s">
        <v>70</v>
      </c>
      <c r="G330" s="1" t="s">
        <v>3733</v>
      </c>
      <c r="H330" s="1" t="s">
        <v>1395</v>
      </c>
      <c r="I330" s="1" t="s">
        <v>3734</v>
      </c>
      <c r="J330" s="1" t="s">
        <v>3735</v>
      </c>
      <c r="K330" s="1" t="s">
        <v>3736</v>
      </c>
      <c r="L330" s="14">
        <v>34218.0</v>
      </c>
      <c r="M330" s="8">
        <v>0.3894212962962963</v>
      </c>
      <c r="N330" s="6">
        <v>23.91</v>
      </c>
      <c r="O330" s="6">
        <v>89.0</v>
      </c>
      <c r="P330" s="9">
        <v>42274.0</v>
      </c>
      <c r="Q330" s="1" t="s">
        <v>308</v>
      </c>
      <c r="R330" s="1" t="s">
        <v>53</v>
      </c>
      <c r="S330" s="6">
        <v>2015.0</v>
      </c>
      <c r="T330" s="6">
        <v>9.0</v>
      </c>
      <c r="U330" s="1" t="s">
        <v>309</v>
      </c>
      <c r="V330" s="1" t="s">
        <v>310</v>
      </c>
      <c r="W330" s="6">
        <v>27.0</v>
      </c>
      <c r="X330" s="1" t="s">
        <v>534</v>
      </c>
      <c r="Y330" s="1" t="s">
        <v>535</v>
      </c>
      <c r="Z330" s="6">
        <v>1.84</v>
      </c>
      <c r="AA330" s="6">
        <v>140169.0</v>
      </c>
      <c r="AB330" s="10">
        <v>0.05</v>
      </c>
      <c r="AC330" s="1" t="s">
        <v>3737</v>
      </c>
      <c r="AD330" s="1" t="s">
        <v>3738</v>
      </c>
      <c r="AE330" s="1" t="s">
        <v>3739</v>
      </c>
      <c r="AF330" s="1" t="s">
        <v>3740</v>
      </c>
      <c r="AG330" s="1" t="s">
        <v>3739</v>
      </c>
      <c r="AH330" s="1" t="s">
        <v>2274</v>
      </c>
      <c r="AI330" s="6">
        <v>19967.0</v>
      </c>
      <c r="AJ330" s="1" t="s">
        <v>106</v>
      </c>
      <c r="AK330" s="1" t="s">
        <v>3741</v>
      </c>
      <c r="AL330" s="1" t="s">
        <v>3742</v>
      </c>
      <c r="AM330" s="11" t="str">
        <f>VLOOKUP(N330,Sheet3!$B$4:$C$10,2,1)</f>
        <v>21-30</v>
      </c>
      <c r="AN330" s="13" t="str">
        <f>VLOOKUP(Z330,Sheet3!$F$4:$G$10,2,1)</f>
        <v>&lt; 5</v>
      </c>
      <c r="AO330" s="5" t="str">
        <f>VLOOKUP(AA330,Sheet3!$I$3:$J$16,2,1)</f>
        <v>140000-160000</v>
      </c>
      <c r="AP330" s="5" t="str">
        <f>VLOOKUP(AB330,Sheet3!$L$4:$M$14,2,1)</f>
        <v>5% - 10%</v>
      </c>
    </row>
    <row r="331">
      <c r="A331" s="6">
        <v>635915.0</v>
      </c>
      <c r="B331" s="1" t="s">
        <v>42</v>
      </c>
      <c r="C331" s="1" t="s">
        <v>3743</v>
      </c>
      <c r="D331" s="1" t="s">
        <v>466</v>
      </c>
      <c r="E331" s="1" t="s">
        <v>3744</v>
      </c>
      <c r="F331" s="1" t="s">
        <v>46</v>
      </c>
      <c r="G331" s="1" t="s">
        <v>3745</v>
      </c>
      <c r="H331" s="1" t="s">
        <v>1395</v>
      </c>
      <c r="I331" s="1" t="s">
        <v>3746</v>
      </c>
      <c r="J331" s="1" t="s">
        <v>3747</v>
      </c>
      <c r="K331" s="1" t="s">
        <v>1123</v>
      </c>
      <c r="L331" s="9">
        <v>22336.0</v>
      </c>
      <c r="M331" s="8">
        <v>0.9539699074074074</v>
      </c>
      <c r="N331" s="6">
        <v>56.46</v>
      </c>
      <c r="O331" s="6">
        <v>50.0</v>
      </c>
      <c r="P331" s="9">
        <v>32684.0</v>
      </c>
      <c r="Q331" s="1" t="s">
        <v>75</v>
      </c>
      <c r="R331" s="1" t="s">
        <v>76</v>
      </c>
      <c r="S331" s="6">
        <v>1989.0</v>
      </c>
      <c r="T331" s="6">
        <v>6.0</v>
      </c>
      <c r="U331" s="1" t="s">
        <v>324</v>
      </c>
      <c r="V331" s="1" t="s">
        <v>325</v>
      </c>
      <c r="W331" s="6">
        <v>25.0</v>
      </c>
      <c r="X331" s="1" t="s">
        <v>534</v>
      </c>
      <c r="Y331" s="1" t="s">
        <v>535</v>
      </c>
      <c r="Z331" s="6">
        <v>28.11</v>
      </c>
      <c r="AA331" s="6">
        <v>160770.0</v>
      </c>
      <c r="AB331" s="10">
        <v>0.11</v>
      </c>
      <c r="AC331" s="1" t="s">
        <v>3748</v>
      </c>
      <c r="AD331" s="1" t="s">
        <v>3749</v>
      </c>
      <c r="AE331" s="1" t="s">
        <v>3750</v>
      </c>
      <c r="AF331" s="1" t="s">
        <v>3751</v>
      </c>
      <c r="AG331" s="1" t="s">
        <v>3750</v>
      </c>
      <c r="AH331" s="1" t="s">
        <v>893</v>
      </c>
      <c r="AI331" s="6">
        <v>27320.0</v>
      </c>
      <c r="AJ331" s="1" t="s">
        <v>106</v>
      </c>
      <c r="AK331" s="1" t="s">
        <v>3752</v>
      </c>
      <c r="AL331" s="1" t="s">
        <v>3753</v>
      </c>
      <c r="AM331" s="11" t="str">
        <f>VLOOKUP(N331,Sheet3!$B$4:$C$10,2,1)</f>
        <v>51-60</v>
      </c>
      <c r="AN331" s="13" t="str">
        <f>VLOOKUP(Z331,Sheet3!$F$4:$G$10,2,1)</f>
        <v>21-30</v>
      </c>
      <c r="AO331" s="5" t="str">
        <f>VLOOKUP(AA331,Sheet3!$I$3:$J$16,2,1)</f>
        <v>160000-180000</v>
      </c>
      <c r="AP331" s="5" t="str">
        <f>VLOOKUP(AB331,Sheet3!$L$4:$M$14,2,1)</f>
        <v>11% - 15%</v>
      </c>
    </row>
    <row r="332">
      <c r="A332" s="6">
        <v>540696.0</v>
      </c>
      <c r="B332" s="1" t="s">
        <v>255</v>
      </c>
      <c r="C332" s="1" t="s">
        <v>3754</v>
      </c>
      <c r="D332" s="1" t="s">
        <v>403</v>
      </c>
      <c r="E332" s="1" t="s">
        <v>3335</v>
      </c>
      <c r="F332" s="1" t="s">
        <v>70</v>
      </c>
      <c r="G332" s="1" t="s">
        <v>3755</v>
      </c>
      <c r="H332" s="1" t="s">
        <v>1395</v>
      </c>
      <c r="I332" s="1" t="s">
        <v>3756</v>
      </c>
      <c r="J332" s="1" t="s">
        <v>3757</v>
      </c>
      <c r="K332" s="1" t="s">
        <v>707</v>
      </c>
      <c r="L332" s="9">
        <v>30919.0</v>
      </c>
      <c r="M332" s="8">
        <v>0.08204861111111111</v>
      </c>
      <c r="N332" s="6">
        <v>32.95</v>
      </c>
      <c r="O332" s="6">
        <v>86.0</v>
      </c>
      <c r="P332" s="9">
        <v>41481.0</v>
      </c>
      <c r="Q332" s="1" t="s">
        <v>308</v>
      </c>
      <c r="R332" s="1" t="s">
        <v>53</v>
      </c>
      <c r="S332" s="6">
        <v>2013.0</v>
      </c>
      <c r="T332" s="6">
        <v>7.0</v>
      </c>
      <c r="U332" s="1" t="s">
        <v>366</v>
      </c>
      <c r="V332" s="1" t="s">
        <v>367</v>
      </c>
      <c r="W332" s="6">
        <v>26.0</v>
      </c>
      <c r="X332" s="1" t="s">
        <v>263</v>
      </c>
      <c r="Y332" s="1" t="s">
        <v>264</v>
      </c>
      <c r="Z332" s="6">
        <v>4.01</v>
      </c>
      <c r="AA332" s="6">
        <v>114661.0</v>
      </c>
      <c r="AB332" s="10">
        <v>0.13</v>
      </c>
      <c r="AC332" s="1" t="s">
        <v>3758</v>
      </c>
      <c r="AD332" s="1" t="s">
        <v>3759</v>
      </c>
      <c r="AE332" s="1" t="s">
        <v>3760</v>
      </c>
      <c r="AF332" s="1" t="s">
        <v>2039</v>
      </c>
      <c r="AG332" s="1" t="s">
        <v>3760</v>
      </c>
      <c r="AH332" s="1" t="s">
        <v>105</v>
      </c>
      <c r="AI332" s="6">
        <v>40144.0</v>
      </c>
      <c r="AJ332" s="1" t="s">
        <v>106</v>
      </c>
      <c r="AK332" s="1" t="s">
        <v>3761</v>
      </c>
      <c r="AL332" s="1" t="s">
        <v>3762</v>
      </c>
      <c r="AM332" s="11" t="str">
        <f>VLOOKUP(N332,Sheet3!$B$4:$C$10,2,1)</f>
        <v>31-40</v>
      </c>
      <c r="AN332" s="13" t="str">
        <f>VLOOKUP(Z332,Sheet3!$F$4:$G$10,2,1)</f>
        <v>&lt; 5</v>
      </c>
      <c r="AO332" s="5" t="str">
        <f>VLOOKUP(AA332,Sheet3!$I$3:$J$16,2,1)</f>
        <v>100000-120000</v>
      </c>
      <c r="AP332" s="5" t="str">
        <f>VLOOKUP(AB332,Sheet3!$L$4:$M$14,2,1)</f>
        <v>11% - 15%</v>
      </c>
    </row>
    <row r="333">
      <c r="A333" s="6">
        <v>870351.0</v>
      </c>
      <c r="B333" s="1" t="s">
        <v>66</v>
      </c>
      <c r="C333" s="1" t="s">
        <v>3763</v>
      </c>
      <c r="D333" s="1" t="s">
        <v>111</v>
      </c>
      <c r="E333" s="1" t="s">
        <v>1686</v>
      </c>
      <c r="F333" s="1" t="s">
        <v>70</v>
      </c>
      <c r="G333" s="1" t="s">
        <v>3764</v>
      </c>
      <c r="H333" s="1" t="s">
        <v>1395</v>
      </c>
      <c r="I333" s="1" t="s">
        <v>3765</v>
      </c>
      <c r="J333" s="1" t="s">
        <v>3766</v>
      </c>
      <c r="K333" s="1" t="s">
        <v>1833</v>
      </c>
      <c r="L333" s="7">
        <v>30295.0</v>
      </c>
      <c r="M333" s="8">
        <v>0.8502314814814815</v>
      </c>
      <c r="N333" s="6">
        <v>34.65</v>
      </c>
      <c r="O333" s="6">
        <v>60.0</v>
      </c>
      <c r="P333" s="9">
        <v>40142.0</v>
      </c>
      <c r="Q333" s="1" t="s">
        <v>52</v>
      </c>
      <c r="R333" s="1" t="s">
        <v>53</v>
      </c>
      <c r="S333" s="6">
        <v>2009.0</v>
      </c>
      <c r="T333" s="6">
        <v>11.0</v>
      </c>
      <c r="U333" s="1" t="s">
        <v>148</v>
      </c>
      <c r="V333" s="1" t="s">
        <v>149</v>
      </c>
      <c r="W333" s="6">
        <v>25.0</v>
      </c>
      <c r="X333" s="1" t="s">
        <v>278</v>
      </c>
      <c r="Y333" s="1" t="s">
        <v>279</v>
      </c>
      <c r="Z333" s="6">
        <v>7.68</v>
      </c>
      <c r="AA333" s="6">
        <v>115908.0</v>
      </c>
      <c r="AB333" s="10">
        <v>0.2</v>
      </c>
      <c r="AC333" s="1" t="s">
        <v>3767</v>
      </c>
      <c r="AD333" s="1" t="s">
        <v>3768</v>
      </c>
      <c r="AE333" s="1" t="s">
        <v>2880</v>
      </c>
      <c r="AF333" s="1" t="s">
        <v>1560</v>
      </c>
      <c r="AG333" s="1" t="s">
        <v>2880</v>
      </c>
      <c r="AH333" s="1" t="s">
        <v>284</v>
      </c>
      <c r="AI333" s="6">
        <v>50478.0</v>
      </c>
      <c r="AJ333" s="1" t="s">
        <v>86</v>
      </c>
      <c r="AK333" s="1" t="s">
        <v>3769</v>
      </c>
      <c r="AL333" s="1" t="s">
        <v>3770</v>
      </c>
      <c r="AM333" s="11" t="str">
        <f>VLOOKUP(N333,Sheet3!$B$4:$C$10,2,1)</f>
        <v>31-40</v>
      </c>
      <c r="AN333" s="12" t="str">
        <f>VLOOKUP(Z333,Sheet3!$F$4:$G$10,2,1)</f>
        <v>5-10</v>
      </c>
      <c r="AO333" s="5" t="str">
        <f>VLOOKUP(AA333,Sheet3!$I$3:$J$16,2,1)</f>
        <v>100000-120000</v>
      </c>
      <c r="AP333" s="5" t="str">
        <f>VLOOKUP(AB333,Sheet3!$L$4:$M$14,2,1)</f>
        <v>16% - 20%</v>
      </c>
    </row>
    <row r="334">
      <c r="A334" s="6">
        <v>360498.0</v>
      </c>
      <c r="B334" s="1" t="s">
        <v>42</v>
      </c>
      <c r="C334" s="1" t="s">
        <v>3771</v>
      </c>
      <c r="D334" s="1" t="s">
        <v>288</v>
      </c>
      <c r="E334" s="1" t="s">
        <v>3347</v>
      </c>
      <c r="F334" s="1" t="s">
        <v>46</v>
      </c>
      <c r="G334" s="1" t="s">
        <v>3772</v>
      </c>
      <c r="H334" s="1" t="s">
        <v>1395</v>
      </c>
      <c r="I334" s="1" t="s">
        <v>3773</v>
      </c>
      <c r="J334" s="1" t="s">
        <v>3774</v>
      </c>
      <c r="K334" s="1" t="s">
        <v>3775</v>
      </c>
      <c r="L334" s="14">
        <v>28589.0</v>
      </c>
      <c r="M334" s="8">
        <v>0.049375</v>
      </c>
      <c r="N334" s="6">
        <v>39.33</v>
      </c>
      <c r="O334" s="6">
        <v>52.0</v>
      </c>
      <c r="P334" s="9">
        <v>41758.0</v>
      </c>
      <c r="Q334" s="1" t="s">
        <v>75</v>
      </c>
      <c r="R334" s="1" t="s">
        <v>76</v>
      </c>
      <c r="S334" s="6">
        <v>2014.0</v>
      </c>
      <c r="T334" s="6">
        <v>4.0</v>
      </c>
      <c r="U334" s="1" t="s">
        <v>77</v>
      </c>
      <c r="V334" s="1" t="s">
        <v>78</v>
      </c>
      <c r="W334" s="6">
        <v>29.0</v>
      </c>
      <c r="X334" s="1" t="s">
        <v>79</v>
      </c>
      <c r="Y334" s="1" t="s">
        <v>80</v>
      </c>
      <c r="Z334" s="6">
        <v>3.25</v>
      </c>
      <c r="AA334" s="6">
        <v>153407.0</v>
      </c>
      <c r="AB334" s="10">
        <v>0.17</v>
      </c>
      <c r="AC334" s="1" t="s">
        <v>3776</v>
      </c>
      <c r="AD334" s="1" t="s">
        <v>3777</v>
      </c>
      <c r="AE334" s="1" t="s">
        <v>3778</v>
      </c>
      <c r="AF334" s="1" t="s">
        <v>679</v>
      </c>
      <c r="AG334" s="1" t="s">
        <v>3778</v>
      </c>
      <c r="AH334" s="1" t="s">
        <v>439</v>
      </c>
      <c r="AI334" s="6">
        <v>4920.0</v>
      </c>
      <c r="AJ334" s="1" t="s">
        <v>224</v>
      </c>
      <c r="AK334" s="1" t="s">
        <v>3779</v>
      </c>
      <c r="AL334" s="1" t="s">
        <v>3780</v>
      </c>
      <c r="AM334" s="11" t="str">
        <f>VLOOKUP(N334,Sheet3!$B$4:$C$10,2,1)</f>
        <v>31-40</v>
      </c>
      <c r="AN334" s="13" t="str">
        <f>VLOOKUP(Z334,Sheet3!$F$4:$G$10,2,1)</f>
        <v>&lt; 5</v>
      </c>
      <c r="AO334" s="5" t="str">
        <f>VLOOKUP(AA334,Sheet3!$I$3:$J$16,2,1)</f>
        <v>140000-160000</v>
      </c>
      <c r="AP334" s="5" t="str">
        <f>VLOOKUP(AB334,Sheet3!$L$4:$M$14,2,1)</f>
        <v>16% - 20%</v>
      </c>
    </row>
    <row r="335">
      <c r="A335" s="6">
        <v>397164.0</v>
      </c>
      <c r="B335" s="1" t="s">
        <v>109</v>
      </c>
      <c r="C335" s="1" t="s">
        <v>3781</v>
      </c>
      <c r="D335" s="1" t="s">
        <v>46</v>
      </c>
      <c r="E335" s="1" t="s">
        <v>2869</v>
      </c>
      <c r="F335" s="1" t="s">
        <v>46</v>
      </c>
      <c r="G335" s="1" t="s">
        <v>3782</v>
      </c>
      <c r="H335" s="1" t="s">
        <v>1395</v>
      </c>
      <c r="I335" s="1" t="s">
        <v>3783</v>
      </c>
      <c r="J335" s="1" t="s">
        <v>3784</v>
      </c>
      <c r="K335" s="1" t="s">
        <v>3785</v>
      </c>
      <c r="L335" s="14">
        <v>27072.0</v>
      </c>
      <c r="M335" s="8">
        <v>0.9782407407407407</v>
      </c>
      <c r="N335" s="6">
        <v>43.48</v>
      </c>
      <c r="O335" s="6">
        <v>46.0</v>
      </c>
      <c r="P335" s="9">
        <v>39841.0</v>
      </c>
      <c r="Q335" s="1" t="s">
        <v>96</v>
      </c>
      <c r="R335" s="1" t="s">
        <v>76</v>
      </c>
      <c r="S335" s="6">
        <v>2009.0</v>
      </c>
      <c r="T335" s="6">
        <v>1.0</v>
      </c>
      <c r="U335" s="1" t="s">
        <v>276</v>
      </c>
      <c r="V335" s="1" t="s">
        <v>277</v>
      </c>
      <c r="W335" s="6">
        <v>28.0</v>
      </c>
      <c r="X335" s="1" t="s">
        <v>278</v>
      </c>
      <c r="Y335" s="1" t="s">
        <v>279</v>
      </c>
      <c r="Z335" s="6">
        <v>8.5</v>
      </c>
      <c r="AA335" s="6">
        <v>67189.0</v>
      </c>
      <c r="AB335" s="10">
        <v>0.0</v>
      </c>
      <c r="AC335" s="1" t="s">
        <v>3786</v>
      </c>
      <c r="AD335" s="1" t="s">
        <v>3787</v>
      </c>
      <c r="AE335" s="1" t="s">
        <v>3788</v>
      </c>
      <c r="AF335" s="1" t="s">
        <v>3789</v>
      </c>
      <c r="AG335" s="1" t="s">
        <v>3788</v>
      </c>
      <c r="AH335" s="1" t="s">
        <v>169</v>
      </c>
      <c r="AI335" s="6">
        <v>76179.0</v>
      </c>
      <c r="AJ335" s="1" t="s">
        <v>106</v>
      </c>
      <c r="AK335" s="1" t="s">
        <v>3790</v>
      </c>
      <c r="AL335" s="1" t="s">
        <v>3791</v>
      </c>
      <c r="AM335" s="11" t="str">
        <f>VLOOKUP(N335,Sheet3!$B$4:$C$10,2,1)</f>
        <v>41-50</v>
      </c>
      <c r="AN335" s="12" t="str">
        <f>VLOOKUP(Z335,Sheet3!$F$4:$G$10,2,1)</f>
        <v>5-10</v>
      </c>
      <c r="AO335" s="5" t="str">
        <f>VLOOKUP(AA335,Sheet3!$I$3:$J$16,2,1)</f>
        <v>60000-80000</v>
      </c>
      <c r="AP335" s="5" t="str">
        <f>VLOOKUP(AB335,Sheet3!$L$4:$M$14,2,1)</f>
        <v>&lt; 5%</v>
      </c>
    </row>
    <row r="336">
      <c r="A336" s="6">
        <v>488068.0</v>
      </c>
      <c r="B336" s="1" t="s">
        <v>109</v>
      </c>
      <c r="C336" s="1" t="s">
        <v>3792</v>
      </c>
      <c r="D336" s="1" t="s">
        <v>1663</v>
      </c>
      <c r="E336" s="1" t="s">
        <v>3793</v>
      </c>
      <c r="F336" s="1" t="s">
        <v>46</v>
      </c>
      <c r="G336" s="1" t="s">
        <v>3794</v>
      </c>
      <c r="H336" s="1" t="s">
        <v>1395</v>
      </c>
      <c r="I336" s="1" t="s">
        <v>3795</v>
      </c>
      <c r="J336" s="1" t="s">
        <v>3796</v>
      </c>
      <c r="K336" s="1" t="s">
        <v>3797</v>
      </c>
      <c r="L336" s="9">
        <v>31181.0</v>
      </c>
      <c r="M336" s="8">
        <v>0.8552662037037037</v>
      </c>
      <c r="N336" s="6">
        <v>32.23</v>
      </c>
      <c r="O336" s="6">
        <v>52.0</v>
      </c>
      <c r="P336" s="9">
        <v>40168.0</v>
      </c>
      <c r="Q336" s="1" t="s">
        <v>52</v>
      </c>
      <c r="R336" s="1" t="s">
        <v>53</v>
      </c>
      <c r="S336" s="6">
        <v>2009.0</v>
      </c>
      <c r="T336" s="6">
        <v>12.0</v>
      </c>
      <c r="U336" s="1" t="s">
        <v>54</v>
      </c>
      <c r="V336" s="1" t="s">
        <v>55</v>
      </c>
      <c r="W336" s="6">
        <v>21.0</v>
      </c>
      <c r="X336" s="1" t="s">
        <v>99</v>
      </c>
      <c r="Y336" s="1" t="s">
        <v>100</v>
      </c>
      <c r="Z336" s="6">
        <v>7.61</v>
      </c>
      <c r="AA336" s="6">
        <v>117004.0</v>
      </c>
      <c r="AB336" s="10">
        <v>0.09</v>
      </c>
      <c r="AC336" s="1" t="s">
        <v>3798</v>
      </c>
      <c r="AD336" s="1" t="s">
        <v>3799</v>
      </c>
      <c r="AE336" s="1" t="s">
        <v>3800</v>
      </c>
      <c r="AF336" s="1" t="s">
        <v>1814</v>
      </c>
      <c r="AG336" s="1" t="s">
        <v>3800</v>
      </c>
      <c r="AH336" s="1" t="s">
        <v>439</v>
      </c>
      <c r="AI336" s="6">
        <v>4738.0</v>
      </c>
      <c r="AJ336" s="1" t="s">
        <v>224</v>
      </c>
      <c r="AK336" s="1" t="s">
        <v>3801</v>
      </c>
      <c r="AL336" s="1" t="s">
        <v>3802</v>
      </c>
      <c r="AM336" s="11" t="str">
        <f>VLOOKUP(N336,Sheet3!$B$4:$C$10,2,1)</f>
        <v>31-40</v>
      </c>
      <c r="AN336" s="12" t="str">
        <f>VLOOKUP(Z336,Sheet3!$F$4:$G$10,2,1)</f>
        <v>5-10</v>
      </c>
      <c r="AO336" s="5" t="str">
        <f>VLOOKUP(AA336,Sheet3!$I$3:$J$16,2,1)</f>
        <v>100000-120000</v>
      </c>
      <c r="AP336" s="5" t="str">
        <f>VLOOKUP(AB336,Sheet3!$L$4:$M$14,2,1)</f>
        <v>5% - 10%</v>
      </c>
    </row>
    <row r="337">
      <c r="A337" s="6">
        <v>890432.0</v>
      </c>
      <c r="B337" s="1" t="s">
        <v>109</v>
      </c>
      <c r="C337" s="1" t="s">
        <v>3803</v>
      </c>
      <c r="D337" s="1" t="s">
        <v>1663</v>
      </c>
      <c r="E337" s="1" t="s">
        <v>1535</v>
      </c>
      <c r="F337" s="1" t="s">
        <v>46</v>
      </c>
      <c r="G337" s="1" t="s">
        <v>3804</v>
      </c>
      <c r="H337" s="1" t="s">
        <v>1395</v>
      </c>
      <c r="I337" s="1" t="s">
        <v>3805</v>
      </c>
      <c r="J337" s="1" t="s">
        <v>3806</v>
      </c>
      <c r="K337" s="1" t="s">
        <v>3807</v>
      </c>
      <c r="L337" s="9">
        <v>21550.0</v>
      </c>
      <c r="M337" s="8">
        <v>0.9052199074074074</v>
      </c>
      <c r="N337" s="6">
        <v>58.61</v>
      </c>
      <c r="O337" s="6">
        <v>41.0</v>
      </c>
      <c r="P337" s="9">
        <v>38837.0</v>
      </c>
      <c r="Q337" s="1" t="s">
        <v>75</v>
      </c>
      <c r="R337" s="1" t="s">
        <v>76</v>
      </c>
      <c r="S337" s="6">
        <v>2006.0</v>
      </c>
      <c r="T337" s="6">
        <v>4.0</v>
      </c>
      <c r="U337" s="1" t="s">
        <v>77</v>
      </c>
      <c r="V337" s="1" t="s">
        <v>78</v>
      </c>
      <c r="W337" s="6">
        <v>30.0</v>
      </c>
      <c r="X337" s="1" t="s">
        <v>534</v>
      </c>
      <c r="Y337" s="1" t="s">
        <v>535</v>
      </c>
      <c r="Z337" s="6">
        <v>11.25</v>
      </c>
      <c r="AA337" s="6">
        <v>184073.0</v>
      </c>
      <c r="AB337" s="10">
        <v>0.3</v>
      </c>
      <c r="AC337" s="1" t="s">
        <v>3808</v>
      </c>
      <c r="AD337" s="1" t="s">
        <v>3809</v>
      </c>
      <c r="AE337" s="1" t="s">
        <v>164</v>
      </c>
      <c r="AF337" s="1" t="s">
        <v>164</v>
      </c>
      <c r="AG337" s="1" t="s">
        <v>164</v>
      </c>
      <c r="AH337" s="1" t="s">
        <v>105</v>
      </c>
      <c r="AI337" s="6">
        <v>41128.0</v>
      </c>
      <c r="AJ337" s="1" t="s">
        <v>106</v>
      </c>
      <c r="AK337" s="1" t="s">
        <v>3810</v>
      </c>
      <c r="AL337" s="1" t="s">
        <v>3811</v>
      </c>
      <c r="AM337" s="11" t="str">
        <f>VLOOKUP(N337,Sheet3!$B$4:$C$10,2,1)</f>
        <v>51-60</v>
      </c>
      <c r="AN337" s="12" t="str">
        <f>VLOOKUP(Z337,Sheet3!$F$4:$G$10,2,1)</f>
        <v>11-20</v>
      </c>
      <c r="AO337" s="5" t="str">
        <f>VLOOKUP(AA337,Sheet3!$I$3:$J$16,2,1)</f>
        <v>180000-200000</v>
      </c>
      <c r="AP337" s="5" t="str">
        <f>VLOOKUP(AB337,Sheet3!$L$4:$M$14,2,1)</f>
        <v>26% - 30%</v>
      </c>
    </row>
    <row r="338">
      <c r="A338" s="6">
        <v>935890.0</v>
      </c>
      <c r="B338" s="1" t="s">
        <v>125</v>
      </c>
      <c r="C338" s="1" t="s">
        <v>3812</v>
      </c>
      <c r="D338" s="1" t="s">
        <v>466</v>
      </c>
      <c r="E338" s="1" t="s">
        <v>3813</v>
      </c>
      <c r="F338" s="1" t="s">
        <v>46</v>
      </c>
      <c r="G338" s="1" t="s">
        <v>3814</v>
      </c>
      <c r="H338" s="1" t="s">
        <v>1395</v>
      </c>
      <c r="I338" s="1" t="s">
        <v>3815</v>
      </c>
      <c r="J338" s="1" t="s">
        <v>3816</v>
      </c>
      <c r="K338" s="1" t="s">
        <v>3793</v>
      </c>
      <c r="L338" s="9">
        <v>34988.0</v>
      </c>
      <c r="M338" s="8">
        <v>0.7588194444444445</v>
      </c>
      <c r="N338" s="6">
        <v>21.8</v>
      </c>
      <c r="O338" s="6">
        <v>44.0</v>
      </c>
      <c r="P338" s="9">
        <v>42728.0</v>
      </c>
      <c r="Q338" s="1" t="s">
        <v>52</v>
      </c>
      <c r="R338" s="1" t="s">
        <v>53</v>
      </c>
      <c r="S338" s="6">
        <v>2016.0</v>
      </c>
      <c r="T338" s="6">
        <v>12.0</v>
      </c>
      <c r="U338" s="1" t="s">
        <v>54</v>
      </c>
      <c r="V338" s="1" t="s">
        <v>55</v>
      </c>
      <c r="W338" s="6">
        <v>24.0</v>
      </c>
      <c r="X338" s="1" t="s">
        <v>56</v>
      </c>
      <c r="Y338" s="1" t="s">
        <v>57</v>
      </c>
      <c r="Z338" s="6">
        <v>0.59</v>
      </c>
      <c r="AA338" s="6">
        <v>83325.0</v>
      </c>
      <c r="AB338" s="10">
        <v>0.29</v>
      </c>
      <c r="AC338" s="1" t="s">
        <v>3817</v>
      </c>
      <c r="AD338" s="1" t="s">
        <v>3818</v>
      </c>
      <c r="AE338" s="1" t="s">
        <v>3819</v>
      </c>
      <c r="AF338" s="1" t="s">
        <v>993</v>
      </c>
      <c r="AG338" s="1" t="s">
        <v>3819</v>
      </c>
      <c r="AH338" s="1" t="s">
        <v>196</v>
      </c>
      <c r="AI338" s="6">
        <v>38056.0</v>
      </c>
      <c r="AJ338" s="1" t="s">
        <v>106</v>
      </c>
      <c r="AK338" s="1" t="s">
        <v>3820</v>
      </c>
      <c r="AL338" s="1" t="s">
        <v>3821</v>
      </c>
      <c r="AM338" s="11" t="str">
        <f>VLOOKUP(N338,Sheet3!$B$4:$C$10,2,1)</f>
        <v>21-30</v>
      </c>
      <c r="AN338" s="13" t="str">
        <f>VLOOKUP(Z338,Sheet3!$F$4:$G$10,2,1)</f>
        <v>&lt; 5</v>
      </c>
      <c r="AO338" s="5" t="str">
        <f>VLOOKUP(AA338,Sheet3!$I$3:$J$16,2,1)</f>
        <v>80000-100000</v>
      </c>
      <c r="AP338" s="5" t="str">
        <f>VLOOKUP(AB338,Sheet3!$L$4:$M$14,2,1)</f>
        <v>26% - 30%</v>
      </c>
    </row>
    <row r="339">
      <c r="A339" s="6">
        <v>541867.0</v>
      </c>
      <c r="B339" s="1" t="s">
        <v>42</v>
      </c>
      <c r="C339" s="1" t="s">
        <v>3822</v>
      </c>
      <c r="D339" s="1" t="s">
        <v>200</v>
      </c>
      <c r="E339" s="1" t="s">
        <v>3823</v>
      </c>
      <c r="F339" s="1" t="s">
        <v>46</v>
      </c>
      <c r="G339" s="1" t="s">
        <v>3824</v>
      </c>
      <c r="H339" s="1" t="s">
        <v>1395</v>
      </c>
      <c r="I339" s="1" t="s">
        <v>3825</v>
      </c>
      <c r="J339" s="1" t="s">
        <v>3826</v>
      </c>
      <c r="K339" s="1" t="s">
        <v>218</v>
      </c>
      <c r="L339" s="14">
        <v>24849.0</v>
      </c>
      <c r="M339" s="8">
        <v>0.01173611111111111</v>
      </c>
      <c r="N339" s="6">
        <v>49.58</v>
      </c>
      <c r="O339" s="6">
        <v>42.0</v>
      </c>
      <c r="P339" s="9">
        <v>34013.0</v>
      </c>
      <c r="Q339" s="1" t="s">
        <v>96</v>
      </c>
      <c r="R339" s="1" t="s">
        <v>76</v>
      </c>
      <c r="S339" s="6">
        <v>1993.0</v>
      </c>
      <c r="T339" s="6">
        <v>2.0</v>
      </c>
      <c r="U339" s="1" t="s">
        <v>117</v>
      </c>
      <c r="V339" s="1" t="s">
        <v>118</v>
      </c>
      <c r="W339" s="6">
        <v>13.0</v>
      </c>
      <c r="X339" s="1" t="s">
        <v>56</v>
      </c>
      <c r="Y339" s="1" t="s">
        <v>57</v>
      </c>
      <c r="Z339" s="6">
        <v>24.47</v>
      </c>
      <c r="AA339" s="6">
        <v>74192.0</v>
      </c>
      <c r="AB339" s="10">
        <v>0.25</v>
      </c>
      <c r="AC339" s="1" t="s">
        <v>3827</v>
      </c>
      <c r="AD339" s="1" t="s">
        <v>3828</v>
      </c>
      <c r="AE339" s="1" t="s">
        <v>3829</v>
      </c>
      <c r="AF339" s="1" t="s">
        <v>3829</v>
      </c>
      <c r="AG339" s="1" t="s">
        <v>3829</v>
      </c>
      <c r="AH339" s="1" t="s">
        <v>238</v>
      </c>
      <c r="AI339" s="6">
        <v>92408.0</v>
      </c>
      <c r="AJ339" s="1" t="s">
        <v>63</v>
      </c>
      <c r="AK339" s="1" t="s">
        <v>3830</v>
      </c>
      <c r="AL339" s="1" t="s">
        <v>3831</v>
      </c>
      <c r="AM339" s="11" t="str">
        <f>VLOOKUP(N339,Sheet3!$B$4:$C$10,2,1)</f>
        <v>41-50</v>
      </c>
      <c r="AN339" s="13" t="str">
        <f>VLOOKUP(Z339,Sheet3!$F$4:$G$10,2,1)</f>
        <v>21-30</v>
      </c>
      <c r="AO339" s="5" t="str">
        <f>VLOOKUP(AA339,Sheet3!$I$3:$J$16,2,1)</f>
        <v>60000-80000</v>
      </c>
      <c r="AP339" s="5" t="str">
        <f>VLOOKUP(AB339,Sheet3!$L$4:$M$14,2,1)</f>
        <v>21% - 25%</v>
      </c>
    </row>
    <row r="340">
      <c r="A340" s="6">
        <v>885774.0</v>
      </c>
      <c r="B340" s="1" t="s">
        <v>255</v>
      </c>
      <c r="C340" s="1" t="s">
        <v>2570</v>
      </c>
      <c r="D340" s="1" t="s">
        <v>389</v>
      </c>
      <c r="E340" s="1" t="s">
        <v>783</v>
      </c>
      <c r="F340" s="1" t="s">
        <v>70</v>
      </c>
      <c r="G340" s="1" t="s">
        <v>3832</v>
      </c>
      <c r="H340" s="1" t="s">
        <v>1395</v>
      </c>
      <c r="I340" s="1" t="s">
        <v>3833</v>
      </c>
      <c r="J340" s="1" t="s">
        <v>3834</v>
      </c>
      <c r="K340" s="1" t="s">
        <v>1565</v>
      </c>
      <c r="L340" s="14">
        <v>27975.0</v>
      </c>
      <c r="M340" s="8">
        <v>0.041493055555555554</v>
      </c>
      <c r="N340" s="6">
        <v>41.01</v>
      </c>
      <c r="O340" s="6">
        <v>64.0</v>
      </c>
      <c r="P340" s="14">
        <v>39125.0</v>
      </c>
      <c r="Q340" s="1" t="s">
        <v>96</v>
      </c>
      <c r="R340" s="1" t="s">
        <v>76</v>
      </c>
      <c r="S340" s="6">
        <v>2007.0</v>
      </c>
      <c r="T340" s="6">
        <v>2.0</v>
      </c>
      <c r="U340" s="1" t="s">
        <v>117</v>
      </c>
      <c r="V340" s="1" t="s">
        <v>118</v>
      </c>
      <c r="W340" s="6">
        <v>12.0</v>
      </c>
      <c r="X340" s="1" t="s">
        <v>99</v>
      </c>
      <c r="Y340" s="1" t="s">
        <v>100</v>
      </c>
      <c r="Z340" s="6">
        <v>10.46</v>
      </c>
      <c r="AA340" s="6">
        <v>105720.0</v>
      </c>
      <c r="AB340" s="10">
        <v>0.3</v>
      </c>
      <c r="AC340" s="1" t="s">
        <v>3835</v>
      </c>
      <c r="AD340" s="1" t="s">
        <v>3836</v>
      </c>
      <c r="AE340" s="1" t="s">
        <v>2905</v>
      </c>
      <c r="AF340" s="1" t="s">
        <v>283</v>
      </c>
      <c r="AG340" s="1" t="s">
        <v>2905</v>
      </c>
      <c r="AH340" s="1" t="s">
        <v>122</v>
      </c>
      <c r="AI340" s="6">
        <v>46298.0</v>
      </c>
      <c r="AJ340" s="1" t="s">
        <v>86</v>
      </c>
      <c r="AK340" s="1" t="s">
        <v>3837</v>
      </c>
      <c r="AL340" s="1" t="s">
        <v>3838</v>
      </c>
      <c r="AM340" s="11" t="str">
        <f>VLOOKUP(N340,Sheet3!$B$4:$C$10,2,1)</f>
        <v>41-50</v>
      </c>
      <c r="AN340" s="12" t="str">
        <f>VLOOKUP(Z340,Sheet3!$F$4:$G$10,2,1)</f>
        <v>5-10</v>
      </c>
      <c r="AO340" s="5" t="str">
        <f>VLOOKUP(AA340,Sheet3!$I$3:$J$16,2,1)</f>
        <v>100000-120000</v>
      </c>
      <c r="AP340" s="5" t="str">
        <f>VLOOKUP(AB340,Sheet3!$L$4:$M$14,2,1)</f>
        <v>26% - 30%</v>
      </c>
    </row>
    <row r="341">
      <c r="A341" s="6">
        <v>979649.0</v>
      </c>
      <c r="B341" s="1" t="s">
        <v>66</v>
      </c>
      <c r="C341" s="1" t="s">
        <v>3839</v>
      </c>
      <c r="D341" s="1" t="s">
        <v>389</v>
      </c>
      <c r="E341" s="1" t="s">
        <v>3840</v>
      </c>
      <c r="F341" s="1" t="s">
        <v>70</v>
      </c>
      <c r="G341" s="1" t="s">
        <v>3841</v>
      </c>
      <c r="H341" s="1" t="s">
        <v>1395</v>
      </c>
      <c r="I341" s="1" t="s">
        <v>3842</v>
      </c>
      <c r="J341" s="1" t="s">
        <v>3843</v>
      </c>
      <c r="K341" s="1" t="s">
        <v>1764</v>
      </c>
      <c r="L341" s="14">
        <v>30082.0</v>
      </c>
      <c r="M341" s="8">
        <v>0.5082175925925926</v>
      </c>
      <c r="N341" s="6">
        <v>35.24</v>
      </c>
      <c r="O341" s="6">
        <v>76.0</v>
      </c>
      <c r="P341" s="9">
        <v>38859.0</v>
      </c>
      <c r="Q341" s="1" t="s">
        <v>75</v>
      </c>
      <c r="R341" s="1" t="s">
        <v>76</v>
      </c>
      <c r="S341" s="6">
        <v>2006.0</v>
      </c>
      <c r="T341" s="6">
        <v>5.0</v>
      </c>
      <c r="U341" s="1" t="s">
        <v>294</v>
      </c>
      <c r="V341" s="1" t="s">
        <v>294</v>
      </c>
      <c r="W341" s="6">
        <v>22.0</v>
      </c>
      <c r="X341" s="1" t="s">
        <v>99</v>
      </c>
      <c r="Y341" s="1" t="s">
        <v>100</v>
      </c>
      <c r="Z341" s="6">
        <v>11.19</v>
      </c>
      <c r="AA341" s="6">
        <v>68745.0</v>
      </c>
      <c r="AB341" s="10">
        <v>0.16</v>
      </c>
      <c r="AC341" s="1" t="s">
        <v>3844</v>
      </c>
      <c r="AD341" s="1" t="s">
        <v>3845</v>
      </c>
      <c r="AE341" s="1" t="s">
        <v>3846</v>
      </c>
      <c r="AF341" s="1" t="s">
        <v>3847</v>
      </c>
      <c r="AG341" s="1" t="s">
        <v>3846</v>
      </c>
      <c r="AH341" s="1" t="s">
        <v>2274</v>
      </c>
      <c r="AI341" s="6">
        <v>19889.0</v>
      </c>
      <c r="AJ341" s="1" t="s">
        <v>106</v>
      </c>
      <c r="AK341" s="1" t="s">
        <v>3848</v>
      </c>
      <c r="AL341" s="1" t="s">
        <v>3849</v>
      </c>
      <c r="AM341" s="11" t="str">
        <f>VLOOKUP(N341,Sheet3!$B$4:$C$10,2,1)</f>
        <v>31-40</v>
      </c>
      <c r="AN341" s="12" t="str">
        <f>VLOOKUP(Z341,Sheet3!$F$4:$G$10,2,1)</f>
        <v>11-20</v>
      </c>
      <c r="AO341" s="5" t="str">
        <f>VLOOKUP(AA341,Sheet3!$I$3:$J$16,2,1)</f>
        <v>60000-80000</v>
      </c>
      <c r="AP341" s="5" t="str">
        <f>VLOOKUP(AB341,Sheet3!$L$4:$M$14,2,1)</f>
        <v>16% - 20%</v>
      </c>
    </row>
    <row r="342">
      <c r="A342" s="6">
        <v>599012.0</v>
      </c>
      <c r="B342" s="1" t="s">
        <v>109</v>
      </c>
      <c r="C342" s="1" t="s">
        <v>3850</v>
      </c>
      <c r="D342" s="1" t="s">
        <v>68</v>
      </c>
      <c r="E342" s="1" t="s">
        <v>1829</v>
      </c>
      <c r="F342" s="1" t="s">
        <v>46</v>
      </c>
      <c r="G342" s="1" t="s">
        <v>3851</v>
      </c>
      <c r="H342" s="1" t="s">
        <v>1395</v>
      </c>
      <c r="I342" s="1" t="s">
        <v>3852</v>
      </c>
      <c r="J342" s="1" t="s">
        <v>3853</v>
      </c>
      <c r="K342" s="1" t="s">
        <v>3854</v>
      </c>
      <c r="L342" s="9">
        <v>21143.0</v>
      </c>
      <c r="M342" s="8">
        <v>0.5200462962962963</v>
      </c>
      <c r="N342" s="6">
        <v>59.73</v>
      </c>
      <c r="O342" s="6">
        <v>58.0</v>
      </c>
      <c r="P342" s="14">
        <v>42588.0</v>
      </c>
      <c r="Q342" s="1" t="s">
        <v>308</v>
      </c>
      <c r="R342" s="1" t="s">
        <v>53</v>
      </c>
      <c r="S342" s="6">
        <v>2016.0</v>
      </c>
      <c r="T342" s="6">
        <v>8.0</v>
      </c>
      <c r="U342" s="1" t="s">
        <v>433</v>
      </c>
      <c r="V342" s="1" t="s">
        <v>434</v>
      </c>
      <c r="W342" s="6">
        <v>6.0</v>
      </c>
      <c r="X342" s="1" t="s">
        <v>56</v>
      </c>
      <c r="Y342" s="1" t="s">
        <v>57</v>
      </c>
      <c r="Z342" s="6">
        <v>0.98</v>
      </c>
      <c r="AA342" s="6">
        <v>116847.0</v>
      </c>
      <c r="AB342" s="10">
        <v>0.15</v>
      </c>
      <c r="AC342" s="1" t="s">
        <v>3855</v>
      </c>
      <c r="AD342" s="1" t="s">
        <v>3856</v>
      </c>
      <c r="AE342" s="1" t="s">
        <v>3857</v>
      </c>
      <c r="AF342" s="1" t="s">
        <v>3858</v>
      </c>
      <c r="AG342" s="1" t="s">
        <v>3857</v>
      </c>
      <c r="AH342" s="1" t="s">
        <v>882</v>
      </c>
      <c r="AI342" s="6">
        <v>31305.0</v>
      </c>
      <c r="AJ342" s="1" t="s">
        <v>106</v>
      </c>
      <c r="AK342" s="1" t="s">
        <v>3859</v>
      </c>
      <c r="AL342" s="1" t="s">
        <v>3860</v>
      </c>
      <c r="AM342" s="11" t="str">
        <f>VLOOKUP(N342,Sheet3!$B$4:$C$10,2,1)</f>
        <v>51-60</v>
      </c>
      <c r="AN342" s="13" t="str">
        <f>VLOOKUP(Z342,Sheet3!$F$4:$G$10,2,1)</f>
        <v>&lt; 5</v>
      </c>
      <c r="AO342" s="5" t="str">
        <f>VLOOKUP(AA342,Sheet3!$I$3:$J$16,2,1)</f>
        <v>100000-120000</v>
      </c>
      <c r="AP342" s="5" t="str">
        <f>VLOOKUP(AB342,Sheet3!$L$4:$M$14,2,1)</f>
        <v>11% - 15%</v>
      </c>
    </row>
    <row r="343">
      <c r="A343" s="6">
        <v>204626.0</v>
      </c>
      <c r="B343" s="1" t="s">
        <v>227</v>
      </c>
      <c r="C343" s="1" t="s">
        <v>3057</v>
      </c>
      <c r="D343" s="1" t="s">
        <v>529</v>
      </c>
      <c r="E343" s="1" t="s">
        <v>3861</v>
      </c>
      <c r="F343" s="1" t="s">
        <v>70</v>
      </c>
      <c r="G343" s="1" t="s">
        <v>3862</v>
      </c>
      <c r="H343" s="1" t="s">
        <v>1395</v>
      </c>
      <c r="I343" s="1" t="s">
        <v>3863</v>
      </c>
      <c r="J343" s="1" t="s">
        <v>3864</v>
      </c>
      <c r="K343" s="1" t="s">
        <v>3865</v>
      </c>
      <c r="L343" s="9">
        <v>24153.0</v>
      </c>
      <c r="M343" s="8">
        <v>0.2167013888888889</v>
      </c>
      <c r="N343" s="6">
        <v>51.48</v>
      </c>
      <c r="O343" s="6">
        <v>59.0</v>
      </c>
      <c r="P343" s="7">
        <v>37206.0</v>
      </c>
      <c r="Q343" s="1" t="s">
        <v>52</v>
      </c>
      <c r="R343" s="1" t="s">
        <v>53</v>
      </c>
      <c r="S343" s="6">
        <v>2001.0</v>
      </c>
      <c r="T343" s="6">
        <v>11.0</v>
      </c>
      <c r="U343" s="1" t="s">
        <v>148</v>
      </c>
      <c r="V343" s="1" t="s">
        <v>149</v>
      </c>
      <c r="W343" s="6">
        <v>11.0</v>
      </c>
      <c r="X343" s="1" t="s">
        <v>534</v>
      </c>
      <c r="Y343" s="1" t="s">
        <v>535</v>
      </c>
      <c r="Z343" s="6">
        <v>15.72</v>
      </c>
      <c r="AA343" s="6">
        <v>151009.0</v>
      </c>
      <c r="AB343" s="10">
        <v>0.21</v>
      </c>
      <c r="AC343" s="1" t="s">
        <v>3866</v>
      </c>
      <c r="AD343" s="1" t="s">
        <v>3867</v>
      </c>
      <c r="AE343" s="1" t="s">
        <v>3868</v>
      </c>
      <c r="AF343" s="1" t="s">
        <v>3869</v>
      </c>
      <c r="AG343" s="1" t="s">
        <v>3868</v>
      </c>
      <c r="AH343" s="1" t="s">
        <v>385</v>
      </c>
      <c r="AI343" s="6">
        <v>98013.0</v>
      </c>
      <c r="AJ343" s="1" t="s">
        <v>63</v>
      </c>
      <c r="AK343" s="1" t="s">
        <v>3870</v>
      </c>
      <c r="AL343" s="1" t="s">
        <v>3871</v>
      </c>
      <c r="AM343" s="11" t="str">
        <f>VLOOKUP(N343,Sheet3!$B$4:$C$10,2,1)</f>
        <v>51-60</v>
      </c>
      <c r="AN343" s="12" t="str">
        <f>VLOOKUP(Z343,Sheet3!$F$4:$G$10,2,1)</f>
        <v>11-20</v>
      </c>
      <c r="AO343" s="5" t="str">
        <f>VLOOKUP(AA343,Sheet3!$I$3:$J$16,2,1)</f>
        <v>140000-160000</v>
      </c>
      <c r="AP343" s="5" t="str">
        <f>VLOOKUP(AB343,Sheet3!$L$4:$M$14,2,1)</f>
        <v>21% - 25%</v>
      </c>
    </row>
    <row r="344">
      <c r="A344" s="6">
        <v>830006.0</v>
      </c>
      <c r="B344" s="1" t="s">
        <v>42</v>
      </c>
      <c r="C344" s="1" t="s">
        <v>3872</v>
      </c>
      <c r="D344" s="1" t="s">
        <v>70</v>
      </c>
      <c r="E344" s="1" t="s">
        <v>1119</v>
      </c>
      <c r="F344" s="1" t="s">
        <v>46</v>
      </c>
      <c r="G344" s="1" t="s">
        <v>3873</v>
      </c>
      <c r="H344" s="1" t="s">
        <v>1395</v>
      </c>
      <c r="I344" s="1" t="s">
        <v>3874</v>
      </c>
      <c r="J344" s="1" t="s">
        <v>3875</v>
      </c>
      <c r="K344" s="1" t="s">
        <v>3876</v>
      </c>
      <c r="L344" s="9">
        <v>26508.0</v>
      </c>
      <c r="M344" s="8">
        <v>0.4582523148148148</v>
      </c>
      <c r="N344" s="6">
        <v>45.03</v>
      </c>
      <c r="O344" s="6">
        <v>60.0</v>
      </c>
      <c r="P344" s="9">
        <v>38831.0</v>
      </c>
      <c r="Q344" s="1" t="s">
        <v>75</v>
      </c>
      <c r="R344" s="1" t="s">
        <v>76</v>
      </c>
      <c r="S344" s="6">
        <v>2006.0</v>
      </c>
      <c r="T344" s="6">
        <v>4.0</v>
      </c>
      <c r="U344" s="1" t="s">
        <v>77</v>
      </c>
      <c r="V344" s="1" t="s">
        <v>78</v>
      </c>
      <c r="W344" s="6">
        <v>24.0</v>
      </c>
      <c r="X344" s="1" t="s">
        <v>99</v>
      </c>
      <c r="Y344" s="1" t="s">
        <v>100</v>
      </c>
      <c r="Z344" s="6">
        <v>11.27</v>
      </c>
      <c r="AA344" s="6">
        <v>183123.0</v>
      </c>
      <c r="AB344" s="10">
        <v>0.03</v>
      </c>
      <c r="AC344" s="1" t="s">
        <v>3877</v>
      </c>
      <c r="AD344" s="1" t="s">
        <v>3878</v>
      </c>
      <c r="AE344" s="1" t="s">
        <v>3879</v>
      </c>
      <c r="AF344" s="1" t="s">
        <v>3880</v>
      </c>
      <c r="AG344" s="1" t="s">
        <v>3879</v>
      </c>
      <c r="AH344" s="1" t="s">
        <v>906</v>
      </c>
      <c r="AI344" s="6">
        <v>8724.0</v>
      </c>
      <c r="AJ344" s="1" t="s">
        <v>224</v>
      </c>
      <c r="AK344" s="1" t="s">
        <v>3881</v>
      </c>
      <c r="AL344" s="1" t="s">
        <v>3882</v>
      </c>
      <c r="AM344" s="11" t="str">
        <f>VLOOKUP(N344,Sheet3!$B$4:$C$10,2,1)</f>
        <v>41-50</v>
      </c>
      <c r="AN344" s="12" t="str">
        <f>VLOOKUP(Z344,Sheet3!$F$4:$G$10,2,1)</f>
        <v>11-20</v>
      </c>
      <c r="AO344" s="5" t="str">
        <f>VLOOKUP(AA344,Sheet3!$I$3:$J$16,2,1)</f>
        <v>180000-200000</v>
      </c>
      <c r="AP344" s="5" t="str">
        <f>VLOOKUP(AB344,Sheet3!$L$4:$M$14,2,1)</f>
        <v>&lt; 5%</v>
      </c>
    </row>
    <row r="345">
      <c r="A345" s="6">
        <v>127205.0</v>
      </c>
      <c r="B345" s="1" t="s">
        <v>109</v>
      </c>
      <c r="C345" s="1" t="s">
        <v>3883</v>
      </c>
      <c r="D345" s="1" t="s">
        <v>111</v>
      </c>
      <c r="E345" s="1" t="s">
        <v>1980</v>
      </c>
      <c r="F345" s="1" t="s">
        <v>46</v>
      </c>
      <c r="G345" s="1" t="s">
        <v>3884</v>
      </c>
      <c r="H345" s="1" t="s">
        <v>1395</v>
      </c>
      <c r="I345" s="1" t="s">
        <v>3885</v>
      </c>
      <c r="J345" s="1" t="s">
        <v>3886</v>
      </c>
      <c r="K345" s="1" t="s">
        <v>3887</v>
      </c>
      <c r="L345" s="14">
        <v>31567.0</v>
      </c>
      <c r="M345" s="8">
        <v>0.4315393518518518</v>
      </c>
      <c r="N345" s="6">
        <v>31.17</v>
      </c>
      <c r="O345" s="6">
        <v>40.0</v>
      </c>
      <c r="P345" s="9">
        <v>41469.0</v>
      </c>
      <c r="Q345" s="1" t="s">
        <v>308</v>
      </c>
      <c r="R345" s="1" t="s">
        <v>53</v>
      </c>
      <c r="S345" s="6">
        <v>2013.0</v>
      </c>
      <c r="T345" s="6">
        <v>7.0</v>
      </c>
      <c r="U345" s="1" t="s">
        <v>366</v>
      </c>
      <c r="V345" s="1" t="s">
        <v>367</v>
      </c>
      <c r="W345" s="6">
        <v>14.0</v>
      </c>
      <c r="X345" s="1" t="s">
        <v>534</v>
      </c>
      <c r="Y345" s="1" t="s">
        <v>535</v>
      </c>
      <c r="Z345" s="6">
        <v>4.04</v>
      </c>
      <c r="AA345" s="6">
        <v>72981.0</v>
      </c>
      <c r="AB345" s="10">
        <v>0.11</v>
      </c>
      <c r="AC345" s="1" t="s">
        <v>3888</v>
      </c>
      <c r="AD345" s="1" t="s">
        <v>3889</v>
      </c>
      <c r="AE345" s="1" t="s">
        <v>3890</v>
      </c>
      <c r="AF345" s="1" t="s">
        <v>635</v>
      </c>
      <c r="AG345" s="1" t="s">
        <v>3890</v>
      </c>
      <c r="AH345" s="1" t="s">
        <v>122</v>
      </c>
      <c r="AI345" s="6">
        <v>47458.0</v>
      </c>
      <c r="AJ345" s="1" t="s">
        <v>86</v>
      </c>
      <c r="AK345" s="1" t="s">
        <v>3891</v>
      </c>
      <c r="AL345" s="1" t="s">
        <v>3892</v>
      </c>
      <c r="AM345" s="11" t="str">
        <f>VLOOKUP(N345,Sheet3!$B$4:$C$10,2,1)</f>
        <v>31-40</v>
      </c>
      <c r="AN345" s="13" t="str">
        <f>VLOOKUP(Z345,Sheet3!$F$4:$G$10,2,1)</f>
        <v>&lt; 5</v>
      </c>
      <c r="AO345" s="5" t="str">
        <f>VLOOKUP(AA345,Sheet3!$I$3:$J$16,2,1)</f>
        <v>60000-80000</v>
      </c>
      <c r="AP345" s="5" t="str">
        <f>VLOOKUP(AB345,Sheet3!$L$4:$M$14,2,1)</f>
        <v>11% - 15%</v>
      </c>
    </row>
    <row r="346">
      <c r="A346" s="6">
        <v>215589.0</v>
      </c>
      <c r="B346" s="1" t="s">
        <v>42</v>
      </c>
      <c r="C346" s="1" t="s">
        <v>3893</v>
      </c>
      <c r="D346" s="1" t="s">
        <v>529</v>
      </c>
      <c r="E346" s="1" t="s">
        <v>3894</v>
      </c>
      <c r="F346" s="1" t="s">
        <v>46</v>
      </c>
      <c r="G346" s="1" t="s">
        <v>3895</v>
      </c>
      <c r="H346" s="1" t="s">
        <v>1395</v>
      </c>
      <c r="I346" s="1" t="s">
        <v>3896</v>
      </c>
      <c r="J346" s="1" t="s">
        <v>3897</v>
      </c>
      <c r="K346" s="1" t="s">
        <v>3898</v>
      </c>
      <c r="L346" s="9">
        <v>24401.0</v>
      </c>
      <c r="M346" s="8">
        <v>0.17024305555555555</v>
      </c>
      <c r="N346" s="6">
        <v>50.8</v>
      </c>
      <c r="O346" s="6">
        <v>60.0</v>
      </c>
      <c r="P346" s="14">
        <v>38626.0</v>
      </c>
      <c r="Q346" s="1" t="s">
        <v>52</v>
      </c>
      <c r="R346" s="1" t="s">
        <v>53</v>
      </c>
      <c r="S346" s="6">
        <v>2005.0</v>
      </c>
      <c r="T346" s="6">
        <v>10.0</v>
      </c>
      <c r="U346" s="1" t="s">
        <v>133</v>
      </c>
      <c r="V346" s="1" t="s">
        <v>134</v>
      </c>
      <c r="W346" s="6">
        <v>1.0</v>
      </c>
      <c r="X346" s="1" t="s">
        <v>56</v>
      </c>
      <c r="Y346" s="1" t="s">
        <v>57</v>
      </c>
      <c r="Z346" s="6">
        <v>11.83</v>
      </c>
      <c r="AA346" s="6">
        <v>74803.0</v>
      </c>
      <c r="AB346" s="10">
        <v>0.19</v>
      </c>
      <c r="AC346" s="1" t="s">
        <v>3899</v>
      </c>
      <c r="AD346" s="1" t="s">
        <v>3900</v>
      </c>
      <c r="AE346" s="1" t="s">
        <v>3901</v>
      </c>
      <c r="AF346" s="1" t="s">
        <v>3902</v>
      </c>
      <c r="AG346" s="1" t="s">
        <v>3901</v>
      </c>
      <c r="AH346" s="1" t="s">
        <v>1561</v>
      </c>
      <c r="AI346" s="6">
        <v>53931.0</v>
      </c>
      <c r="AJ346" s="1" t="s">
        <v>86</v>
      </c>
      <c r="AK346" s="1" t="s">
        <v>3903</v>
      </c>
      <c r="AL346" s="1" t="s">
        <v>3904</v>
      </c>
      <c r="AM346" s="11" t="str">
        <f>VLOOKUP(N346,Sheet3!$B$4:$C$10,2,1)</f>
        <v>41-50</v>
      </c>
      <c r="AN346" s="12" t="str">
        <f>VLOOKUP(Z346,Sheet3!$F$4:$G$10,2,1)</f>
        <v>11-20</v>
      </c>
      <c r="AO346" s="5" t="str">
        <f>VLOOKUP(AA346,Sheet3!$I$3:$J$16,2,1)</f>
        <v>60000-80000</v>
      </c>
      <c r="AP346" s="5" t="str">
        <f>VLOOKUP(AB346,Sheet3!$L$4:$M$14,2,1)</f>
        <v>16% - 20%</v>
      </c>
    </row>
    <row r="347">
      <c r="A347" s="6">
        <v>621606.0</v>
      </c>
      <c r="B347" s="1" t="s">
        <v>66</v>
      </c>
      <c r="C347" s="1" t="s">
        <v>3905</v>
      </c>
      <c r="D347" s="1" t="s">
        <v>554</v>
      </c>
      <c r="E347" s="1" t="s">
        <v>2550</v>
      </c>
      <c r="F347" s="1" t="s">
        <v>70</v>
      </c>
      <c r="G347" s="1" t="s">
        <v>3906</v>
      </c>
      <c r="H347" s="1" t="s">
        <v>1395</v>
      </c>
      <c r="I347" s="1" t="s">
        <v>3907</v>
      </c>
      <c r="J347" s="1" t="s">
        <v>3908</v>
      </c>
      <c r="K347" s="1" t="s">
        <v>1759</v>
      </c>
      <c r="L347" s="9">
        <v>33694.0</v>
      </c>
      <c r="M347" s="8">
        <v>0.901087962962963</v>
      </c>
      <c r="N347" s="6">
        <v>25.34</v>
      </c>
      <c r="O347" s="6">
        <v>67.0</v>
      </c>
      <c r="P347" s="9">
        <v>41847.0</v>
      </c>
      <c r="Q347" s="1" t="s">
        <v>308</v>
      </c>
      <c r="R347" s="1" t="s">
        <v>53</v>
      </c>
      <c r="S347" s="6">
        <v>2014.0</v>
      </c>
      <c r="T347" s="6">
        <v>7.0</v>
      </c>
      <c r="U347" s="1" t="s">
        <v>366</v>
      </c>
      <c r="V347" s="1" t="s">
        <v>367</v>
      </c>
      <c r="W347" s="6">
        <v>27.0</v>
      </c>
      <c r="X347" s="1" t="s">
        <v>534</v>
      </c>
      <c r="Y347" s="1" t="s">
        <v>535</v>
      </c>
      <c r="Z347" s="6">
        <v>3.01</v>
      </c>
      <c r="AA347" s="6">
        <v>85147.0</v>
      </c>
      <c r="AB347" s="10">
        <v>0.2</v>
      </c>
      <c r="AC347" s="1" t="s">
        <v>3909</v>
      </c>
      <c r="AD347" s="1" t="s">
        <v>3910</v>
      </c>
      <c r="AE347" s="1" t="s">
        <v>3911</v>
      </c>
      <c r="AF347" s="1" t="s">
        <v>3912</v>
      </c>
      <c r="AG347" s="1" t="s">
        <v>3911</v>
      </c>
      <c r="AH347" s="1" t="s">
        <v>299</v>
      </c>
      <c r="AI347" s="6">
        <v>73859.0</v>
      </c>
      <c r="AJ347" s="1" t="s">
        <v>106</v>
      </c>
      <c r="AK347" s="1" t="s">
        <v>3913</v>
      </c>
      <c r="AL347" s="1" t="s">
        <v>3914</v>
      </c>
      <c r="AM347" s="11" t="str">
        <f>VLOOKUP(N347,Sheet3!$B$4:$C$10,2,1)</f>
        <v>21-30</v>
      </c>
      <c r="AN347" s="13" t="str">
        <f>VLOOKUP(Z347,Sheet3!$F$4:$G$10,2,1)</f>
        <v>&lt; 5</v>
      </c>
      <c r="AO347" s="5" t="str">
        <f>VLOOKUP(AA347,Sheet3!$I$3:$J$16,2,1)</f>
        <v>80000-100000</v>
      </c>
      <c r="AP347" s="5" t="str">
        <f>VLOOKUP(AB347,Sheet3!$L$4:$M$14,2,1)</f>
        <v>16% - 20%</v>
      </c>
    </row>
    <row r="348">
      <c r="A348" s="6">
        <v>223379.0</v>
      </c>
      <c r="B348" s="1" t="s">
        <v>255</v>
      </c>
      <c r="C348" s="1" t="s">
        <v>256</v>
      </c>
      <c r="D348" s="1" t="s">
        <v>554</v>
      </c>
      <c r="E348" s="1" t="s">
        <v>1821</v>
      </c>
      <c r="F348" s="1" t="s">
        <v>70</v>
      </c>
      <c r="G348" s="1" t="s">
        <v>3915</v>
      </c>
      <c r="H348" s="1" t="s">
        <v>1395</v>
      </c>
      <c r="I348" s="1" t="s">
        <v>3916</v>
      </c>
      <c r="J348" s="1" t="s">
        <v>3917</v>
      </c>
      <c r="K348" s="1" t="s">
        <v>3918</v>
      </c>
      <c r="L348" s="9">
        <v>33986.0</v>
      </c>
      <c r="M348" s="8">
        <v>0.39207175925925924</v>
      </c>
      <c r="N348" s="6">
        <v>24.54</v>
      </c>
      <c r="O348" s="6">
        <v>70.0</v>
      </c>
      <c r="P348" s="14">
        <v>42253.0</v>
      </c>
      <c r="Q348" s="1" t="s">
        <v>308</v>
      </c>
      <c r="R348" s="1" t="s">
        <v>53</v>
      </c>
      <c r="S348" s="6">
        <v>2015.0</v>
      </c>
      <c r="T348" s="6">
        <v>9.0</v>
      </c>
      <c r="U348" s="1" t="s">
        <v>309</v>
      </c>
      <c r="V348" s="1" t="s">
        <v>310</v>
      </c>
      <c r="W348" s="6">
        <v>6.0</v>
      </c>
      <c r="X348" s="1" t="s">
        <v>534</v>
      </c>
      <c r="Y348" s="1" t="s">
        <v>535</v>
      </c>
      <c r="Z348" s="6">
        <v>1.89</v>
      </c>
      <c r="AA348" s="6">
        <v>196685.0</v>
      </c>
      <c r="AB348" s="10">
        <v>0.13</v>
      </c>
      <c r="AC348" s="1" t="s">
        <v>3919</v>
      </c>
      <c r="AD348" s="1" t="s">
        <v>3920</v>
      </c>
      <c r="AE348" s="1" t="s">
        <v>3921</v>
      </c>
      <c r="AF348" s="1" t="s">
        <v>283</v>
      </c>
      <c r="AG348" s="1" t="s">
        <v>3921</v>
      </c>
      <c r="AH348" s="1" t="s">
        <v>1032</v>
      </c>
      <c r="AI348" s="6">
        <v>67475.0</v>
      </c>
      <c r="AJ348" s="1" t="s">
        <v>86</v>
      </c>
      <c r="AK348" s="1" t="s">
        <v>3922</v>
      </c>
      <c r="AL348" s="1" t="s">
        <v>3923</v>
      </c>
      <c r="AM348" s="11" t="str">
        <f>VLOOKUP(N348,Sheet3!$B$4:$C$10,2,1)</f>
        <v>21-30</v>
      </c>
      <c r="AN348" s="13" t="str">
        <f>VLOOKUP(Z348,Sheet3!$F$4:$G$10,2,1)</f>
        <v>&lt; 5</v>
      </c>
      <c r="AO348" s="5" t="str">
        <f>VLOOKUP(AA348,Sheet3!$I$3:$J$16,2,1)</f>
        <v>180000-200000</v>
      </c>
      <c r="AP348" s="5" t="str">
        <f>VLOOKUP(AB348,Sheet3!$L$4:$M$14,2,1)</f>
        <v>11% - 15%</v>
      </c>
    </row>
    <row r="349">
      <c r="A349" s="6">
        <v>236366.0</v>
      </c>
      <c r="B349" s="1" t="s">
        <v>66</v>
      </c>
      <c r="C349" s="1" t="s">
        <v>2636</v>
      </c>
      <c r="D349" s="1" t="s">
        <v>389</v>
      </c>
      <c r="E349" s="1" t="s">
        <v>3924</v>
      </c>
      <c r="F349" s="1" t="s">
        <v>70</v>
      </c>
      <c r="G349" s="1" t="s">
        <v>3925</v>
      </c>
      <c r="H349" s="1" t="s">
        <v>1395</v>
      </c>
      <c r="I349" s="1" t="s">
        <v>3926</v>
      </c>
      <c r="J349" s="1" t="s">
        <v>3927</v>
      </c>
      <c r="K349" s="1" t="s">
        <v>3928</v>
      </c>
      <c r="L349" s="9">
        <v>33937.0</v>
      </c>
      <c r="M349" s="8">
        <v>0.21033564814814815</v>
      </c>
      <c r="N349" s="6">
        <v>24.68</v>
      </c>
      <c r="O349" s="6">
        <v>71.0</v>
      </c>
      <c r="P349" s="9">
        <v>42536.0</v>
      </c>
      <c r="Q349" s="1" t="s">
        <v>75</v>
      </c>
      <c r="R349" s="1" t="s">
        <v>76</v>
      </c>
      <c r="S349" s="6">
        <v>2016.0</v>
      </c>
      <c r="T349" s="6">
        <v>6.0</v>
      </c>
      <c r="U349" s="1" t="s">
        <v>324</v>
      </c>
      <c r="V349" s="1" t="s">
        <v>325</v>
      </c>
      <c r="W349" s="6">
        <v>15.0</v>
      </c>
      <c r="X349" s="1" t="s">
        <v>278</v>
      </c>
      <c r="Y349" s="1" t="s">
        <v>279</v>
      </c>
      <c r="Z349" s="6">
        <v>1.12</v>
      </c>
      <c r="AA349" s="6">
        <v>144369.0</v>
      </c>
      <c r="AB349" s="10">
        <v>0.3</v>
      </c>
      <c r="AC349" s="1" t="s">
        <v>3929</v>
      </c>
      <c r="AD349" s="1" t="s">
        <v>3930</v>
      </c>
      <c r="AE349" s="1" t="s">
        <v>103</v>
      </c>
      <c r="AF349" s="1" t="s">
        <v>3931</v>
      </c>
      <c r="AG349" s="1" t="s">
        <v>103</v>
      </c>
      <c r="AH349" s="1" t="s">
        <v>893</v>
      </c>
      <c r="AI349" s="6">
        <v>27292.0</v>
      </c>
      <c r="AJ349" s="1" t="s">
        <v>106</v>
      </c>
      <c r="AK349" s="1" t="s">
        <v>3932</v>
      </c>
      <c r="AL349" s="1" t="s">
        <v>3933</v>
      </c>
      <c r="AM349" s="11" t="str">
        <f>VLOOKUP(N349,Sheet3!$B$4:$C$10,2,1)</f>
        <v>21-30</v>
      </c>
      <c r="AN349" s="13" t="str">
        <f>VLOOKUP(Z349,Sheet3!$F$4:$G$10,2,1)</f>
        <v>&lt; 5</v>
      </c>
      <c r="AO349" s="5" t="str">
        <f>VLOOKUP(AA349,Sheet3!$I$3:$J$16,2,1)</f>
        <v>140000-160000</v>
      </c>
      <c r="AP349" s="5" t="str">
        <f>VLOOKUP(AB349,Sheet3!$L$4:$M$14,2,1)</f>
        <v>26% - 30%</v>
      </c>
    </row>
    <row r="350">
      <c r="A350" s="6">
        <v>798043.0</v>
      </c>
      <c r="B350" s="1" t="s">
        <v>42</v>
      </c>
      <c r="C350" s="1" t="s">
        <v>1508</v>
      </c>
      <c r="D350" s="1" t="s">
        <v>334</v>
      </c>
      <c r="E350" s="1" t="s">
        <v>2629</v>
      </c>
      <c r="F350" s="1" t="s">
        <v>46</v>
      </c>
      <c r="G350" s="1" t="s">
        <v>3934</v>
      </c>
      <c r="H350" s="1" t="s">
        <v>1395</v>
      </c>
      <c r="I350" s="1" t="s">
        <v>3935</v>
      </c>
      <c r="J350" s="1" t="s">
        <v>3936</v>
      </c>
      <c r="K350" s="1" t="s">
        <v>3937</v>
      </c>
      <c r="L350" s="9">
        <v>30729.0</v>
      </c>
      <c r="M350" s="8">
        <v>0.05769675925925926</v>
      </c>
      <c r="N350" s="6">
        <v>33.47</v>
      </c>
      <c r="O350" s="6">
        <v>43.0</v>
      </c>
      <c r="P350" s="14">
        <v>41125.0</v>
      </c>
      <c r="Q350" s="1" t="s">
        <v>308</v>
      </c>
      <c r="R350" s="1" t="s">
        <v>53</v>
      </c>
      <c r="S350" s="6">
        <v>2012.0</v>
      </c>
      <c r="T350" s="6">
        <v>8.0</v>
      </c>
      <c r="U350" s="1" t="s">
        <v>433</v>
      </c>
      <c r="V350" s="1" t="s">
        <v>434</v>
      </c>
      <c r="W350" s="6">
        <v>4.0</v>
      </c>
      <c r="X350" s="1" t="s">
        <v>56</v>
      </c>
      <c r="Y350" s="1" t="s">
        <v>57</v>
      </c>
      <c r="Z350" s="6">
        <v>4.98</v>
      </c>
      <c r="AA350" s="6">
        <v>44430.0</v>
      </c>
      <c r="AB350" s="10">
        <v>0.13</v>
      </c>
      <c r="AC350" s="1" t="s">
        <v>3938</v>
      </c>
      <c r="AD350" s="1" t="s">
        <v>3939</v>
      </c>
      <c r="AE350" s="1" t="s">
        <v>3940</v>
      </c>
      <c r="AF350" s="1" t="s">
        <v>3940</v>
      </c>
      <c r="AG350" s="1" t="s">
        <v>3940</v>
      </c>
      <c r="AH350" s="1" t="s">
        <v>356</v>
      </c>
      <c r="AI350" s="6">
        <v>12226.0</v>
      </c>
      <c r="AJ350" s="1" t="s">
        <v>224</v>
      </c>
      <c r="AK350" s="1" t="s">
        <v>3941</v>
      </c>
      <c r="AL350" s="1" t="s">
        <v>3942</v>
      </c>
      <c r="AM350" s="11" t="str">
        <f>VLOOKUP(N350,Sheet3!$B$4:$C$10,2,1)</f>
        <v>31-40</v>
      </c>
      <c r="AN350" s="13" t="str">
        <f>VLOOKUP(Z350,Sheet3!$F$4:$G$10,2,1)</f>
        <v>&lt; 5</v>
      </c>
      <c r="AO350" s="5" t="str">
        <f>VLOOKUP(AA350,Sheet3!$I$3:$J$16,2,1)</f>
        <v>40000-60000</v>
      </c>
      <c r="AP350" s="5" t="str">
        <f>VLOOKUP(AB350,Sheet3!$L$4:$M$14,2,1)</f>
        <v>11% - 15%</v>
      </c>
    </row>
    <row r="351">
      <c r="A351" s="6">
        <v>811092.0</v>
      </c>
      <c r="B351" s="1" t="s">
        <v>42</v>
      </c>
      <c r="C351" s="1" t="s">
        <v>3943</v>
      </c>
      <c r="D351" s="1" t="s">
        <v>334</v>
      </c>
      <c r="E351" s="1" t="s">
        <v>95</v>
      </c>
      <c r="F351" s="1" t="s">
        <v>46</v>
      </c>
      <c r="G351" s="1" t="s">
        <v>3944</v>
      </c>
      <c r="H351" s="1" t="s">
        <v>1395</v>
      </c>
      <c r="I351" s="1" t="s">
        <v>3945</v>
      </c>
      <c r="J351" s="1" t="s">
        <v>3946</v>
      </c>
      <c r="K351" s="1" t="s">
        <v>638</v>
      </c>
      <c r="L351" s="9">
        <v>26815.0</v>
      </c>
      <c r="M351" s="8">
        <v>0.24364583333333334</v>
      </c>
      <c r="N351" s="6">
        <v>44.19</v>
      </c>
      <c r="O351" s="6">
        <v>53.0</v>
      </c>
      <c r="P351" s="9">
        <v>40682.0</v>
      </c>
      <c r="Q351" s="1" t="s">
        <v>75</v>
      </c>
      <c r="R351" s="1" t="s">
        <v>76</v>
      </c>
      <c r="S351" s="6">
        <v>2011.0</v>
      </c>
      <c r="T351" s="6">
        <v>5.0</v>
      </c>
      <c r="U351" s="1" t="s">
        <v>294</v>
      </c>
      <c r="V351" s="1" t="s">
        <v>294</v>
      </c>
      <c r="W351" s="6">
        <v>19.0</v>
      </c>
      <c r="X351" s="1" t="s">
        <v>150</v>
      </c>
      <c r="Y351" s="1" t="s">
        <v>151</v>
      </c>
      <c r="Z351" s="6">
        <v>6.2</v>
      </c>
      <c r="AA351" s="6">
        <v>144899.0</v>
      </c>
      <c r="AB351" s="10">
        <v>0.23</v>
      </c>
      <c r="AC351" s="1" t="s">
        <v>3947</v>
      </c>
      <c r="AD351" s="1" t="s">
        <v>3948</v>
      </c>
      <c r="AE351" s="1" t="s">
        <v>3949</v>
      </c>
      <c r="AF351" s="1" t="s">
        <v>3949</v>
      </c>
      <c r="AG351" s="1" t="s">
        <v>3949</v>
      </c>
      <c r="AH351" s="1" t="s">
        <v>488</v>
      </c>
      <c r="AI351" s="6">
        <v>32163.0</v>
      </c>
      <c r="AJ351" s="1" t="s">
        <v>106</v>
      </c>
      <c r="AK351" s="1" t="s">
        <v>3950</v>
      </c>
      <c r="AL351" s="1" t="s">
        <v>3951</v>
      </c>
      <c r="AM351" s="11" t="str">
        <f>VLOOKUP(N351,Sheet3!$B$4:$C$10,2,1)</f>
        <v>41-50</v>
      </c>
      <c r="AN351" s="12" t="str">
        <f>VLOOKUP(Z351,Sheet3!$F$4:$G$10,2,1)</f>
        <v>5-10</v>
      </c>
      <c r="AO351" s="5" t="str">
        <f>VLOOKUP(AA351,Sheet3!$I$3:$J$16,2,1)</f>
        <v>140000-160000</v>
      </c>
      <c r="AP351" s="5" t="str">
        <f>VLOOKUP(AB351,Sheet3!$L$4:$M$14,2,1)</f>
        <v>21% - 25%</v>
      </c>
    </row>
    <row r="352">
      <c r="A352" s="6">
        <v>288820.0</v>
      </c>
      <c r="B352" s="1" t="s">
        <v>66</v>
      </c>
      <c r="C352" s="1" t="s">
        <v>3952</v>
      </c>
      <c r="D352" s="1" t="s">
        <v>318</v>
      </c>
      <c r="E352" s="1" t="s">
        <v>3953</v>
      </c>
      <c r="F352" s="1" t="s">
        <v>70</v>
      </c>
      <c r="G352" s="1" t="s">
        <v>3954</v>
      </c>
      <c r="H352" s="1" t="s">
        <v>1395</v>
      </c>
      <c r="I352" s="1" t="s">
        <v>3955</v>
      </c>
      <c r="J352" s="1" t="s">
        <v>3956</v>
      </c>
      <c r="K352" s="1" t="s">
        <v>3957</v>
      </c>
      <c r="L352" s="9">
        <v>24032.0</v>
      </c>
      <c r="M352" s="8">
        <v>0.3695486111111111</v>
      </c>
      <c r="N352" s="6">
        <v>51.81</v>
      </c>
      <c r="O352" s="6">
        <v>54.0</v>
      </c>
      <c r="P352" s="9">
        <v>35509.0</v>
      </c>
      <c r="Q352" s="1" t="s">
        <v>96</v>
      </c>
      <c r="R352" s="1" t="s">
        <v>76</v>
      </c>
      <c r="S352" s="6">
        <v>1997.0</v>
      </c>
      <c r="T352" s="6">
        <v>3.0</v>
      </c>
      <c r="U352" s="1" t="s">
        <v>97</v>
      </c>
      <c r="V352" s="1" t="s">
        <v>98</v>
      </c>
      <c r="W352" s="6">
        <v>20.0</v>
      </c>
      <c r="X352" s="1" t="s">
        <v>150</v>
      </c>
      <c r="Y352" s="1" t="s">
        <v>151</v>
      </c>
      <c r="Z352" s="6">
        <v>20.37</v>
      </c>
      <c r="AA352" s="6">
        <v>151530.0</v>
      </c>
      <c r="AB352" s="10">
        <v>0.3</v>
      </c>
      <c r="AC352" s="1" t="s">
        <v>3958</v>
      </c>
      <c r="AD352" s="1" t="s">
        <v>3959</v>
      </c>
      <c r="AE352" s="1" t="s">
        <v>1892</v>
      </c>
      <c r="AF352" s="1" t="s">
        <v>3960</v>
      </c>
      <c r="AG352" s="1" t="s">
        <v>1892</v>
      </c>
      <c r="AH352" s="1" t="s">
        <v>974</v>
      </c>
      <c r="AI352" s="6">
        <v>45854.0</v>
      </c>
      <c r="AJ352" s="1" t="s">
        <v>86</v>
      </c>
      <c r="AK352" s="1" t="s">
        <v>3961</v>
      </c>
      <c r="AL352" s="1" t="s">
        <v>3962</v>
      </c>
      <c r="AM352" s="11" t="str">
        <f>VLOOKUP(N352,Sheet3!$B$4:$C$10,2,1)</f>
        <v>51-60</v>
      </c>
      <c r="AN352" s="12" t="str">
        <f>VLOOKUP(Z352,Sheet3!$F$4:$G$10,2,1)</f>
        <v>11-20</v>
      </c>
      <c r="AO352" s="5" t="str">
        <f>VLOOKUP(AA352,Sheet3!$I$3:$J$16,2,1)</f>
        <v>140000-160000</v>
      </c>
      <c r="AP352" s="5" t="str">
        <f>VLOOKUP(AB352,Sheet3!$L$4:$M$14,2,1)</f>
        <v>26% - 30%</v>
      </c>
    </row>
    <row r="353">
      <c r="A353" s="6">
        <v>138351.0</v>
      </c>
      <c r="B353" s="1" t="s">
        <v>66</v>
      </c>
      <c r="C353" s="1" t="s">
        <v>3963</v>
      </c>
      <c r="D353" s="1" t="s">
        <v>186</v>
      </c>
      <c r="E353" s="1" t="s">
        <v>768</v>
      </c>
      <c r="F353" s="1" t="s">
        <v>70</v>
      </c>
      <c r="G353" s="1" t="s">
        <v>3964</v>
      </c>
      <c r="H353" s="1" t="s">
        <v>1395</v>
      </c>
      <c r="I353" s="1" t="s">
        <v>3965</v>
      </c>
      <c r="J353" s="1" t="s">
        <v>3966</v>
      </c>
      <c r="K353" s="1" t="s">
        <v>2968</v>
      </c>
      <c r="L353" s="14">
        <v>27550.0</v>
      </c>
      <c r="M353" s="8">
        <v>0.43375</v>
      </c>
      <c r="N353" s="6">
        <v>42.18</v>
      </c>
      <c r="O353" s="6">
        <v>79.0</v>
      </c>
      <c r="P353" s="14">
        <v>35403.0</v>
      </c>
      <c r="Q353" s="1" t="s">
        <v>52</v>
      </c>
      <c r="R353" s="1" t="s">
        <v>53</v>
      </c>
      <c r="S353" s="6">
        <v>1996.0</v>
      </c>
      <c r="T353" s="6">
        <v>12.0</v>
      </c>
      <c r="U353" s="1" t="s">
        <v>54</v>
      </c>
      <c r="V353" s="1" t="s">
        <v>55</v>
      </c>
      <c r="W353" s="6">
        <v>4.0</v>
      </c>
      <c r="X353" s="1" t="s">
        <v>278</v>
      </c>
      <c r="Y353" s="1" t="s">
        <v>279</v>
      </c>
      <c r="Z353" s="6">
        <v>20.66</v>
      </c>
      <c r="AA353" s="6">
        <v>77526.0</v>
      </c>
      <c r="AB353" s="10">
        <v>0.01</v>
      </c>
      <c r="AC353" s="1" t="s">
        <v>3967</v>
      </c>
      <c r="AD353" s="1" t="s">
        <v>3968</v>
      </c>
      <c r="AE353" s="1" t="s">
        <v>3969</v>
      </c>
      <c r="AF353" s="1" t="s">
        <v>1225</v>
      </c>
      <c r="AG353" s="1" t="s">
        <v>3969</v>
      </c>
      <c r="AH353" s="1" t="s">
        <v>857</v>
      </c>
      <c r="AI353" s="6">
        <v>65355.0</v>
      </c>
      <c r="AJ353" s="1" t="s">
        <v>86</v>
      </c>
      <c r="AK353" s="1" t="s">
        <v>3970</v>
      </c>
      <c r="AL353" s="1" t="s">
        <v>3971</v>
      </c>
      <c r="AM353" s="11" t="str">
        <f>VLOOKUP(N353,Sheet3!$B$4:$C$10,2,1)</f>
        <v>41-50</v>
      </c>
      <c r="AN353" s="12" t="str">
        <f>VLOOKUP(Z353,Sheet3!$F$4:$G$10,2,1)</f>
        <v>11-20</v>
      </c>
      <c r="AO353" s="5" t="str">
        <f>VLOOKUP(AA353,Sheet3!$I$3:$J$16,2,1)</f>
        <v>60000-80000</v>
      </c>
      <c r="AP353" s="5" t="str">
        <f>VLOOKUP(AB353,Sheet3!$L$4:$M$14,2,1)</f>
        <v>&lt; 5%</v>
      </c>
    </row>
    <row r="354">
      <c r="A354" s="6">
        <v>130501.0</v>
      </c>
      <c r="B354" s="1" t="s">
        <v>89</v>
      </c>
      <c r="C354" s="1" t="s">
        <v>2656</v>
      </c>
      <c r="D354" s="1" t="s">
        <v>554</v>
      </c>
      <c r="E354" s="1" t="s">
        <v>3972</v>
      </c>
      <c r="F354" s="1" t="s">
        <v>46</v>
      </c>
      <c r="G354" s="1" t="s">
        <v>3973</v>
      </c>
      <c r="H354" s="1" t="s">
        <v>1395</v>
      </c>
      <c r="I354" s="1" t="s">
        <v>3974</v>
      </c>
      <c r="J354" s="1" t="s">
        <v>3975</v>
      </c>
      <c r="K354" s="1" t="s">
        <v>688</v>
      </c>
      <c r="L354" s="14">
        <v>24534.0</v>
      </c>
      <c r="M354" s="8">
        <v>0.19945601851851852</v>
      </c>
      <c r="N354" s="6">
        <v>50.44</v>
      </c>
      <c r="O354" s="6">
        <v>47.0</v>
      </c>
      <c r="P354" s="14">
        <v>40278.0</v>
      </c>
      <c r="Q354" s="1" t="s">
        <v>75</v>
      </c>
      <c r="R354" s="1" t="s">
        <v>76</v>
      </c>
      <c r="S354" s="6">
        <v>2010.0</v>
      </c>
      <c r="T354" s="6">
        <v>4.0</v>
      </c>
      <c r="U354" s="1" t="s">
        <v>77</v>
      </c>
      <c r="V354" s="1" t="s">
        <v>78</v>
      </c>
      <c r="W354" s="6">
        <v>10.0</v>
      </c>
      <c r="X354" s="1" t="s">
        <v>56</v>
      </c>
      <c r="Y354" s="1" t="s">
        <v>57</v>
      </c>
      <c r="Z354" s="6">
        <v>7.3</v>
      </c>
      <c r="AA354" s="6">
        <v>91870.0</v>
      </c>
      <c r="AB354" s="10">
        <v>0.11</v>
      </c>
      <c r="AC354" s="1" t="s">
        <v>3976</v>
      </c>
      <c r="AD354" s="1" t="s">
        <v>3977</v>
      </c>
      <c r="AE354" s="1" t="s">
        <v>3978</v>
      </c>
      <c r="AF354" s="1" t="s">
        <v>3847</v>
      </c>
      <c r="AG354" s="1" t="s">
        <v>3978</v>
      </c>
      <c r="AH354" s="1" t="s">
        <v>2274</v>
      </c>
      <c r="AI354" s="6">
        <v>19732.0</v>
      </c>
      <c r="AJ354" s="1" t="s">
        <v>106</v>
      </c>
      <c r="AK354" s="1" t="s">
        <v>3979</v>
      </c>
      <c r="AL354" s="1" t="s">
        <v>3980</v>
      </c>
      <c r="AM354" s="11" t="str">
        <f>VLOOKUP(N354,Sheet3!$B$4:$C$10,2,1)</f>
        <v>41-50</v>
      </c>
      <c r="AN354" s="12" t="str">
        <f>VLOOKUP(Z354,Sheet3!$F$4:$G$10,2,1)</f>
        <v>5-10</v>
      </c>
      <c r="AO354" s="5" t="str">
        <f>VLOOKUP(AA354,Sheet3!$I$3:$J$16,2,1)</f>
        <v>80000-100000</v>
      </c>
      <c r="AP354" s="5" t="str">
        <f>VLOOKUP(AB354,Sheet3!$L$4:$M$14,2,1)</f>
        <v>11% - 15%</v>
      </c>
    </row>
    <row r="355">
      <c r="A355" s="6">
        <v>587373.0</v>
      </c>
      <c r="B355" s="1" t="s">
        <v>89</v>
      </c>
      <c r="C355" s="1" t="s">
        <v>3981</v>
      </c>
      <c r="D355" s="1" t="s">
        <v>186</v>
      </c>
      <c r="E355" s="1" t="s">
        <v>3982</v>
      </c>
      <c r="F355" s="1" t="s">
        <v>46</v>
      </c>
      <c r="G355" s="1" t="s">
        <v>3983</v>
      </c>
      <c r="H355" s="1" t="s">
        <v>1395</v>
      </c>
      <c r="I355" s="1" t="s">
        <v>3984</v>
      </c>
      <c r="J355" s="1" t="s">
        <v>3985</v>
      </c>
      <c r="K355" s="1" t="s">
        <v>1783</v>
      </c>
      <c r="L355" s="9">
        <v>34025.0</v>
      </c>
      <c r="M355" s="8">
        <v>0.5873263888888889</v>
      </c>
      <c r="N355" s="6">
        <v>24.44</v>
      </c>
      <c r="O355" s="6">
        <v>40.0</v>
      </c>
      <c r="P355" s="9">
        <v>42730.0</v>
      </c>
      <c r="Q355" s="1" t="s">
        <v>52</v>
      </c>
      <c r="R355" s="1" t="s">
        <v>53</v>
      </c>
      <c r="S355" s="6">
        <v>2016.0</v>
      </c>
      <c r="T355" s="6">
        <v>12.0</v>
      </c>
      <c r="U355" s="1" t="s">
        <v>54</v>
      </c>
      <c r="V355" s="1" t="s">
        <v>55</v>
      </c>
      <c r="W355" s="6">
        <v>26.0</v>
      </c>
      <c r="X355" s="1" t="s">
        <v>99</v>
      </c>
      <c r="Y355" s="1" t="s">
        <v>100</v>
      </c>
      <c r="Z355" s="6">
        <v>0.59</v>
      </c>
      <c r="AA355" s="6">
        <v>181837.0</v>
      </c>
      <c r="AB355" s="10">
        <v>0.24</v>
      </c>
      <c r="AC355" s="1" t="s">
        <v>3986</v>
      </c>
      <c r="AD355" s="1" t="s">
        <v>3987</v>
      </c>
      <c r="AE355" s="1" t="s">
        <v>3988</v>
      </c>
      <c r="AF355" s="1" t="s">
        <v>1115</v>
      </c>
      <c r="AG355" s="1" t="s">
        <v>3988</v>
      </c>
      <c r="AH355" s="1" t="s">
        <v>238</v>
      </c>
      <c r="AI355" s="6">
        <v>95930.0</v>
      </c>
      <c r="AJ355" s="1" t="s">
        <v>63</v>
      </c>
      <c r="AK355" s="1" t="s">
        <v>3989</v>
      </c>
      <c r="AL355" s="1" t="s">
        <v>3990</v>
      </c>
      <c r="AM355" s="11" t="str">
        <f>VLOOKUP(N355,Sheet3!$B$4:$C$10,2,1)</f>
        <v>21-30</v>
      </c>
      <c r="AN355" s="13" t="str">
        <f>VLOOKUP(Z355,Sheet3!$F$4:$G$10,2,1)</f>
        <v>&lt; 5</v>
      </c>
      <c r="AO355" s="5" t="str">
        <f>VLOOKUP(AA355,Sheet3!$I$3:$J$16,2,1)</f>
        <v>180000-200000</v>
      </c>
      <c r="AP355" s="5" t="str">
        <f>VLOOKUP(AB355,Sheet3!$L$4:$M$14,2,1)</f>
        <v>21% - 25%</v>
      </c>
    </row>
    <row r="356">
      <c r="A356" s="6">
        <v>750124.0</v>
      </c>
      <c r="B356" s="1" t="s">
        <v>66</v>
      </c>
      <c r="C356" s="1" t="s">
        <v>856</v>
      </c>
      <c r="D356" s="1" t="s">
        <v>683</v>
      </c>
      <c r="E356" s="1" t="s">
        <v>1432</v>
      </c>
      <c r="F356" s="1" t="s">
        <v>70</v>
      </c>
      <c r="G356" s="1" t="s">
        <v>3991</v>
      </c>
      <c r="H356" s="1" t="s">
        <v>1395</v>
      </c>
      <c r="I356" s="1" t="s">
        <v>3992</v>
      </c>
      <c r="J356" s="1" t="s">
        <v>3993</v>
      </c>
      <c r="K356" s="1" t="s">
        <v>3472</v>
      </c>
      <c r="L356" s="9">
        <v>29210.0</v>
      </c>
      <c r="M356" s="8">
        <v>0.5223842592592592</v>
      </c>
      <c r="N356" s="6">
        <v>37.63</v>
      </c>
      <c r="O356" s="6">
        <v>64.0</v>
      </c>
      <c r="P356" s="9">
        <v>41665.0</v>
      </c>
      <c r="Q356" s="1" t="s">
        <v>96</v>
      </c>
      <c r="R356" s="1" t="s">
        <v>76</v>
      </c>
      <c r="S356" s="6">
        <v>2014.0</v>
      </c>
      <c r="T356" s="6">
        <v>1.0</v>
      </c>
      <c r="U356" s="1" t="s">
        <v>276</v>
      </c>
      <c r="V356" s="1" t="s">
        <v>277</v>
      </c>
      <c r="W356" s="6">
        <v>26.0</v>
      </c>
      <c r="X356" s="1" t="s">
        <v>534</v>
      </c>
      <c r="Y356" s="1" t="s">
        <v>535</v>
      </c>
      <c r="Z356" s="6">
        <v>3.5</v>
      </c>
      <c r="AA356" s="6">
        <v>182944.0</v>
      </c>
      <c r="AB356" s="10">
        <v>0.12</v>
      </c>
      <c r="AC356" s="1" t="s">
        <v>3994</v>
      </c>
      <c r="AD356" s="1" t="s">
        <v>3995</v>
      </c>
      <c r="AE356" s="1" t="s">
        <v>2893</v>
      </c>
      <c r="AF356" s="1" t="s">
        <v>3996</v>
      </c>
      <c r="AG356" s="1" t="s">
        <v>2893</v>
      </c>
      <c r="AH356" s="1" t="s">
        <v>525</v>
      </c>
      <c r="AI356" s="6">
        <v>71941.0</v>
      </c>
      <c r="AJ356" s="1" t="s">
        <v>106</v>
      </c>
      <c r="AK356" s="1" t="s">
        <v>3997</v>
      </c>
      <c r="AL356" s="1" t="s">
        <v>3998</v>
      </c>
      <c r="AM356" s="11" t="str">
        <f>VLOOKUP(N356,Sheet3!$B$4:$C$10,2,1)</f>
        <v>31-40</v>
      </c>
      <c r="AN356" s="13" t="str">
        <f>VLOOKUP(Z356,Sheet3!$F$4:$G$10,2,1)</f>
        <v>&lt; 5</v>
      </c>
      <c r="AO356" s="5" t="str">
        <f>VLOOKUP(AA356,Sheet3!$I$3:$J$16,2,1)</f>
        <v>180000-200000</v>
      </c>
      <c r="AP356" s="5" t="str">
        <f>VLOOKUP(AB356,Sheet3!$L$4:$M$14,2,1)</f>
        <v>11% - 15%</v>
      </c>
    </row>
    <row r="357">
      <c r="A357" s="6">
        <v>495105.0</v>
      </c>
      <c r="B357" s="1" t="s">
        <v>109</v>
      </c>
      <c r="C357" s="1" t="s">
        <v>3999</v>
      </c>
      <c r="D357" s="1" t="s">
        <v>200</v>
      </c>
      <c r="E357" s="1" t="s">
        <v>4000</v>
      </c>
      <c r="F357" s="1" t="s">
        <v>46</v>
      </c>
      <c r="G357" s="1" t="s">
        <v>4001</v>
      </c>
      <c r="H357" s="1" t="s">
        <v>1395</v>
      </c>
      <c r="I357" s="1" t="s">
        <v>4002</v>
      </c>
      <c r="J357" s="1" t="s">
        <v>4003</v>
      </c>
      <c r="K357" s="1" t="s">
        <v>3048</v>
      </c>
      <c r="L357" s="9">
        <v>35019.0</v>
      </c>
      <c r="M357" s="8">
        <v>0.6050810185185185</v>
      </c>
      <c r="N357" s="6">
        <v>21.71</v>
      </c>
      <c r="O357" s="6">
        <v>48.0</v>
      </c>
      <c r="P357" s="14">
        <v>42768.0</v>
      </c>
      <c r="Q357" s="1" t="s">
        <v>96</v>
      </c>
      <c r="R357" s="1" t="s">
        <v>76</v>
      </c>
      <c r="S357" s="6">
        <v>2017.0</v>
      </c>
      <c r="T357" s="6">
        <v>2.0</v>
      </c>
      <c r="U357" s="1" t="s">
        <v>117</v>
      </c>
      <c r="V357" s="1" t="s">
        <v>118</v>
      </c>
      <c r="W357" s="6">
        <v>2.0</v>
      </c>
      <c r="X357" s="1" t="s">
        <v>150</v>
      </c>
      <c r="Y357" s="1" t="s">
        <v>151</v>
      </c>
      <c r="Z357" s="6">
        <v>0.48</v>
      </c>
      <c r="AA357" s="6">
        <v>76605.0</v>
      </c>
      <c r="AB357" s="10">
        <v>0.13</v>
      </c>
      <c r="AC357" s="1" t="s">
        <v>4004</v>
      </c>
      <c r="AD357" s="1" t="s">
        <v>4005</v>
      </c>
      <c r="AE357" s="1" t="s">
        <v>4006</v>
      </c>
      <c r="AF357" s="1" t="s">
        <v>4007</v>
      </c>
      <c r="AG357" s="1" t="s">
        <v>4006</v>
      </c>
      <c r="AH357" s="1" t="s">
        <v>223</v>
      </c>
      <c r="AI357" s="6">
        <v>19043.0</v>
      </c>
      <c r="AJ357" s="1" t="s">
        <v>224</v>
      </c>
      <c r="AK357" s="1" t="s">
        <v>4008</v>
      </c>
      <c r="AL357" s="1" t="s">
        <v>4009</v>
      </c>
      <c r="AM357" s="11" t="str">
        <f>VLOOKUP(N357,Sheet3!$B$4:$C$10,2,1)</f>
        <v>21-30</v>
      </c>
      <c r="AN357" s="13" t="str">
        <f>VLOOKUP(Z357,Sheet3!$F$4:$G$10,2,1)</f>
        <v>&lt; 5</v>
      </c>
      <c r="AO357" s="5" t="str">
        <f>VLOOKUP(AA357,Sheet3!$I$3:$J$16,2,1)</f>
        <v>60000-80000</v>
      </c>
      <c r="AP357" s="5" t="str">
        <f>VLOOKUP(AB357,Sheet3!$L$4:$M$14,2,1)</f>
        <v>11% - 15%</v>
      </c>
    </row>
    <row r="358">
      <c r="A358" s="6">
        <v>282678.0</v>
      </c>
      <c r="B358" s="1" t="s">
        <v>125</v>
      </c>
      <c r="C358" s="1" t="s">
        <v>4010</v>
      </c>
      <c r="D358" s="1" t="s">
        <v>257</v>
      </c>
      <c r="E358" s="1" t="s">
        <v>2096</v>
      </c>
      <c r="F358" s="1" t="s">
        <v>46</v>
      </c>
      <c r="G358" s="1" t="s">
        <v>4011</v>
      </c>
      <c r="H358" s="1" t="s">
        <v>1395</v>
      </c>
      <c r="I358" s="1" t="s">
        <v>4012</v>
      </c>
      <c r="J358" s="1" t="s">
        <v>4013</v>
      </c>
      <c r="K358" s="1" t="s">
        <v>4014</v>
      </c>
      <c r="L358" s="9">
        <v>24258.0</v>
      </c>
      <c r="M358" s="8">
        <v>0.6488310185185185</v>
      </c>
      <c r="N358" s="6">
        <v>51.19</v>
      </c>
      <c r="O358" s="6">
        <v>52.0</v>
      </c>
      <c r="P358" s="14">
        <v>39327.0</v>
      </c>
      <c r="Q358" s="1" t="s">
        <v>308</v>
      </c>
      <c r="R358" s="1" t="s">
        <v>53</v>
      </c>
      <c r="S358" s="6">
        <v>2007.0</v>
      </c>
      <c r="T358" s="6">
        <v>9.0</v>
      </c>
      <c r="U358" s="1" t="s">
        <v>309</v>
      </c>
      <c r="V358" s="1" t="s">
        <v>310</v>
      </c>
      <c r="W358" s="6">
        <v>2.0</v>
      </c>
      <c r="X358" s="1" t="s">
        <v>534</v>
      </c>
      <c r="Y358" s="1" t="s">
        <v>535</v>
      </c>
      <c r="Z358" s="6">
        <v>9.91</v>
      </c>
      <c r="AA358" s="6">
        <v>174673.0</v>
      </c>
      <c r="AB358" s="10">
        <v>0.11</v>
      </c>
      <c r="AC358" s="1" t="s">
        <v>4015</v>
      </c>
      <c r="AD358" s="1" t="s">
        <v>4016</v>
      </c>
      <c r="AE358" s="1" t="s">
        <v>4017</v>
      </c>
      <c r="AF358" s="1" t="s">
        <v>2856</v>
      </c>
      <c r="AG358" s="1" t="s">
        <v>4017</v>
      </c>
      <c r="AH358" s="1" t="s">
        <v>2483</v>
      </c>
      <c r="AI358" s="6">
        <v>29703.0</v>
      </c>
      <c r="AJ358" s="1" t="s">
        <v>106</v>
      </c>
      <c r="AK358" s="1" t="s">
        <v>4018</v>
      </c>
      <c r="AL358" s="1" t="s">
        <v>4019</v>
      </c>
      <c r="AM358" s="11" t="str">
        <f>VLOOKUP(N358,Sheet3!$B$4:$C$10,2,1)</f>
        <v>51-60</v>
      </c>
      <c r="AN358" s="12" t="str">
        <f>VLOOKUP(Z358,Sheet3!$F$4:$G$10,2,1)</f>
        <v>5-10</v>
      </c>
      <c r="AO358" s="5" t="str">
        <f>VLOOKUP(AA358,Sheet3!$I$3:$J$16,2,1)</f>
        <v>160000-180000</v>
      </c>
      <c r="AP358" s="5" t="str">
        <f>VLOOKUP(AB358,Sheet3!$L$4:$M$14,2,1)</f>
        <v>11% - 15%</v>
      </c>
    </row>
    <row r="359">
      <c r="A359" s="6">
        <v>241302.0</v>
      </c>
      <c r="B359" s="1" t="s">
        <v>66</v>
      </c>
      <c r="C359" s="1" t="s">
        <v>4020</v>
      </c>
      <c r="D359" s="1" t="s">
        <v>443</v>
      </c>
      <c r="E359" s="1" t="s">
        <v>112</v>
      </c>
      <c r="F359" s="1" t="s">
        <v>70</v>
      </c>
      <c r="G359" s="1" t="s">
        <v>4021</v>
      </c>
      <c r="H359" s="1" t="s">
        <v>1395</v>
      </c>
      <c r="I359" s="1" t="s">
        <v>4022</v>
      </c>
      <c r="J359" s="1" t="s">
        <v>4023</v>
      </c>
      <c r="K359" s="1" t="s">
        <v>684</v>
      </c>
      <c r="L359" s="9">
        <v>21993.0</v>
      </c>
      <c r="M359" s="8">
        <v>0.6896527777777778</v>
      </c>
      <c r="N359" s="6">
        <v>57.4</v>
      </c>
      <c r="O359" s="6">
        <v>50.0</v>
      </c>
      <c r="P359" s="14">
        <v>31266.0</v>
      </c>
      <c r="Q359" s="1" t="s">
        <v>308</v>
      </c>
      <c r="R359" s="1" t="s">
        <v>53</v>
      </c>
      <c r="S359" s="6">
        <v>1985.0</v>
      </c>
      <c r="T359" s="6">
        <v>8.0</v>
      </c>
      <c r="U359" s="1" t="s">
        <v>433</v>
      </c>
      <c r="V359" s="1" t="s">
        <v>434</v>
      </c>
      <c r="W359" s="6">
        <v>7.0</v>
      </c>
      <c r="X359" s="1" t="s">
        <v>278</v>
      </c>
      <c r="Y359" s="1" t="s">
        <v>279</v>
      </c>
      <c r="Z359" s="6">
        <v>31.99</v>
      </c>
      <c r="AA359" s="6">
        <v>53313.0</v>
      </c>
      <c r="AB359" s="10">
        <v>0.15</v>
      </c>
      <c r="AC359" s="1" t="s">
        <v>4024</v>
      </c>
      <c r="AD359" s="1" t="s">
        <v>4025</v>
      </c>
      <c r="AE359" s="1" t="s">
        <v>4026</v>
      </c>
      <c r="AF359" s="1" t="s">
        <v>4027</v>
      </c>
      <c r="AG359" s="1" t="s">
        <v>4026</v>
      </c>
      <c r="AH359" s="1" t="s">
        <v>156</v>
      </c>
      <c r="AI359" s="6">
        <v>23878.0</v>
      </c>
      <c r="AJ359" s="1" t="s">
        <v>106</v>
      </c>
      <c r="AK359" s="1" t="s">
        <v>4028</v>
      </c>
      <c r="AL359" s="1" t="s">
        <v>4029</v>
      </c>
      <c r="AM359" s="11" t="str">
        <f>VLOOKUP(N359,Sheet3!$B$4:$C$10,2,1)</f>
        <v>51-60</v>
      </c>
      <c r="AN359" s="13" t="str">
        <f>VLOOKUP(Z359,Sheet3!$F$4:$G$10,2,1)</f>
        <v>31-40</v>
      </c>
      <c r="AO359" s="5" t="str">
        <f>VLOOKUP(AA359,Sheet3!$I$3:$J$16,2,1)</f>
        <v>40000-60000</v>
      </c>
      <c r="AP359" s="5" t="str">
        <f>VLOOKUP(AB359,Sheet3!$L$4:$M$14,2,1)</f>
        <v>11% - 15%</v>
      </c>
    </row>
    <row r="360">
      <c r="A360" s="6">
        <v>790290.0</v>
      </c>
      <c r="B360" s="1" t="s">
        <v>66</v>
      </c>
      <c r="C360" s="1" t="s">
        <v>4030</v>
      </c>
      <c r="D360" s="1" t="s">
        <v>443</v>
      </c>
      <c r="E360" s="1" t="s">
        <v>2165</v>
      </c>
      <c r="F360" s="1" t="s">
        <v>70</v>
      </c>
      <c r="G360" s="1" t="s">
        <v>4031</v>
      </c>
      <c r="H360" s="1" t="s">
        <v>1395</v>
      </c>
      <c r="I360" s="1" t="s">
        <v>4032</v>
      </c>
      <c r="J360" s="1" t="s">
        <v>4033</v>
      </c>
      <c r="K360" s="1" t="s">
        <v>2110</v>
      </c>
      <c r="L360" s="9">
        <v>34263.0</v>
      </c>
      <c r="M360" s="8">
        <v>0.01017361111111111</v>
      </c>
      <c r="N360" s="6">
        <v>23.78</v>
      </c>
      <c r="O360" s="6">
        <v>89.0</v>
      </c>
      <c r="P360" s="14">
        <v>42468.0</v>
      </c>
      <c r="Q360" s="1" t="s">
        <v>75</v>
      </c>
      <c r="R360" s="1" t="s">
        <v>76</v>
      </c>
      <c r="S360" s="6">
        <v>2016.0</v>
      </c>
      <c r="T360" s="6">
        <v>4.0</v>
      </c>
      <c r="U360" s="1" t="s">
        <v>77</v>
      </c>
      <c r="V360" s="1" t="s">
        <v>78</v>
      </c>
      <c r="W360" s="6">
        <v>8.0</v>
      </c>
      <c r="X360" s="1" t="s">
        <v>263</v>
      </c>
      <c r="Y360" s="1" t="s">
        <v>264</v>
      </c>
      <c r="Z360" s="6">
        <v>1.3</v>
      </c>
      <c r="AA360" s="6">
        <v>88865.0</v>
      </c>
      <c r="AB360" s="10">
        <v>0.16</v>
      </c>
      <c r="AC360" s="1" t="s">
        <v>4034</v>
      </c>
      <c r="AD360" s="1" t="s">
        <v>4035</v>
      </c>
      <c r="AE360" s="1" t="s">
        <v>4036</v>
      </c>
      <c r="AF360" s="1" t="s">
        <v>4037</v>
      </c>
      <c r="AG360" s="1" t="s">
        <v>4036</v>
      </c>
      <c r="AH360" s="1" t="s">
        <v>223</v>
      </c>
      <c r="AI360" s="6">
        <v>15043.0</v>
      </c>
      <c r="AJ360" s="1" t="s">
        <v>224</v>
      </c>
      <c r="AK360" s="1" t="s">
        <v>4038</v>
      </c>
      <c r="AL360" s="1" t="s">
        <v>4039</v>
      </c>
      <c r="AM360" s="11" t="str">
        <f>VLOOKUP(N360,Sheet3!$B$4:$C$10,2,1)</f>
        <v>21-30</v>
      </c>
      <c r="AN360" s="13" t="str">
        <f>VLOOKUP(Z360,Sheet3!$F$4:$G$10,2,1)</f>
        <v>&lt; 5</v>
      </c>
      <c r="AO360" s="5" t="str">
        <f>VLOOKUP(AA360,Sheet3!$I$3:$J$16,2,1)</f>
        <v>80000-100000</v>
      </c>
      <c r="AP360" s="5" t="str">
        <f>VLOOKUP(AB360,Sheet3!$L$4:$M$14,2,1)</f>
        <v>16% - 20%</v>
      </c>
    </row>
    <row r="361">
      <c r="A361" s="6">
        <v>924304.0</v>
      </c>
      <c r="B361" s="1" t="s">
        <v>109</v>
      </c>
      <c r="C361" s="1" t="s">
        <v>4040</v>
      </c>
      <c r="D361" s="1" t="s">
        <v>360</v>
      </c>
      <c r="E361" s="1" t="s">
        <v>4041</v>
      </c>
      <c r="F361" s="1" t="s">
        <v>46</v>
      </c>
      <c r="G361" s="1" t="s">
        <v>4042</v>
      </c>
      <c r="H361" s="1" t="s">
        <v>1395</v>
      </c>
      <c r="I361" s="1" t="s">
        <v>4043</v>
      </c>
      <c r="J361" s="1" t="s">
        <v>4044</v>
      </c>
      <c r="K361" s="1" t="s">
        <v>3503</v>
      </c>
      <c r="L361" s="14">
        <v>32911.0</v>
      </c>
      <c r="M361" s="8">
        <v>0.671412037037037</v>
      </c>
      <c r="N361" s="6">
        <v>27.49</v>
      </c>
      <c r="O361" s="6">
        <v>54.0</v>
      </c>
      <c r="P361" s="9">
        <v>40652.0</v>
      </c>
      <c r="Q361" s="1" t="s">
        <v>75</v>
      </c>
      <c r="R361" s="1" t="s">
        <v>76</v>
      </c>
      <c r="S361" s="6">
        <v>2011.0</v>
      </c>
      <c r="T361" s="6">
        <v>4.0</v>
      </c>
      <c r="U361" s="1" t="s">
        <v>77</v>
      </c>
      <c r="V361" s="1" t="s">
        <v>78</v>
      </c>
      <c r="W361" s="6">
        <v>19.0</v>
      </c>
      <c r="X361" s="1" t="s">
        <v>79</v>
      </c>
      <c r="Y361" s="1" t="s">
        <v>80</v>
      </c>
      <c r="Z361" s="6">
        <v>6.28</v>
      </c>
      <c r="AA361" s="6">
        <v>77787.0</v>
      </c>
      <c r="AB361" s="10">
        <v>0.18</v>
      </c>
      <c r="AC361" s="1" t="s">
        <v>4045</v>
      </c>
      <c r="AD361" s="1" t="s">
        <v>4046</v>
      </c>
      <c r="AE361" s="1" t="s">
        <v>4047</v>
      </c>
      <c r="AF361" s="1" t="s">
        <v>649</v>
      </c>
      <c r="AG361" s="1" t="s">
        <v>4047</v>
      </c>
      <c r="AH361" s="1" t="s">
        <v>105</v>
      </c>
      <c r="AI361" s="6">
        <v>40269.0</v>
      </c>
      <c r="AJ361" s="1" t="s">
        <v>106</v>
      </c>
      <c r="AK361" s="1" t="s">
        <v>4048</v>
      </c>
      <c r="AL361" s="1" t="s">
        <v>4049</v>
      </c>
      <c r="AM361" s="11" t="str">
        <f>VLOOKUP(N361,Sheet3!$B$4:$C$10,2,1)</f>
        <v>21-30</v>
      </c>
      <c r="AN361" s="12" t="str">
        <f>VLOOKUP(Z361,Sheet3!$F$4:$G$10,2,1)</f>
        <v>5-10</v>
      </c>
      <c r="AO361" s="5" t="str">
        <f>VLOOKUP(AA361,Sheet3!$I$3:$J$16,2,1)</f>
        <v>60000-80000</v>
      </c>
      <c r="AP361" s="5" t="str">
        <f>VLOOKUP(AB361,Sheet3!$L$4:$M$14,2,1)</f>
        <v>16% - 20%</v>
      </c>
    </row>
    <row r="362">
      <c r="A362" s="6">
        <v>234880.0</v>
      </c>
      <c r="B362" s="1" t="s">
        <v>66</v>
      </c>
      <c r="C362" s="1" t="s">
        <v>4050</v>
      </c>
      <c r="D362" s="1" t="s">
        <v>288</v>
      </c>
      <c r="E362" s="1" t="s">
        <v>4051</v>
      </c>
      <c r="F362" s="1" t="s">
        <v>70</v>
      </c>
      <c r="G362" s="1" t="s">
        <v>4052</v>
      </c>
      <c r="H362" s="1" t="s">
        <v>1395</v>
      </c>
      <c r="I362" s="1" t="s">
        <v>4053</v>
      </c>
      <c r="J362" s="1" t="s">
        <v>4054</v>
      </c>
      <c r="K362" s="1" t="s">
        <v>960</v>
      </c>
      <c r="L362" s="14">
        <v>32550.0</v>
      </c>
      <c r="M362" s="8">
        <v>0.007523148148148148</v>
      </c>
      <c r="N362" s="6">
        <v>28.48</v>
      </c>
      <c r="O362" s="6">
        <v>63.0</v>
      </c>
      <c r="P362" s="14">
        <v>41039.0</v>
      </c>
      <c r="Q362" s="1" t="s">
        <v>75</v>
      </c>
      <c r="R362" s="1" t="s">
        <v>76</v>
      </c>
      <c r="S362" s="6">
        <v>2012.0</v>
      </c>
      <c r="T362" s="6">
        <v>5.0</v>
      </c>
      <c r="U362" s="1" t="s">
        <v>294</v>
      </c>
      <c r="V362" s="1" t="s">
        <v>294</v>
      </c>
      <c r="W362" s="6">
        <v>10.0</v>
      </c>
      <c r="X362" s="1" t="s">
        <v>150</v>
      </c>
      <c r="Y362" s="1" t="s">
        <v>151</v>
      </c>
      <c r="Z362" s="6">
        <v>5.22</v>
      </c>
      <c r="AA362" s="6">
        <v>94291.0</v>
      </c>
      <c r="AB362" s="10">
        <v>0.24</v>
      </c>
      <c r="AC362" s="1" t="s">
        <v>4055</v>
      </c>
      <c r="AD362" s="1" t="s">
        <v>4056</v>
      </c>
      <c r="AE362" s="1" t="s">
        <v>4057</v>
      </c>
      <c r="AF362" s="1" t="s">
        <v>221</v>
      </c>
      <c r="AG362" s="1" t="s">
        <v>4057</v>
      </c>
      <c r="AH362" s="1" t="s">
        <v>223</v>
      </c>
      <c r="AI362" s="6">
        <v>19126.0</v>
      </c>
      <c r="AJ362" s="1" t="s">
        <v>224</v>
      </c>
      <c r="AK362" s="1" t="s">
        <v>4058</v>
      </c>
      <c r="AL362" s="1" t="s">
        <v>4059</v>
      </c>
      <c r="AM362" s="11" t="str">
        <f>VLOOKUP(N362,Sheet3!$B$4:$C$10,2,1)</f>
        <v>21-30</v>
      </c>
      <c r="AN362" s="12" t="str">
        <f>VLOOKUP(Z362,Sheet3!$F$4:$G$10,2,1)</f>
        <v>5-10</v>
      </c>
      <c r="AO362" s="5" t="str">
        <f>VLOOKUP(AA362,Sheet3!$I$3:$J$16,2,1)</f>
        <v>80000-100000</v>
      </c>
      <c r="AP362" s="5" t="str">
        <f>VLOOKUP(AB362,Sheet3!$L$4:$M$14,2,1)</f>
        <v>21% - 25%</v>
      </c>
    </row>
    <row r="363">
      <c r="A363" s="6">
        <v>443072.0</v>
      </c>
      <c r="B363" s="1" t="s">
        <v>66</v>
      </c>
      <c r="C363" s="1" t="s">
        <v>4060</v>
      </c>
      <c r="D363" s="1" t="s">
        <v>443</v>
      </c>
      <c r="E363" s="1" t="s">
        <v>4061</v>
      </c>
      <c r="F363" s="1" t="s">
        <v>70</v>
      </c>
      <c r="G363" s="1" t="s">
        <v>4062</v>
      </c>
      <c r="H363" s="1" t="s">
        <v>1395</v>
      </c>
      <c r="I363" s="1" t="s">
        <v>4063</v>
      </c>
      <c r="J363" s="1" t="s">
        <v>4064</v>
      </c>
      <c r="K363" s="1" t="s">
        <v>505</v>
      </c>
      <c r="L363" s="9">
        <v>28789.0</v>
      </c>
      <c r="M363" s="8">
        <v>0.031122685185185184</v>
      </c>
      <c r="N363" s="6">
        <v>38.78</v>
      </c>
      <c r="O363" s="6">
        <v>64.0</v>
      </c>
      <c r="P363" s="9">
        <v>37010.0</v>
      </c>
      <c r="Q363" s="1" t="s">
        <v>75</v>
      </c>
      <c r="R363" s="1" t="s">
        <v>76</v>
      </c>
      <c r="S363" s="6">
        <v>2001.0</v>
      </c>
      <c r="T363" s="6">
        <v>4.0</v>
      </c>
      <c r="U363" s="1" t="s">
        <v>77</v>
      </c>
      <c r="V363" s="1" t="s">
        <v>78</v>
      </c>
      <c r="W363" s="6">
        <v>29.0</v>
      </c>
      <c r="X363" s="1" t="s">
        <v>534</v>
      </c>
      <c r="Y363" s="1" t="s">
        <v>535</v>
      </c>
      <c r="Z363" s="6">
        <v>16.26</v>
      </c>
      <c r="AA363" s="6">
        <v>84964.0</v>
      </c>
      <c r="AB363" s="10">
        <v>0.3</v>
      </c>
      <c r="AC363" s="1" t="s">
        <v>4065</v>
      </c>
      <c r="AD363" s="1" t="s">
        <v>4066</v>
      </c>
      <c r="AE363" s="1" t="s">
        <v>4067</v>
      </c>
      <c r="AF363" s="1" t="s">
        <v>4067</v>
      </c>
      <c r="AG363" s="1" t="s">
        <v>4067</v>
      </c>
      <c r="AH363" s="1" t="s">
        <v>238</v>
      </c>
      <c r="AI363" s="6">
        <v>92272.0</v>
      </c>
      <c r="AJ363" s="1" t="s">
        <v>63</v>
      </c>
      <c r="AK363" s="1" t="s">
        <v>4068</v>
      </c>
      <c r="AL363" s="1" t="s">
        <v>4069</v>
      </c>
      <c r="AM363" s="11" t="str">
        <f>VLOOKUP(N363,Sheet3!$B$4:$C$10,2,1)</f>
        <v>31-40</v>
      </c>
      <c r="AN363" s="12" t="str">
        <f>VLOOKUP(Z363,Sheet3!$F$4:$G$10,2,1)</f>
        <v>11-20</v>
      </c>
      <c r="AO363" s="5" t="str">
        <f>VLOOKUP(AA363,Sheet3!$I$3:$J$16,2,1)</f>
        <v>80000-100000</v>
      </c>
      <c r="AP363" s="5" t="str">
        <f>VLOOKUP(AB363,Sheet3!$L$4:$M$14,2,1)</f>
        <v>26% - 30%</v>
      </c>
    </row>
    <row r="364">
      <c r="A364" s="6">
        <v>232070.0</v>
      </c>
      <c r="B364" s="1" t="s">
        <v>109</v>
      </c>
      <c r="C364" s="1" t="s">
        <v>4070</v>
      </c>
      <c r="D364" s="1" t="s">
        <v>443</v>
      </c>
      <c r="E364" s="1" t="s">
        <v>4071</v>
      </c>
      <c r="F364" s="1" t="s">
        <v>46</v>
      </c>
      <c r="G364" s="1" t="s">
        <v>4072</v>
      </c>
      <c r="H364" s="1" t="s">
        <v>1395</v>
      </c>
      <c r="I364" s="1" t="s">
        <v>4073</v>
      </c>
      <c r="J364" s="1" t="s">
        <v>4074</v>
      </c>
      <c r="K364" s="1" t="s">
        <v>635</v>
      </c>
      <c r="L364" s="14">
        <v>25936.0</v>
      </c>
      <c r="M364" s="8">
        <v>0.8600578703703704</v>
      </c>
      <c r="N364" s="6">
        <v>46.6</v>
      </c>
      <c r="O364" s="6">
        <v>60.0</v>
      </c>
      <c r="P364" s="9">
        <v>41628.0</v>
      </c>
      <c r="Q364" s="1" t="s">
        <v>52</v>
      </c>
      <c r="R364" s="1" t="s">
        <v>53</v>
      </c>
      <c r="S364" s="6">
        <v>2013.0</v>
      </c>
      <c r="T364" s="6">
        <v>12.0</v>
      </c>
      <c r="U364" s="1" t="s">
        <v>54</v>
      </c>
      <c r="V364" s="1" t="s">
        <v>55</v>
      </c>
      <c r="W364" s="6">
        <v>20.0</v>
      </c>
      <c r="X364" s="1" t="s">
        <v>263</v>
      </c>
      <c r="Y364" s="1" t="s">
        <v>264</v>
      </c>
      <c r="Z364" s="6">
        <v>3.61</v>
      </c>
      <c r="AA364" s="6">
        <v>182390.0</v>
      </c>
      <c r="AB364" s="10">
        <v>0.03</v>
      </c>
      <c r="AC364" s="1" t="s">
        <v>4075</v>
      </c>
      <c r="AD364" s="1" t="s">
        <v>4076</v>
      </c>
      <c r="AE364" s="1" t="s">
        <v>4077</v>
      </c>
      <c r="AF364" s="1" t="s">
        <v>4077</v>
      </c>
      <c r="AG364" s="1" t="s">
        <v>4077</v>
      </c>
      <c r="AH364" s="1" t="s">
        <v>85</v>
      </c>
      <c r="AI364" s="6">
        <v>48363.0</v>
      </c>
      <c r="AJ364" s="1" t="s">
        <v>86</v>
      </c>
      <c r="AK364" s="1" t="s">
        <v>4078</v>
      </c>
      <c r="AL364" s="1" t="s">
        <v>4079</v>
      </c>
      <c r="AM364" s="11" t="str">
        <f>VLOOKUP(N364,Sheet3!$B$4:$C$10,2,1)</f>
        <v>41-50</v>
      </c>
      <c r="AN364" s="13" t="str">
        <f>VLOOKUP(Z364,Sheet3!$F$4:$G$10,2,1)</f>
        <v>&lt; 5</v>
      </c>
      <c r="AO364" s="5" t="str">
        <f>VLOOKUP(AA364,Sheet3!$I$3:$J$16,2,1)</f>
        <v>180000-200000</v>
      </c>
      <c r="AP364" s="5" t="str">
        <f>VLOOKUP(AB364,Sheet3!$L$4:$M$14,2,1)</f>
        <v>&lt; 5%</v>
      </c>
    </row>
    <row r="365">
      <c r="A365" s="6">
        <v>902132.0</v>
      </c>
      <c r="B365" s="1" t="s">
        <v>109</v>
      </c>
      <c r="C365" s="1" t="s">
        <v>4080</v>
      </c>
      <c r="D365" s="1" t="s">
        <v>318</v>
      </c>
      <c r="E365" s="1" t="s">
        <v>3621</v>
      </c>
      <c r="F365" s="1" t="s">
        <v>46</v>
      </c>
      <c r="G365" s="1" t="s">
        <v>4081</v>
      </c>
      <c r="H365" s="1" t="s">
        <v>1395</v>
      </c>
      <c r="I365" s="1" t="s">
        <v>4082</v>
      </c>
      <c r="J365" s="1" t="s">
        <v>4083</v>
      </c>
      <c r="K365" s="1" t="s">
        <v>69</v>
      </c>
      <c r="L365" s="14">
        <v>30048.0</v>
      </c>
      <c r="M365" s="8">
        <v>0.809849537037037</v>
      </c>
      <c r="N365" s="6">
        <v>35.33</v>
      </c>
      <c r="O365" s="6">
        <v>57.0</v>
      </c>
      <c r="P365" s="9">
        <v>41849.0</v>
      </c>
      <c r="Q365" s="1" t="s">
        <v>308</v>
      </c>
      <c r="R365" s="1" t="s">
        <v>53</v>
      </c>
      <c r="S365" s="6">
        <v>2014.0</v>
      </c>
      <c r="T365" s="6">
        <v>7.0</v>
      </c>
      <c r="U365" s="1" t="s">
        <v>366</v>
      </c>
      <c r="V365" s="1" t="s">
        <v>367</v>
      </c>
      <c r="W365" s="6">
        <v>29.0</v>
      </c>
      <c r="X365" s="1" t="s">
        <v>79</v>
      </c>
      <c r="Y365" s="1" t="s">
        <v>80</v>
      </c>
      <c r="Z365" s="6">
        <v>3.0</v>
      </c>
      <c r="AA365" s="6">
        <v>71784.0</v>
      </c>
      <c r="AB365" s="10">
        <v>0.26</v>
      </c>
      <c r="AC365" s="1" t="s">
        <v>4084</v>
      </c>
      <c r="AD365" s="1" t="s">
        <v>4085</v>
      </c>
      <c r="AE365" s="1" t="s">
        <v>4086</v>
      </c>
      <c r="AF365" s="1" t="s">
        <v>4087</v>
      </c>
      <c r="AG365" s="1" t="s">
        <v>4086</v>
      </c>
      <c r="AH365" s="1" t="s">
        <v>488</v>
      </c>
      <c r="AI365" s="6">
        <v>32211.0</v>
      </c>
      <c r="AJ365" s="1" t="s">
        <v>106</v>
      </c>
      <c r="AK365" s="1" t="s">
        <v>4088</v>
      </c>
      <c r="AL365" s="1" t="s">
        <v>4089</v>
      </c>
      <c r="AM365" s="11" t="str">
        <f>VLOOKUP(N365,Sheet3!$B$4:$C$10,2,1)</f>
        <v>31-40</v>
      </c>
      <c r="AN365" s="13" t="str">
        <f>VLOOKUP(Z365,Sheet3!$F$4:$G$10,2,1)</f>
        <v>&lt; 5</v>
      </c>
      <c r="AO365" s="5" t="str">
        <f>VLOOKUP(AA365,Sheet3!$I$3:$J$16,2,1)</f>
        <v>60000-80000</v>
      </c>
      <c r="AP365" s="5" t="str">
        <f>VLOOKUP(AB365,Sheet3!$L$4:$M$14,2,1)</f>
        <v>26% - 30%</v>
      </c>
    </row>
    <row r="366">
      <c r="A366" s="6">
        <v>280781.0</v>
      </c>
      <c r="B366" s="1" t="s">
        <v>109</v>
      </c>
      <c r="C366" s="1" t="s">
        <v>4090</v>
      </c>
      <c r="D366" s="1" t="s">
        <v>1300</v>
      </c>
      <c r="E366" s="1" t="s">
        <v>4091</v>
      </c>
      <c r="F366" s="1" t="s">
        <v>46</v>
      </c>
      <c r="G366" s="1" t="s">
        <v>4092</v>
      </c>
      <c r="H366" s="1" t="s">
        <v>1395</v>
      </c>
      <c r="I366" s="1" t="s">
        <v>4093</v>
      </c>
      <c r="J366" s="1" t="s">
        <v>4094</v>
      </c>
      <c r="K366" s="1" t="s">
        <v>4095</v>
      </c>
      <c r="L366" s="9">
        <v>29147.0</v>
      </c>
      <c r="M366" s="8">
        <v>0.6039351851851852</v>
      </c>
      <c r="N366" s="6">
        <v>37.8</v>
      </c>
      <c r="O366" s="6">
        <v>43.0</v>
      </c>
      <c r="P366" s="9">
        <v>39339.0</v>
      </c>
      <c r="Q366" s="1" t="s">
        <v>308</v>
      </c>
      <c r="R366" s="1" t="s">
        <v>53</v>
      </c>
      <c r="S366" s="6">
        <v>2007.0</v>
      </c>
      <c r="T366" s="6">
        <v>9.0</v>
      </c>
      <c r="U366" s="1" t="s">
        <v>309</v>
      </c>
      <c r="V366" s="1" t="s">
        <v>310</v>
      </c>
      <c r="W366" s="6">
        <v>14.0</v>
      </c>
      <c r="X366" s="1" t="s">
        <v>263</v>
      </c>
      <c r="Y366" s="1" t="s">
        <v>264</v>
      </c>
      <c r="Z366" s="6">
        <v>9.88</v>
      </c>
      <c r="AA366" s="6">
        <v>128589.0</v>
      </c>
      <c r="AB366" s="10">
        <v>0.01</v>
      </c>
      <c r="AC366" s="1" t="s">
        <v>4096</v>
      </c>
      <c r="AD366" s="1" t="s">
        <v>4097</v>
      </c>
      <c r="AE366" s="1" t="s">
        <v>4098</v>
      </c>
      <c r="AF366" s="1" t="s">
        <v>4099</v>
      </c>
      <c r="AG366" s="1" t="s">
        <v>4098</v>
      </c>
      <c r="AH366" s="1" t="s">
        <v>169</v>
      </c>
      <c r="AI366" s="6">
        <v>78116.0</v>
      </c>
      <c r="AJ366" s="1" t="s">
        <v>106</v>
      </c>
      <c r="AK366" s="1" t="s">
        <v>4100</v>
      </c>
      <c r="AL366" s="1" t="s">
        <v>4101</v>
      </c>
      <c r="AM366" s="11" t="str">
        <f>VLOOKUP(N366,Sheet3!$B$4:$C$10,2,1)</f>
        <v>31-40</v>
      </c>
      <c r="AN366" s="12" t="str">
        <f>VLOOKUP(Z366,Sheet3!$F$4:$G$10,2,1)</f>
        <v>5-10</v>
      </c>
      <c r="AO366" s="5" t="str">
        <f>VLOOKUP(AA366,Sheet3!$I$3:$J$16,2,1)</f>
        <v>120000-140000</v>
      </c>
      <c r="AP366" s="5" t="str">
        <f>VLOOKUP(AB366,Sheet3!$L$4:$M$14,2,1)</f>
        <v>&lt; 5%</v>
      </c>
    </row>
    <row r="367">
      <c r="A367" s="6">
        <v>589440.0</v>
      </c>
      <c r="B367" s="1" t="s">
        <v>227</v>
      </c>
      <c r="C367" s="1" t="s">
        <v>4102</v>
      </c>
      <c r="D367" s="1" t="s">
        <v>334</v>
      </c>
      <c r="E367" s="1" t="s">
        <v>4103</v>
      </c>
      <c r="F367" s="1" t="s">
        <v>70</v>
      </c>
      <c r="G367" s="1" t="s">
        <v>4104</v>
      </c>
      <c r="H367" s="1" t="s">
        <v>1395</v>
      </c>
      <c r="I367" s="1" t="s">
        <v>4105</v>
      </c>
      <c r="J367" s="1" t="s">
        <v>4106</v>
      </c>
      <c r="K367" s="1" t="s">
        <v>2141</v>
      </c>
      <c r="L367" s="14">
        <v>28647.0</v>
      </c>
      <c r="M367" s="8">
        <v>0.8388078703703704</v>
      </c>
      <c r="N367" s="6">
        <v>39.17</v>
      </c>
      <c r="O367" s="6">
        <v>89.0</v>
      </c>
      <c r="P367" s="14">
        <v>40645.0</v>
      </c>
      <c r="Q367" s="1" t="s">
        <v>75</v>
      </c>
      <c r="R367" s="1" t="s">
        <v>76</v>
      </c>
      <c r="S367" s="6">
        <v>2011.0</v>
      </c>
      <c r="T367" s="6">
        <v>4.0</v>
      </c>
      <c r="U367" s="1" t="s">
        <v>77</v>
      </c>
      <c r="V367" s="1" t="s">
        <v>78</v>
      </c>
      <c r="W367" s="6">
        <v>12.0</v>
      </c>
      <c r="X367" s="1" t="s">
        <v>79</v>
      </c>
      <c r="Y367" s="1" t="s">
        <v>80</v>
      </c>
      <c r="Z367" s="6">
        <v>6.3</v>
      </c>
      <c r="AA367" s="6">
        <v>133205.0</v>
      </c>
      <c r="AB367" s="10">
        <v>0.09</v>
      </c>
      <c r="AC367" s="1" t="s">
        <v>4107</v>
      </c>
      <c r="AD367" s="1" t="s">
        <v>4108</v>
      </c>
      <c r="AE367" s="1" t="s">
        <v>4109</v>
      </c>
      <c r="AF367" s="1" t="s">
        <v>3668</v>
      </c>
      <c r="AG367" s="1" t="s">
        <v>4109</v>
      </c>
      <c r="AH367" s="1" t="s">
        <v>356</v>
      </c>
      <c r="AI367" s="6">
        <v>11961.0</v>
      </c>
      <c r="AJ367" s="1" t="s">
        <v>224</v>
      </c>
      <c r="AK367" s="1" t="s">
        <v>4110</v>
      </c>
      <c r="AL367" s="1" t="s">
        <v>4111</v>
      </c>
      <c r="AM367" s="11" t="str">
        <f>VLOOKUP(N367,Sheet3!$B$4:$C$10,2,1)</f>
        <v>31-40</v>
      </c>
      <c r="AN367" s="12" t="str">
        <f>VLOOKUP(Z367,Sheet3!$F$4:$G$10,2,1)</f>
        <v>5-10</v>
      </c>
      <c r="AO367" s="5" t="str">
        <f>VLOOKUP(AA367,Sheet3!$I$3:$J$16,2,1)</f>
        <v>120000-140000</v>
      </c>
      <c r="AP367" s="5" t="str">
        <f>VLOOKUP(AB367,Sheet3!$L$4:$M$14,2,1)</f>
        <v>5% - 10%</v>
      </c>
    </row>
    <row r="368">
      <c r="A368" s="6">
        <v>940754.0</v>
      </c>
      <c r="B368" s="1" t="s">
        <v>42</v>
      </c>
      <c r="C368" s="1" t="s">
        <v>4112</v>
      </c>
      <c r="D368" s="1" t="s">
        <v>529</v>
      </c>
      <c r="E368" s="1" t="s">
        <v>361</v>
      </c>
      <c r="F368" s="1" t="s">
        <v>46</v>
      </c>
      <c r="G368" s="1" t="s">
        <v>4113</v>
      </c>
      <c r="H368" s="1" t="s">
        <v>1395</v>
      </c>
      <c r="I368" s="1" t="s">
        <v>4114</v>
      </c>
      <c r="J368" s="1" t="s">
        <v>4115</v>
      </c>
      <c r="K368" s="1" t="s">
        <v>4116</v>
      </c>
      <c r="L368" s="9">
        <v>28563.0</v>
      </c>
      <c r="M368" s="8">
        <v>0.6621527777777778</v>
      </c>
      <c r="N368" s="6">
        <v>39.4</v>
      </c>
      <c r="O368" s="6">
        <v>52.0</v>
      </c>
      <c r="P368" s="9">
        <v>37193.0</v>
      </c>
      <c r="Q368" s="1" t="s">
        <v>52</v>
      </c>
      <c r="R368" s="1" t="s">
        <v>53</v>
      </c>
      <c r="S368" s="6">
        <v>2001.0</v>
      </c>
      <c r="T368" s="6">
        <v>10.0</v>
      </c>
      <c r="U368" s="1" t="s">
        <v>133</v>
      </c>
      <c r="V368" s="1" t="s">
        <v>134</v>
      </c>
      <c r="W368" s="6">
        <v>29.0</v>
      </c>
      <c r="X368" s="1" t="s">
        <v>99</v>
      </c>
      <c r="Y368" s="1" t="s">
        <v>100</v>
      </c>
      <c r="Z368" s="6">
        <v>15.76</v>
      </c>
      <c r="AA368" s="6">
        <v>104269.0</v>
      </c>
      <c r="AB368" s="10">
        <v>0.03</v>
      </c>
      <c r="AC368" s="1" t="s">
        <v>4117</v>
      </c>
      <c r="AD368" s="1" t="s">
        <v>4118</v>
      </c>
      <c r="AE368" s="1" t="s">
        <v>4119</v>
      </c>
      <c r="AF368" s="1" t="s">
        <v>4120</v>
      </c>
      <c r="AG368" s="1" t="s">
        <v>4119</v>
      </c>
      <c r="AH368" s="1" t="s">
        <v>238</v>
      </c>
      <c r="AI368" s="6">
        <v>96055.0</v>
      </c>
      <c r="AJ368" s="1" t="s">
        <v>63</v>
      </c>
      <c r="AK368" s="1" t="s">
        <v>4121</v>
      </c>
      <c r="AL368" s="1" t="s">
        <v>4122</v>
      </c>
      <c r="AM368" s="11" t="str">
        <f>VLOOKUP(N368,Sheet3!$B$4:$C$10,2,1)</f>
        <v>31-40</v>
      </c>
      <c r="AN368" s="12" t="str">
        <f>VLOOKUP(Z368,Sheet3!$F$4:$G$10,2,1)</f>
        <v>11-20</v>
      </c>
      <c r="AO368" s="5" t="str">
        <f>VLOOKUP(AA368,Sheet3!$I$3:$J$16,2,1)</f>
        <v>100000-120000</v>
      </c>
      <c r="AP368" s="5" t="str">
        <f>VLOOKUP(AB368,Sheet3!$L$4:$M$14,2,1)</f>
        <v>&lt; 5%</v>
      </c>
    </row>
    <row r="369">
      <c r="A369" s="6">
        <v>888277.0</v>
      </c>
      <c r="B369" s="1" t="s">
        <v>227</v>
      </c>
      <c r="C369" s="1" t="s">
        <v>4123</v>
      </c>
      <c r="D369" s="1" t="s">
        <v>111</v>
      </c>
      <c r="E369" s="1" t="s">
        <v>1495</v>
      </c>
      <c r="F369" s="1" t="s">
        <v>70</v>
      </c>
      <c r="G369" s="1" t="s">
        <v>4124</v>
      </c>
      <c r="H369" s="1" t="s">
        <v>1395</v>
      </c>
      <c r="I369" s="1" t="s">
        <v>4125</v>
      </c>
      <c r="J369" s="1" t="s">
        <v>4126</v>
      </c>
      <c r="K369" s="1" t="s">
        <v>1177</v>
      </c>
      <c r="L369" s="9">
        <v>31913.0</v>
      </c>
      <c r="M369" s="8">
        <v>0.1970949074074074</v>
      </c>
      <c r="N369" s="6">
        <v>30.22</v>
      </c>
      <c r="O369" s="6">
        <v>67.0</v>
      </c>
      <c r="P369" s="9">
        <v>42752.0</v>
      </c>
      <c r="Q369" s="1" t="s">
        <v>96</v>
      </c>
      <c r="R369" s="1" t="s">
        <v>76</v>
      </c>
      <c r="S369" s="6">
        <v>2017.0</v>
      </c>
      <c r="T369" s="6">
        <v>1.0</v>
      </c>
      <c r="U369" s="1" t="s">
        <v>276</v>
      </c>
      <c r="V369" s="1" t="s">
        <v>277</v>
      </c>
      <c r="W369" s="6">
        <v>17.0</v>
      </c>
      <c r="X369" s="1" t="s">
        <v>79</v>
      </c>
      <c r="Y369" s="1" t="s">
        <v>80</v>
      </c>
      <c r="Z369" s="6">
        <v>0.53</v>
      </c>
      <c r="AA369" s="6">
        <v>146342.0</v>
      </c>
      <c r="AB369" s="10">
        <v>0.11</v>
      </c>
      <c r="AC369" s="1" t="s">
        <v>4127</v>
      </c>
      <c r="AD369" s="1" t="s">
        <v>4128</v>
      </c>
      <c r="AE369" s="1" t="s">
        <v>4129</v>
      </c>
      <c r="AF369" s="1" t="s">
        <v>1539</v>
      </c>
      <c r="AG369" s="1" t="s">
        <v>4129</v>
      </c>
      <c r="AH369" s="1" t="s">
        <v>356</v>
      </c>
      <c r="AI369" s="6">
        <v>10988.0</v>
      </c>
      <c r="AJ369" s="1" t="s">
        <v>224</v>
      </c>
      <c r="AK369" s="1" t="s">
        <v>4130</v>
      </c>
      <c r="AL369" s="1" t="s">
        <v>4131</v>
      </c>
      <c r="AM369" s="11" t="str">
        <f>VLOOKUP(N369,Sheet3!$B$4:$C$10,2,1)</f>
        <v>21-30</v>
      </c>
      <c r="AN369" s="13" t="str">
        <f>VLOOKUP(Z369,Sheet3!$F$4:$G$10,2,1)</f>
        <v>&lt; 5</v>
      </c>
      <c r="AO369" s="5" t="str">
        <f>VLOOKUP(AA369,Sheet3!$I$3:$J$16,2,1)</f>
        <v>140000-160000</v>
      </c>
      <c r="AP369" s="5" t="str">
        <f>VLOOKUP(AB369,Sheet3!$L$4:$M$14,2,1)</f>
        <v>11% - 15%</v>
      </c>
    </row>
    <row r="370">
      <c r="A370" s="6">
        <v>430202.0</v>
      </c>
      <c r="B370" s="1" t="s">
        <v>42</v>
      </c>
      <c r="C370" s="1" t="s">
        <v>4132</v>
      </c>
      <c r="D370" s="1" t="s">
        <v>334</v>
      </c>
      <c r="E370" s="1" t="s">
        <v>4133</v>
      </c>
      <c r="F370" s="1" t="s">
        <v>46</v>
      </c>
      <c r="G370" s="1" t="s">
        <v>4134</v>
      </c>
      <c r="H370" s="1" t="s">
        <v>1395</v>
      </c>
      <c r="I370" s="1" t="s">
        <v>4135</v>
      </c>
      <c r="J370" s="1" t="s">
        <v>4136</v>
      </c>
      <c r="K370" s="1" t="s">
        <v>3515</v>
      </c>
      <c r="L370" s="9">
        <v>34937.0</v>
      </c>
      <c r="M370" s="8">
        <v>0.07023148148148148</v>
      </c>
      <c r="N370" s="6">
        <v>21.94</v>
      </c>
      <c r="O370" s="6">
        <v>59.0</v>
      </c>
      <c r="P370" s="9">
        <v>42636.0</v>
      </c>
      <c r="Q370" s="1" t="s">
        <v>308</v>
      </c>
      <c r="R370" s="1" t="s">
        <v>53</v>
      </c>
      <c r="S370" s="6">
        <v>2016.0</v>
      </c>
      <c r="T370" s="6">
        <v>9.0</v>
      </c>
      <c r="U370" s="1" t="s">
        <v>309</v>
      </c>
      <c r="V370" s="1" t="s">
        <v>310</v>
      </c>
      <c r="W370" s="6">
        <v>23.0</v>
      </c>
      <c r="X370" s="1" t="s">
        <v>263</v>
      </c>
      <c r="Y370" s="1" t="s">
        <v>264</v>
      </c>
      <c r="Z370" s="6">
        <v>0.84</v>
      </c>
      <c r="AA370" s="6">
        <v>104332.0</v>
      </c>
      <c r="AB370" s="10">
        <v>0.09</v>
      </c>
      <c r="AC370" s="1" t="s">
        <v>4137</v>
      </c>
      <c r="AD370" s="1" t="s">
        <v>4138</v>
      </c>
      <c r="AE370" s="1" t="s">
        <v>4139</v>
      </c>
      <c r="AF370" s="1" t="s">
        <v>930</v>
      </c>
      <c r="AG370" s="1" t="s">
        <v>4139</v>
      </c>
      <c r="AH370" s="1" t="s">
        <v>974</v>
      </c>
      <c r="AI370" s="6">
        <v>43558.0</v>
      </c>
      <c r="AJ370" s="1" t="s">
        <v>86</v>
      </c>
      <c r="AK370" s="1" t="s">
        <v>4140</v>
      </c>
      <c r="AL370" s="1" t="s">
        <v>4141</v>
      </c>
      <c r="AM370" s="11" t="str">
        <f>VLOOKUP(N370,Sheet3!$B$4:$C$10,2,1)</f>
        <v>21-30</v>
      </c>
      <c r="AN370" s="13" t="str">
        <f>VLOOKUP(Z370,Sheet3!$F$4:$G$10,2,1)</f>
        <v>&lt; 5</v>
      </c>
      <c r="AO370" s="5" t="str">
        <f>VLOOKUP(AA370,Sheet3!$I$3:$J$16,2,1)</f>
        <v>100000-120000</v>
      </c>
      <c r="AP370" s="5" t="str">
        <f>VLOOKUP(AB370,Sheet3!$L$4:$M$14,2,1)</f>
        <v>5% - 10%</v>
      </c>
    </row>
    <row r="371">
      <c r="A371" s="6">
        <v>928723.0</v>
      </c>
      <c r="B371" s="1" t="s">
        <v>109</v>
      </c>
      <c r="C371" s="1" t="s">
        <v>4142</v>
      </c>
      <c r="D371" s="1" t="s">
        <v>70</v>
      </c>
      <c r="E371" s="1" t="s">
        <v>2195</v>
      </c>
      <c r="F371" s="1" t="s">
        <v>46</v>
      </c>
      <c r="G371" s="1" t="s">
        <v>4143</v>
      </c>
      <c r="H371" s="1" t="s">
        <v>1395</v>
      </c>
      <c r="I371" s="1" t="s">
        <v>4144</v>
      </c>
      <c r="J371" s="1" t="s">
        <v>4145</v>
      </c>
      <c r="K371" s="1" t="s">
        <v>1123</v>
      </c>
      <c r="L371" s="9">
        <v>24493.0</v>
      </c>
      <c r="M371" s="8">
        <v>0.12496527777777777</v>
      </c>
      <c r="N371" s="6">
        <v>50.55</v>
      </c>
      <c r="O371" s="6">
        <v>40.0</v>
      </c>
      <c r="P371" s="14">
        <v>39783.0</v>
      </c>
      <c r="Q371" s="1" t="s">
        <v>52</v>
      </c>
      <c r="R371" s="1" t="s">
        <v>53</v>
      </c>
      <c r="S371" s="6">
        <v>2008.0</v>
      </c>
      <c r="T371" s="6">
        <v>12.0</v>
      </c>
      <c r="U371" s="1" t="s">
        <v>54</v>
      </c>
      <c r="V371" s="1" t="s">
        <v>55</v>
      </c>
      <c r="W371" s="6">
        <v>1.0</v>
      </c>
      <c r="X371" s="1" t="s">
        <v>99</v>
      </c>
      <c r="Y371" s="1" t="s">
        <v>100</v>
      </c>
      <c r="Z371" s="6">
        <v>8.66</v>
      </c>
      <c r="AA371" s="6">
        <v>127733.0</v>
      </c>
      <c r="AB371" s="10">
        <v>0.11</v>
      </c>
      <c r="AC371" s="1" t="s">
        <v>4146</v>
      </c>
      <c r="AD371" s="1" t="s">
        <v>4147</v>
      </c>
      <c r="AE371" s="1" t="s">
        <v>4148</v>
      </c>
      <c r="AF371" s="1" t="s">
        <v>4149</v>
      </c>
      <c r="AG371" s="1" t="s">
        <v>4148</v>
      </c>
      <c r="AH371" s="1" t="s">
        <v>2536</v>
      </c>
      <c r="AI371" s="6">
        <v>5757.0</v>
      </c>
      <c r="AJ371" s="1" t="s">
        <v>224</v>
      </c>
      <c r="AK371" s="1" t="s">
        <v>4150</v>
      </c>
      <c r="AL371" s="1" t="s">
        <v>4151</v>
      </c>
      <c r="AM371" s="11" t="str">
        <f>VLOOKUP(N371,Sheet3!$B$4:$C$10,2,1)</f>
        <v>41-50</v>
      </c>
      <c r="AN371" s="12" t="str">
        <f>VLOOKUP(Z371,Sheet3!$F$4:$G$10,2,1)</f>
        <v>5-10</v>
      </c>
      <c r="AO371" s="5" t="str">
        <f>VLOOKUP(AA371,Sheet3!$I$3:$J$16,2,1)</f>
        <v>120000-140000</v>
      </c>
      <c r="AP371" s="5" t="str">
        <f>VLOOKUP(AB371,Sheet3!$L$4:$M$14,2,1)</f>
        <v>11% - 15%</v>
      </c>
    </row>
    <row r="372">
      <c r="A372" s="6">
        <v>449164.0</v>
      </c>
      <c r="B372" s="1" t="s">
        <v>89</v>
      </c>
      <c r="C372" s="1" t="s">
        <v>3981</v>
      </c>
      <c r="D372" s="1" t="s">
        <v>242</v>
      </c>
      <c r="E372" s="1" t="s">
        <v>1976</v>
      </c>
      <c r="F372" s="1" t="s">
        <v>46</v>
      </c>
      <c r="G372" s="1" t="s">
        <v>4152</v>
      </c>
      <c r="H372" s="1" t="s">
        <v>1395</v>
      </c>
      <c r="I372" s="1" t="s">
        <v>4153</v>
      </c>
      <c r="J372" s="1" t="s">
        <v>4154</v>
      </c>
      <c r="K372" s="1" t="s">
        <v>3797</v>
      </c>
      <c r="L372" s="9">
        <v>25777.0</v>
      </c>
      <c r="M372" s="8">
        <v>0.22409722222222223</v>
      </c>
      <c r="N372" s="6">
        <v>47.03</v>
      </c>
      <c r="O372" s="6">
        <v>47.0</v>
      </c>
      <c r="P372" s="14">
        <v>36625.0</v>
      </c>
      <c r="Q372" s="1" t="s">
        <v>75</v>
      </c>
      <c r="R372" s="1" t="s">
        <v>76</v>
      </c>
      <c r="S372" s="6">
        <v>2000.0</v>
      </c>
      <c r="T372" s="6">
        <v>4.0</v>
      </c>
      <c r="U372" s="1" t="s">
        <v>77</v>
      </c>
      <c r="V372" s="1" t="s">
        <v>78</v>
      </c>
      <c r="W372" s="6">
        <v>9.0</v>
      </c>
      <c r="X372" s="1" t="s">
        <v>534</v>
      </c>
      <c r="Y372" s="1" t="s">
        <v>535</v>
      </c>
      <c r="Z372" s="6">
        <v>17.31</v>
      </c>
      <c r="AA372" s="6">
        <v>75411.0</v>
      </c>
      <c r="AB372" s="10">
        <v>0.24</v>
      </c>
      <c r="AC372" s="1" t="s">
        <v>4155</v>
      </c>
      <c r="AD372" s="1" t="s">
        <v>4156</v>
      </c>
      <c r="AE372" s="1" t="s">
        <v>4157</v>
      </c>
      <c r="AF372" s="1" t="s">
        <v>4158</v>
      </c>
      <c r="AG372" s="1" t="s">
        <v>4157</v>
      </c>
      <c r="AH372" s="1" t="s">
        <v>2007</v>
      </c>
      <c r="AI372" s="6">
        <v>87011.0</v>
      </c>
      <c r="AJ372" s="1" t="s">
        <v>63</v>
      </c>
      <c r="AK372" s="1" t="s">
        <v>4159</v>
      </c>
      <c r="AL372" s="1" t="s">
        <v>4160</v>
      </c>
      <c r="AM372" s="11" t="str">
        <f>VLOOKUP(N372,Sheet3!$B$4:$C$10,2,1)</f>
        <v>41-50</v>
      </c>
      <c r="AN372" s="12" t="str">
        <f>VLOOKUP(Z372,Sheet3!$F$4:$G$10,2,1)</f>
        <v>11-20</v>
      </c>
      <c r="AO372" s="5" t="str">
        <f>VLOOKUP(AA372,Sheet3!$I$3:$J$16,2,1)</f>
        <v>60000-80000</v>
      </c>
      <c r="AP372" s="5" t="str">
        <f>VLOOKUP(AB372,Sheet3!$L$4:$M$14,2,1)</f>
        <v>21% - 25%</v>
      </c>
    </row>
    <row r="373">
      <c r="A373" s="6">
        <v>117603.0</v>
      </c>
      <c r="B373" s="1" t="s">
        <v>66</v>
      </c>
      <c r="C373" s="1" t="s">
        <v>4161</v>
      </c>
      <c r="D373" s="1" t="s">
        <v>44</v>
      </c>
      <c r="E373" s="1" t="s">
        <v>116</v>
      </c>
      <c r="F373" s="1" t="s">
        <v>70</v>
      </c>
      <c r="G373" s="1" t="s">
        <v>4162</v>
      </c>
      <c r="H373" s="1" t="s">
        <v>1395</v>
      </c>
      <c r="I373" s="1" t="s">
        <v>4163</v>
      </c>
      <c r="J373" s="1" t="s">
        <v>4164</v>
      </c>
      <c r="K373" s="1" t="s">
        <v>1976</v>
      </c>
      <c r="L373" s="9">
        <v>33537.0</v>
      </c>
      <c r="M373" s="8">
        <v>0.22447916666666667</v>
      </c>
      <c r="N373" s="6">
        <v>25.77</v>
      </c>
      <c r="O373" s="6">
        <v>61.0</v>
      </c>
      <c r="P373" s="9">
        <v>41266.0</v>
      </c>
      <c r="Q373" s="1" t="s">
        <v>52</v>
      </c>
      <c r="R373" s="1" t="s">
        <v>53</v>
      </c>
      <c r="S373" s="6">
        <v>2012.0</v>
      </c>
      <c r="T373" s="6">
        <v>12.0</v>
      </c>
      <c r="U373" s="1" t="s">
        <v>54</v>
      </c>
      <c r="V373" s="1" t="s">
        <v>55</v>
      </c>
      <c r="W373" s="6">
        <v>23.0</v>
      </c>
      <c r="X373" s="1" t="s">
        <v>534</v>
      </c>
      <c r="Y373" s="1" t="s">
        <v>535</v>
      </c>
      <c r="Z373" s="6">
        <v>4.6</v>
      </c>
      <c r="AA373" s="6">
        <v>88733.0</v>
      </c>
      <c r="AB373" s="10">
        <v>0.02</v>
      </c>
      <c r="AC373" s="1" t="s">
        <v>4165</v>
      </c>
      <c r="AD373" s="1" t="s">
        <v>4166</v>
      </c>
      <c r="AE373" s="1" t="s">
        <v>4167</v>
      </c>
      <c r="AF373" s="1" t="s">
        <v>4168</v>
      </c>
      <c r="AG373" s="1" t="s">
        <v>4167</v>
      </c>
      <c r="AH373" s="1" t="s">
        <v>356</v>
      </c>
      <c r="AI373" s="6">
        <v>14111.0</v>
      </c>
      <c r="AJ373" s="1" t="s">
        <v>224</v>
      </c>
      <c r="AK373" s="1" t="s">
        <v>4169</v>
      </c>
      <c r="AL373" s="1" t="s">
        <v>4170</v>
      </c>
      <c r="AM373" s="11" t="str">
        <f>VLOOKUP(N373,Sheet3!$B$4:$C$10,2,1)</f>
        <v>21-30</v>
      </c>
      <c r="AN373" s="13" t="str">
        <f>VLOOKUP(Z373,Sheet3!$F$4:$G$10,2,1)</f>
        <v>&lt; 5</v>
      </c>
      <c r="AO373" s="5" t="str">
        <f>VLOOKUP(AA373,Sheet3!$I$3:$J$16,2,1)</f>
        <v>80000-100000</v>
      </c>
      <c r="AP373" s="5" t="str">
        <f>VLOOKUP(AB373,Sheet3!$L$4:$M$14,2,1)</f>
        <v>&lt; 5%</v>
      </c>
    </row>
    <row r="374">
      <c r="A374" s="6">
        <v>811884.0</v>
      </c>
      <c r="B374" s="1" t="s">
        <v>66</v>
      </c>
      <c r="C374" s="1" t="s">
        <v>4171</v>
      </c>
      <c r="D374" s="1" t="s">
        <v>683</v>
      </c>
      <c r="E374" s="1" t="s">
        <v>1259</v>
      </c>
      <c r="F374" s="1" t="s">
        <v>70</v>
      </c>
      <c r="G374" s="1" t="s">
        <v>4172</v>
      </c>
      <c r="H374" s="1" t="s">
        <v>1395</v>
      </c>
      <c r="I374" s="1" t="s">
        <v>4173</v>
      </c>
      <c r="J374" s="1" t="s">
        <v>4174</v>
      </c>
      <c r="K374" s="1" t="s">
        <v>946</v>
      </c>
      <c r="L374" s="9">
        <v>33661.0</v>
      </c>
      <c r="M374" s="8">
        <v>0.1647337962962963</v>
      </c>
      <c r="N374" s="6">
        <v>25.43</v>
      </c>
      <c r="O374" s="6">
        <v>84.0</v>
      </c>
      <c r="P374" s="14">
        <v>41801.0</v>
      </c>
      <c r="Q374" s="1" t="s">
        <v>75</v>
      </c>
      <c r="R374" s="1" t="s">
        <v>76</v>
      </c>
      <c r="S374" s="6">
        <v>2014.0</v>
      </c>
      <c r="T374" s="6">
        <v>6.0</v>
      </c>
      <c r="U374" s="1" t="s">
        <v>324</v>
      </c>
      <c r="V374" s="1" t="s">
        <v>325</v>
      </c>
      <c r="W374" s="6">
        <v>11.0</v>
      </c>
      <c r="X374" s="1" t="s">
        <v>278</v>
      </c>
      <c r="Y374" s="1" t="s">
        <v>279</v>
      </c>
      <c r="Z374" s="6">
        <v>3.13</v>
      </c>
      <c r="AA374" s="6">
        <v>109695.0</v>
      </c>
      <c r="AB374" s="10">
        <v>0.09</v>
      </c>
      <c r="AC374" s="1" t="s">
        <v>4175</v>
      </c>
      <c r="AD374" s="1" t="s">
        <v>4176</v>
      </c>
      <c r="AE374" s="1" t="s">
        <v>4177</v>
      </c>
      <c r="AF374" s="1" t="s">
        <v>4178</v>
      </c>
      <c r="AG374" s="1" t="s">
        <v>4177</v>
      </c>
      <c r="AH374" s="1" t="s">
        <v>1561</v>
      </c>
      <c r="AI374" s="6">
        <v>54114.0</v>
      </c>
      <c r="AJ374" s="1" t="s">
        <v>86</v>
      </c>
      <c r="AK374" s="1" t="s">
        <v>4179</v>
      </c>
      <c r="AL374" s="1" t="s">
        <v>4180</v>
      </c>
      <c r="AM374" s="11" t="str">
        <f>VLOOKUP(N374,Sheet3!$B$4:$C$10,2,1)</f>
        <v>21-30</v>
      </c>
      <c r="AN374" s="13" t="str">
        <f>VLOOKUP(Z374,Sheet3!$F$4:$G$10,2,1)</f>
        <v>&lt; 5</v>
      </c>
      <c r="AO374" s="5" t="str">
        <f>VLOOKUP(AA374,Sheet3!$I$3:$J$16,2,1)</f>
        <v>100000-120000</v>
      </c>
      <c r="AP374" s="5" t="str">
        <f>VLOOKUP(AB374,Sheet3!$L$4:$M$14,2,1)</f>
        <v>5% - 10%</v>
      </c>
    </row>
    <row r="375">
      <c r="A375" s="6">
        <v>463579.0</v>
      </c>
      <c r="B375" s="1" t="s">
        <v>66</v>
      </c>
      <c r="C375" s="1" t="s">
        <v>270</v>
      </c>
      <c r="D375" s="1" t="s">
        <v>44</v>
      </c>
      <c r="E375" s="1" t="s">
        <v>803</v>
      </c>
      <c r="F375" s="1" t="s">
        <v>70</v>
      </c>
      <c r="G375" s="1" t="s">
        <v>4181</v>
      </c>
      <c r="H375" s="1" t="s">
        <v>1395</v>
      </c>
      <c r="I375" s="1" t="s">
        <v>4182</v>
      </c>
      <c r="J375" s="1" t="s">
        <v>4183</v>
      </c>
      <c r="K375" s="1" t="s">
        <v>1000</v>
      </c>
      <c r="L375" s="9">
        <v>26593.0</v>
      </c>
      <c r="M375" s="8">
        <v>0.855462962962963</v>
      </c>
      <c r="N375" s="6">
        <v>44.8</v>
      </c>
      <c r="O375" s="6">
        <v>89.0</v>
      </c>
      <c r="P375" s="9">
        <v>39324.0</v>
      </c>
      <c r="Q375" s="1" t="s">
        <v>308</v>
      </c>
      <c r="R375" s="1" t="s">
        <v>53</v>
      </c>
      <c r="S375" s="6">
        <v>2007.0</v>
      </c>
      <c r="T375" s="6">
        <v>8.0</v>
      </c>
      <c r="U375" s="1" t="s">
        <v>433</v>
      </c>
      <c r="V375" s="1" t="s">
        <v>434</v>
      </c>
      <c r="W375" s="6">
        <v>30.0</v>
      </c>
      <c r="X375" s="1" t="s">
        <v>150</v>
      </c>
      <c r="Y375" s="1" t="s">
        <v>151</v>
      </c>
      <c r="Z375" s="6">
        <v>9.92</v>
      </c>
      <c r="AA375" s="6">
        <v>174027.0</v>
      </c>
      <c r="AB375" s="10">
        <v>0.03</v>
      </c>
      <c r="AC375" s="1" t="s">
        <v>4184</v>
      </c>
      <c r="AD375" s="1" t="s">
        <v>4185</v>
      </c>
      <c r="AE375" s="1" t="s">
        <v>929</v>
      </c>
      <c r="AF375" s="1" t="s">
        <v>930</v>
      </c>
      <c r="AG375" s="1" t="s">
        <v>929</v>
      </c>
      <c r="AH375" s="1" t="s">
        <v>882</v>
      </c>
      <c r="AI375" s="6">
        <v>30348.0</v>
      </c>
      <c r="AJ375" s="1" t="s">
        <v>106</v>
      </c>
      <c r="AK375" s="1" t="s">
        <v>4186</v>
      </c>
      <c r="AL375" s="1" t="s">
        <v>4187</v>
      </c>
      <c r="AM375" s="11" t="str">
        <f>VLOOKUP(N375,Sheet3!$B$4:$C$10,2,1)</f>
        <v>41-50</v>
      </c>
      <c r="AN375" s="12" t="str">
        <f>VLOOKUP(Z375,Sheet3!$F$4:$G$10,2,1)</f>
        <v>5-10</v>
      </c>
      <c r="AO375" s="5" t="str">
        <f>VLOOKUP(AA375,Sheet3!$I$3:$J$16,2,1)</f>
        <v>160000-180000</v>
      </c>
      <c r="AP375" s="5" t="str">
        <f>VLOOKUP(AB375,Sheet3!$L$4:$M$14,2,1)</f>
        <v>&lt; 5%</v>
      </c>
    </row>
    <row r="376">
      <c r="A376" s="6">
        <v>915993.0</v>
      </c>
      <c r="B376" s="1" t="s">
        <v>227</v>
      </c>
      <c r="C376" s="1" t="s">
        <v>4091</v>
      </c>
      <c r="D376" s="1" t="s">
        <v>1663</v>
      </c>
      <c r="E376" s="1" t="s">
        <v>2517</v>
      </c>
      <c r="F376" s="1" t="s">
        <v>70</v>
      </c>
      <c r="G376" s="1" t="s">
        <v>4188</v>
      </c>
      <c r="H376" s="1" t="s">
        <v>1395</v>
      </c>
      <c r="I376" s="1" t="s">
        <v>4189</v>
      </c>
      <c r="J376" s="1" t="s">
        <v>4190</v>
      </c>
      <c r="K376" s="1" t="s">
        <v>4191</v>
      </c>
      <c r="L376" s="9">
        <v>24561.0</v>
      </c>
      <c r="M376" s="8">
        <v>0.7835069444444445</v>
      </c>
      <c r="N376" s="6">
        <v>50.36</v>
      </c>
      <c r="O376" s="6">
        <v>90.0</v>
      </c>
      <c r="P376" s="14">
        <v>37166.0</v>
      </c>
      <c r="Q376" s="1" t="s">
        <v>52</v>
      </c>
      <c r="R376" s="1" t="s">
        <v>53</v>
      </c>
      <c r="S376" s="6">
        <v>2001.0</v>
      </c>
      <c r="T376" s="6">
        <v>10.0</v>
      </c>
      <c r="U376" s="1" t="s">
        <v>133</v>
      </c>
      <c r="V376" s="1" t="s">
        <v>134</v>
      </c>
      <c r="W376" s="6">
        <v>2.0</v>
      </c>
      <c r="X376" s="1" t="s">
        <v>79</v>
      </c>
      <c r="Y376" s="1" t="s">
        <v>80</v>
      </c>
      <c r="Z376" s="6">
        <v>15.83</v>
      </c>
      <c r="AA376" s="6">
        <v>109382.0</v>
      </c>
      <c r="AB376" s="10">
        <v>0.12</v>
      </c>
      <c r="AC376" s="1" t="s">
        <v>4192</v>
      </c>
      <c r="AD376" s="1" t="s">
        <v>4193</v>
      </c>
      <c r="AE376" s="1" t="s">
        <v>4194</v>
      </c>
      <c r="AF376" s="1" t="s">
        <v>1319</v>
      </c>
      <c r="AG376" s="1" t="s">
        <v>4194</v>
      </c>
      <c r="AH376" s="1" t="s">
        <v>299</v>
      </c>
      <c r="AI376" s="6">
        <v>73755.0</v>
      </c>
      <c r="AJ376" s="1" t="s">
        <v>106</v>
      </c>
      <c r="AK376" s="1" t="s">
        <v>4195</v>
      </c>
      <c r="AL376" s="1" t="s">
        <v>4196</v>
      </c>
      <c r="AM376" s="11" t="str">
        <f>VLOOKUP(N376,Sheet3!$B$4:$C$10,2,1)</f>
        <v>41-50</v>
      </c>
      <c r="AN376" s="12" t="str">
        <f>VLOOKUP(Z376,Sheet3!$F$4:$G$10,2,1)</f>
        <v>11-20</v>
      </c>
      <c r="AO376" s="5" t="str">
        <f>VLOOKUP(AA376,Sheet3!$I$3:$J$16,2,1)</f>
        <v>100000-120000</v>
      </c>
      <c r="AP376" s="5" t="str">
        <f>VLOOKUP(AB376,Sheet3!$L$4:$M$14,2,1)</f>
        <v>11% - 15%</v>
      </c>
    </row>
    <row r="377">
      <c r="A377" s="6">
        <v>836259.0</v>
      </c>
      <c r="B377" s="1" t="s">
        <v>255</v>
      </c>
      <c r="C377" s="1" t="s">
        <v>3876</v>
      </c>
      <c r="D377" s="1" t="s">
        <v>683</v>
      </c>
      <c r="E377" s="1" t="s">
        <v>4197</v>
      </c>
      <c r="F377" s="1" t="s">
        <v>70</v>
      </c>
      <c r="G377" s="1" t="s">
        <v>4198</v>
      </c>
      <c r="H377" s="1" t="s">
        <v>1395</v>
      </c>
      <c r="I377" s="1" t="s">
        <v>4199</v>
      </c>
      <c r="J377" s="1" t="s">
        <v>4200</v>
      </c>
      <c r="K377" s="1" t="s">
        <v>376</v>
      </c>
      <c r="L377" s="14">
        <v>26612.0</v>
      </c>
      <c r="M377" s="8">
        <v>0.9595486111111111</v>
      </c>
      <c r="N377" s="6">
        <v>44.75</v>
      </c>
      <c r="O377" s="6">
        <v>70.0</v>
      </c>
      <c r="P377" s="9">
        <v>37072.0</v>
      </c>
      <c r="Q377" s="1" t="s">
        <v>75</v>
      </c>
      <c r="R377" s="1" t="s">
        <v>76</v>
      </c>
      <c r="S377" s="6">
        <v>2001.0</v>
      </c>
      <c r="T377" s="6">
        <v>6.0</v>
      </c>
      <c r="U377" s="1" t="s">
        <v>324</v>
      </c>
      <c r="V377" s="1" t="s">
        <v>325</v>
      </c>
      <c r="W377" s="6">
        <v>30.0</v>
      </c>
      <c r="X377" s="1" t="s">
        <v>56</v>
      </c>
      <c r="Y377" s="1" t="s">
        <v>57</v>
      </c>
      <c r="Z377" s="6">
        <v>16.09</v>
      </c>
      <c r="AA377" s="6">
        <v>148267.0</v>
      </c>
      <c r="AB377" s="10">
        <v>0.29</v>
      </c>
      <c r="AC377" s="1" t="s">
        <v>4201</v>
      </c>
      <c r="AD377" s="1" t="s">
        <v>4202</v>
      </c>
      <c r="AE377" s="1" t="s">
        <v>4203</v>
      </c>
      <c r="AF377" s="1" t="s">
        <v>195</v>
      </c>
      <c r="AG377" s="1" t="s">
        <v>4203</v>
      </c>
      <c r="AH377" s="1" t="s">
        <v>252</v>
      </c>
      <c r="AI377" s="6">
        <v>97351.0</v>
      </c>
      <c r="AJ377" s="1" t="s">
        <v>63</v>
      </c>
      <c r="AK377" s="1" t="s">
        <v>4204</v>
      </c>
      <c r="AL377" s="1" t="s">
        <v>4205</v>
      </c>
      <c r="AM377" s="11" t="str">
        <f>VLOOKUP(N377,Sheet3!$B$4:$C$10,2,1)</f>
        <v>41-50</v>
      </c>
      <c r="AN377" s="12" t="str">
        <f>VLOOKUP(Z377,Sheet3!$F$4:$G$10,2,1)</f>
        <v>11-20</v>
      </c>
      <c r="AO377" s="5" t="str">
        <f>VLOOKUP(AA377,Sheet3!$I$3:$J$16,2,1)</f>
        <v>140000-160000</v>
      </c>
      <c r="AP377" s="5" t="str">
        <f>VLOOKUP(AB377,Sheet3!$L$4:$M$14,2,1)</f>
        <v>26% - 30%</v>
      </c>
    </row>
    <row r="378">
      <c r="A378" s="6">
        <v>520719.0</v>
      </c>
      <c r="B378" s="1" t="s">
        <v>227</v>
      </c>
      <c r="C378" s="1" t="s">
        <v>4206</v>
      </c>
      <c r="D378" s="1" t="s">
        <v>288</v>
      </c>
      <c r="E378" s="1" t="s">
        <v>3653</v>
      </c>
      <c r="F378" s="1" t="s">
        <v>70</v>
      </c>
      <c r="G378" s="1" t="s">
        <v>4207</v>
      </c>
      <c r="H378" s="1" t="s">
        <v>1395</v>
      </c>
      <c r="I378" s="1" t="s">
        <v>4208</v>
      </c>
      <c r="J378" s="1" t="s">
        <v>4209</v>
      </c>
      <c r="K378" s="1" t="s">
        <v>1374</v>
      </c>
      <c r="L378" s="14">
        <v>21739.0</v>
      </c>
      <c r="M378" s="8">
        <v>0.24377314814814816</v>
      </c>
      <c r="N378" s="6">
        <v>58.1</v>
      </c>
      <c r="O378" s="6">
        <v>60.0</v>
      </c>
      <c r="P378" s="9">
        <v>32736.0</v>
      </c>
      <c r="Q378" s="1" t="s">
        <v>308</v>
      </c>
      <c r="R378" s="1" t="s">
        <v>53</v>
      </c>
      <c r="S378" s="6">
        <v>1989.0</v>
      </c>
      <c r="T378" s="6">
        <v>8.0</v>
      </c>
      <c r="U378" s="1" t="s">
        <v>433</v>
      </c>
      <c r="V378" s="1" t="s">
        <v>434</v>
      </c>
      <c r="W378" s="6">
        <v>16.0</v>
      </c>
      <c r="X378" s="1" t="s">
        <v>278</v>
      </c>
      <c r="Y378" s="1" t="s">
        <v>279</v>
      </c>
      <c r="Z378" s="6">
        <v>27.97</v>
      </c>
      <c r="AA378" s="6">
        <v>126758.0</v>
      </c>
      <c r="AB378" s="10">
        <v>0.24</v>
      </c>
      <c r="AC378" s="1" t="s">
        <v>4210</v>
      </c>
      <c r="AD378" s="1" t="s">
        <v>4211</v>
      </c>
      <c r="AE378" s="1" t="s">
        <v>4212</v>
      </c>
      <c r="AF378" s="1" t="s">
        <v>221</v>
      </c>
      <c r="AG378" s="1" t="s">
        <v>4212</v>
      </c>
      <c r="AH378" s="1" t="s">
        <v>210</v>
      </c>
      <c r="AI378" s="6">
        <v>62049.0</v>
      </c>
      <c r="AJ378" s="1" t="s">
        <v>86</v>
      </c>
      <c r="AK378" s="1" t="s">
        <v>4213</v>
      </c>
      <c r="AL378" s="1" t="s">
        <v>4214</v>
      </c>
      <c r="AM378" s="11" t="str">
        <f>VLOOKUP(N378,Sheet3!$B$4:$C$10,2,1)</f>
        <v>51-60</v>
      </c>
      <c r="AN378" s="13" t="str">
        <f>VLOOKUP(Z378,Sheet3!$F$4:$G$10,2,1)</f>
        <v>21-30</v>
      </c>
      <c r="AO378" s="5" t="str">
        <f>VLOOKUP(AA378,Sheet3!$I$3:$J$16,2,1)</f>
        <v>120000-140000</v>
      </c>
      <c r="AP378" s="5" t="str">
        <f>VLOOKUP(AB378,Sheet3!$L$4:$M$14,2,1)</f>
        <v>21% - 25%</v>
      </c>
    </row>
    <row r="379">
      <c r="A379" s="6">
        <v>409341.0</v>
      </c>
      <c r="B379" s="1" t="s">
        <v>109</v>
      </c>
      <c r="C379" s="1" t="s">
        <v>4215</v>
      </c>
      <c r="D379" s="1" t="s">
        <v>257</v>
      </c>
      <c r="E379" s="1" t="s">
        <v>2465</v>
      </c>
      <c r="F379" s="1" t="s">
        <v>46</v>
      </c>
      <c r="G379" s="1" t="s">
        <v>4216</v>
      </c>
      <c r="H379" s="1" t="s">
        <v>1395</v>
      </c>
      <c r="I379" s="1" t="s">
        <v>4217</v>
      </c>
      <c r="J379" s="1" t="s">
        <v>4218</v>
      </c>
      <c r="K379" s="1" t="s">
        <v>4219</v>
      </c>
      <c r="L379" s="14">
        <v>31201.0</v>
      </c>
      <c r="M379" s="8">
        <v>0.6324074074074074</v>
      </c>
      <c r="N379" s="6">
        <v>32.17</v>
      </c>
      <c r="O379" s="6">
        <v>50.0</v>
      </c>
      <c r="P379" s="9">
        <v>41197.0</v>
      </c>
      <c r="Q379" s="1" t="s">
        <v>52</v>
      </c>
      <c r="R379" s="1" t="s">
        <v>53</v>
      </c>
      <c r="S379" s="6">
        <v>2012.0</v>
      </c>
      <c r="T379" s="6">
        <v>10.0</v>
      </c>
      <c r="U379" s="1" t="s">
        <v>133</v>
      </c>
      <c r="V379" s="1" t="s">
        <v>134</v>
      </c>
      <c r="W379" s="6">
        <v>15.0</v>
      </c>
      <c r="X379" s="1" t="s">
        <v>99</v>
      </c>
      <c r="Y379" s="1" t="s">
        <v>100</v>
      </c>
      <c r="Z379" s="6">
        <v>4.79</v>
      </c>
      <c r="AA379" s="6">
        <v>55845.0</v>
      </c>
      <c r="AB379" s="10">
        <v>0.26</v>
      </c>
      <c r="AC379" s="1" t="s">
        <v>4220</v>
      </c>
      <c r="AD379" s="1" t="s">
        <v>4221</v>
      </c>
      <c r="AE379" s="1" t="s">
        <v>4222</v>
      </c>
      <c r="AF379" s="1" t="s">
        <v>4223</v>
      </c>
      <c r="AG379" s="1" t="s">
        <v>4222</v>
      </c>
      <c r="AH379" s="1" t="s">
        <v>284</v>
      </c>
      <c r="AI379" s="6">
        <v>52562.0</v>
      </c>
      <c r="AJ379" s="1" t="s">
        <v>86</v>
      </c>
      <c r="AK379" s="1" t="s">
        <v>4224</v>
      </c>
      <c r="AL379" s="1" t="s">
        <v>4225</v>
      </c>
      <c r="AM379" s="11" t="str">
        <f>VLOOKUP(N379,Sheet3!$B$4:$C$10,2,1)</f>
        <v>31-40</v>
      </c>
      <c r="AN379" s="13" t="str">
        <f>VLOOKUP(Z379,Sheet3!$F$4:$G$10,2,1)</f>
        <v>&lt; 5</v>
      </c>
      <c r="AO379" s="5" t="str">
        <f>VLOOKUP(AA379,Sheet3!$I$3:$J$16,2,1)</f>
        <v>40000-60000</v>
      </c>
      <c r="AP379" s="5" t="str">
        <f>VLOOKUP(AB379,Sheet3!$L$4:$M$14,2,1)</f>
        <v>26% - 30%</v>
      </c>
    </row>
    <row r="380">
      <c r="A380" s="6">
        <v>528576.0</v>
      </c>
      <c r="B380" s="1" t="s">
        <v>66</v>
      </c>
      <c r="C380" s="1" t="s">
        <v>4226</v>
      </c>
      <c r="D380" s="1" t="s">
        <v>46</v>
      </c>
      <c r="E380" s="1" t="s">
        <v>178</v>
      </c>
      <c r="F380" s="1" t="s">
        <v>70</v>
      </c>
      <c r="G380" s="1" t="s">
        <v>4227</v>
      </c>
      <c r="H380" s="1" t="s">
        <v>1395</v>
      </c>
      <c r="I380" s="1" t="s">
        <v>4228</v>
      </c>
      <c r="J380" s="1" t="s">
        <v>4229</v>
      </c>
      <c r="K380" s="1" t="s">
        <v>4230</v>
      </c>
      <c r="L380" s="9">
        <v>33904.0</v>
      </c>
      <c r="M380" s="8">
        <v>0.726712962962963</v>
      </c>
      <c r="N380" s="6">
        <v>24.77</v>
      </c>
      <c r="O380" s="6">
        <v>72.0</v>
      </c>
      <c r="P380" s="9">
        <v>41743.0</v>
      </c>
      <c r="Q380" s="1" t="s">
        <v>75</v>
      </c>
      <c r="R380" s="1" t="s">
        <v>76</v>
      </c>
      <c r="S380" s="6">
        <v>2014.0</v>
      </c>
      <c r="T380" s="6">
        <v>4.0</v>
      </c>
      <c r="U380" s="1" t="s">
        <v>77</v>
      </c>
      <c r="V380" s="1" t="s">
        <v>78</v>
      </c>
      <c r="W380" s="6">
        <v>14.0</v>
      </c>
      <c r="X380" s="1" t="s">
        <v>99</v>
      </c>
      <c r="Y380" s="1" t="s">
        <v>100</v>
      </c>
      <c r="Z380" s="6">
        <v>3.29</v>
      </c>
      <c r="AA380" s="6">
        <v>64901.0</v>
      </c>
      <c r="AB380" s="10">
        <v>0.02</v>
      </c>
      <c r="AC380" s="1" t="s">
        <v>4231</v>
      </c>
      <c r="AD380" s="1" t="s">
        <v>4232</v>
      </c>
      <c r="AE380" s="1" t="s">
        <v>4233</v>
      </c>
      <c r="AF380" s="1" t="s">
        <v>4234</v>
      </c>
      <c r="AG380" s="1" t="s">
        <v>4233</v>
      </c>
      <c r="AH380" s="1" t="s">
        <v>475</v>
      </c>
      <c r="AI380" s="6">
        <v>59713.0</v>
      </c>
      <c r="AJ380" s="1" t="s">
        <v>63</v>
      </c>
      <c r="AK380" s="1" t="s">
        <v>4235</v>
      </c>
      <c r="AL380" s="1" t="s">
        <v>4236</v>
      </c>
      <c r="AM380" s="11" t="str">
        <f>VLOOKUP(N380,Sheet3!$B$4:$C$10,2,1)</f>
        <v>21-30</v>
      </c>
      <c r="AN380" s="13" t="str">
        <f>VLOOKUP(Z380,Sheet3!$F$4:$G$10,2,1)</f>
        <v>&lt; 5</v>
      </c>
      <c r="AO380" s="5" t="str">
        <f>VLOOKUP(AA380,Sheet3!$I$3:$J$16,2,1)</f>
        <v>60000-80000</v>
      </c>
      <c r="AP380" s="5" t="str">
        <f>VLOOKUP(AB380,Sheet3!$L$4:$M$14,2,1)</f>
        <v>&lt; 5%</v>
      </c>
    </row>
    <row r="381">
      <c r="A381" s="6">
        <v>315565.0</v>
      </c>
      <c r="B381" s="1" t="s">
        <v>109</v>
      </c>
      <c r="C381" s="1" t="s">
        <v>4237</v>
      </c>
      <c r="D381" s="1" t="s">
        <v>70</v>
      </c>
      <c r="E381" s="1" t="s">
        <v>4238</v>
      </c>
      <c r="F381" s="1" t="s">
        <v>46</v>
      </c>
      <c r="G381" s="1" t="s">
        <v>4239</v>
      </c>
      <c r="H381" s="1" t="s">
        <v>1395</v>
      </c>
      <c r="I381" s="1" t="s">
        <v>4240</v>
      </c>
      <c r="J381" s="1" t="s">
        <v>4241</v>
      </c>
      <c r="K381" s="1" t="s">
        <v>4242</v>
      </c>
      <c r="L381" s="9">
        <v>35087.0</v>
      </c>
      <c r="M381" s="8">
        <v>0.7169907407407408</v>
      </c>
      <c r="N381" s="6">
        <v>21.53</v>
      </c>
      <c r="O381" s="6">
        <v>47.0</v>
      </c>
      <c r="P381" s="14">
        <v>42801.0</v>
      </c>
      <c r="Q381" s="1" t="s">
        <v>96</v>
      </c>
      <c r="R381" s="1" t="s">
        <v>76</v>
      </c>
      <c r="S381" s="6">
        <v>2017.0</v>
      </c>
      <c r="T381" s="6">
        <v>3.0</v>
      </c>
      <c r="U381" s="1" t="s">
        <v>97</v>
      </c>
      <c r="V381" s="1" t="s">
        <v>98</v>
      </c>
      <c r="W381" s="6">
        <v>7.0</v>
      </c>
      <c r="X381" s="1" t="s">
        <v>79</v>
      </c>
      <c r="Y381" s="1" t="s">
        <v>80</v>
      </c>
      <c r="Z381" s="6">
        <v>0.39</v>
      </c>
      <c r="AA381" s="6">
        <v>78780.0</v>
      </c>
      <c r="AB381" s="10">
        <v>0.14</v>
      </c>
      <c r="AC381" s="1" t="s">
        <v>4243</v>
      </c>
      <c r="AD381" s="1" t="s">
        <v>4244</v>
      </c>
      <c r="AE381" s="1" t="s">
        <v>4245</v>
      </c>
      <c r="AF381" s="1" t="s">
        <v>283</v>
      </c>
      <c r="AG381" s="1" t="s">
        <v>4245</v>
      </c>
      <c r="AH381" s="1" t="s">
        <v>105</v>
      </c>
      <c r="AI381" s="6">
        <v>40049.0</v>
      </c>
      <c r="AJ381" s="1" t="s">
        <v>106</v>
      </c>
      <c r="AK381" s="1" t="s">
        <v>4246</v>
      </c>
      <c r="AL381" s="1" t="s">
        <v>4247</v>
      </c>
      <c r="AM381" s="11" t="str">
        <f>VLOOKUP(N381,Sheet3!$B$4:$C$10,2,1)</f>
        <v>21-30</v>
      </c>
      <c r="AN381" s="13" t="str">
        <f>VLOOKUP(Z381,Sheet3!$F$4:$G$10,2,1)</f>
        <v>&lt; 5</v>
      </c>
      <c r="AO381" s="5" t="str">
        <f>VLOOKUP(AA381,Sheet3!$I$3:$J$16,2,1)</f>
        <v>60000-80000</v>
      </c>
      <c r="AP381" s="5" t="str">
        <f>VLOOKUP(AB381,Sheet3!$L$4:$M$14,2,1)</f>
        <v>11% - 15%</v>
      </c>
    </row>
    <row r="382">
      <c r="A382" s="6">
        <v>242740.0</v>
      </c>
      <c r="B382" s="1" t="s">
        <v>42</v>
      </c>
      <c r="C382" s="1" t="s">
        <v>4248</v>
      </c>
      <c r="D382" s="1" t="s">
        <v>127</v>
      </c>
      <c r="E382" s="1" t="s">
        <v>4230</v>
      </c>
      <c r="F382" s="1" t="s">
        <v>46</v>
      </c>
      <c r="G382" s="1" t="s">
        <v>4249</v>
      </c>
      <c r="H382" s="1" t="s">
        <v>1395</v>
      </c>
      <c r="I382" s="1" t="s">
        <v>4250</v>
      </c>
      <c r="J382" s="1" t="s">
        <v>4251</v>
      </c>
      <c r="K382" s="1" t="s">
        <v>4252</v>
      </c>
      <c r="L382" s="14">
        <v>29626.0</v>
      </c>
      <c r="M382" s="8">
        <v>0.024722222222222222</v>
      </c>
      <c r="N382" s="6">
        <v>36.49</v>
      </c>
      <c r="O382" s="6">
        <v>55.0</v>
      </c>
      <c r="P382" s="9">
        <v>37515.0</v>
      </c>
      <c r="Q382" s="1" t="s">
        <v>308</v>
      </c>
      <c r="R382" s="1" t="s">
        <v>53</v>
      </c>
      <c r="S382" s="6">
        <v>2002.0</v>
      </c>
      <c r="T382" s="6">
        <v>9.0</v>
      </c>
      <c r="U382" s="1" t="s">
        <v>309</v>
      </c>
      <c r="V382" s="1" t="s">
        <v>310</v>
      </c>
      <c r="W382" s="6">
        <v>16.0</v>
      </c>
      <c r="X382" s="1" t="s">
        <v>99</v>
      </c>
      <c r="Y382" s="1" t="s">
        <v>100</v>
      </c>
      <c r="Z382" s="6">
        <v>14.87</v>
      </c>
      <c r="AA382" s="6">
        <v>184008.0</v>
      </c>
      <c r="AB382" s="10">
        <v>0.2</v>
      </c>
      <c r="AC382" s="1" t="s">
        <v>4253</v>
      </c>
      <c r="AD382" s="1" t="s">
        <v>4254</v>
      </c>
      <c r="AE382" s="1" t="s">
        <v>4255</v>
      </c>
      <c r="AF382" s="1" t="s">
        <v>2105</v>
      </c>
      <c r="AG382" s="1" t="s">
        <v>4255</v>
      </c>
      <c r="AH382" s="1" t="s">
        <v>857</v>
      </c>
      <c r="AI382" s="6">
        <v>64830.0</v>
      </c>
      <c r="AJ382" s="1" t="s">
        <v>86</v>
      </c>
      <c r="AK382" s="1" t="s">
        <v>4256</v>
      </c>
      <c r="AL382" s="1" t="s">
        <v>4257</v>
      </c>
      <c r="AM382" s="11" t="str">
        <f>VLOOKUP(N382,Sheet3!$B$4:$C$10,2,1)</f>
        <v>31-40</v>
      </c>
      <c r="AN382" s="12" t="str">
        <f>VLOOKUP(Z382,Sheet3!$F$4:$G$10,2,1)</f>
        <v>11-20</v>
      </c>
      <c r="AO382" s="5" t="str">
        <f>VLOOKUP(AA382,Sheet3!$I$3:$J$16,2,1)</f>
        <v>180000-200000</v>
      </c>
      <c r="AP382" s="5" t="str">
        <f>VLOOKUP(AB382,Sheet3!$L$4:$M$14,2,1)</f>
        <v>16% - 20%</v>
      </c>
    </row>
    <row r="383">
      <c r="A383" s="6">
        <v>763459.0</v>
      </c>
      <c r="B383" s="1" t="s">
        <v>66</v>
      </c>
      <c r="C383" s="1" t="s">
        <v>4258</v>
      </c>
      <c r="D383" s="1" t="s">
        <v>683</v>
      </c>
      <c r="E383" s="1" t="s">
        <v>4259</v>
      </c>
      <c r="F383" s="1" t="s">
        <v>70</v>
      </c>
      <c r="G383" s="1" t="s">
        <v>4260</v>
      </c>
      <c r="H383" s="1" t="s">
        <v>1395</v>
      </c>
      <c r="I383" s="1" t="s">
        <v>4261</v>
      </c>
      <c r="J383" s="1" t="s">
        <v>4262</v>
      </c>
      <c r="K383" s="1" t="s">
        <v>4263</v>
      </c>
      <c r="L383" s="14">
        <v>27675.0</v>
      </c>
      <c r="M383" s="8">
        <v>0.3880324074074074</v>
      </c>
      <c r="N383" s="6">
        <v>41.83</v>
      </c>
      <c r="O383" s="6">
        <v>73.0</v>
      </c>
      <c r="P383" s="9">
        <v>38495.0</v>
      </c>
      <c r="Q383" s="1" t="s">
        <v>75</v>
      </c>
      <c r="R383" s="1" t="s">
        <v>76</v>
      </c>
      <c r="S383" s="6">
        <v>2005.0</v>
      </c>
      <c r="T383" s="6">
        <v>5.0</v>
      </c>
      <c r="U383" s="1" t="s">
        <v>294</v>
      </c>
      <c r="V383" s="1" t="s">
        <v>294</v>
      </c>
      <c r="W383" s="6">
        <v>23.0</v>
      </c>
      <c r="X383" s="1" t="s">
        <v>99</v>
      </c>
      <c r="Y383" s="1" t="s">
        <v>100</v>
      </c>
      <c r="Z383" s="6">
        <v>12.19</v>
      </c>
      <c r="AA383" s="6">
        <v>57731.0</v>
      </c>
      <c r="AB383" s="10">
        <v>0.29</v>
      </c>
      <c r="AC383" s="1" t="s">
        <v>4264</v>
      </c>
      <c r="AD383" s="1" t="s">
        <v>4265</v>
      </c>
      <c r="AE383" s="1" t="s">
        <v>4266</v>
      </c>
      <c r="AF383" s="1" t="s">
        <v>2105</v>
      </c>
      <c r="AG383" s="1" t="s">
        <v>4266</v>
      </c>
      <c r="AH383" s="1" t="s">
        <v>2483</v>
      </c>
      <c r="AI383" s="6">
        <v>29912.0</v>
      </c>
      <c r="AJ383" s="1" t="s">
        <v>106</v>
      </c>
      <c r="AK383" s="1" t="s">
        <v>4267</v>
      </c>
      <c r="AL383" s="1" t="s">
        <v>4268</v>
      </c>
      <c r="AM383" s="11" t="str">
        <f>VLOOKUP(N383,Sheet3!$B$4:$C$10,2,1)</f>
        <v>41-50</v>
      </c>
      <c r="AN383" s="12" t="str">
        <f>VLOOKUP(Z383,Sheet3!$F$4:$G$10,2,1)</f>
        <v>11-20</v>
      </c>
      <c r="AO383" s="5" t="str">
        <f>VLOOKUP(AA383,Sheet3!$I$3:$J$16,2,1)</f>
        <v>40000-60000</v>
      </c>
      <c r="AP383" s="5" t="str">
        <f>VLOOKUP(AB383,Sheet3!$L$4:$M$14,2,1)</f>
        <v>26% - 30%</v>
      </c>
    </row>
    <row r="384">
      <c r="A384" s="6">
        <v>239010.0</v>
      </c>
      <c r="B384" s="1" t="s">
        <v>66</v>
      </c>
      <c r="C384" s="1" t="s">
        <v>3641</v>
      </c>
      <c r="D384" s="1" t="s">
        <v>288</v>
      </c>
      <c r="E384" s="1" t="s">
        <v>3571</v>
      </c>
      <c r="F384" s="1" t="s">
        <v>70</v>
      </c>
      <c r="G384" s="1" t="s">
        <v>4269</v>
      </c>
      <c r="H384" s="1" t="s">
        <v>1395</v>
      </c>
      <c r="I384" s="1" t="s">
        <v>4270</v>
      </c>
      <c r="J384" s="1" t="s">
        <v>4271</v>
      </c>
      <c r="K384" s="1" t="s">
        <v>3248</v>
      </c>
      <c r="L384" s="9">
        <v>29206.0</v>
      </c>
      <c r="M384" s="8">
        <v>0.6953472222222222</v>
      </c>
      <c r="N384" s="6">
        <v>37.64</v>
      </c>
      <c r="O384" s="6">
        <v>59.0</v>
      </c>
      <c r="P384" s="9">
        <v>36980.0</v>
      </c>
      <c r="Q384" s="1" t="s">
        <v>96</v>
      </c>
      <c r="R384" s="1" t="s">
        <v>76</v>
      </c>
      <c r="S384" s="6">
        <v>2001.0</v>
      </c>
      <c r="T384" s="6">
        <v>3.0</v>
      </c>
      <c r="U384" s="1" t="s">
        <v>97</v>
      </c>
      <c r="V384" s="1" t="s">
        <v>98</v>
      </c>
      <c r="W384" s="6">
        <v>30.0</v>
      </c>
      <c r="X384" s="1" t="s">
        <v>263</v>
      </c>
      <c r="Y384" s="1" t="s">
        <v>264</v>
      </c>
      <c r="Z384" s="6">
        <v>16.34</v>
      </c>
      <c r="AA384" s="6">
        <v>58345.0</v>
      </c>
      <c r="AB384" s="10">
        <v>0.25</v>
      </c>
      <c r="AC384" s="1" t="s">
        <v>4272</v>
      </c>
      <c r="AD384" s="1" t="s">
        <v>4273</v>
      </c>
      <c r="AE384" s="1" t="s">
        <v>4274</v>
      </c>
      <c r="AF384" s="1" t="s">
        <v>4274</v>
      </c>
      <c r="AG384" s="1" t="s">
        <v>4274</v>
      </c>
      <c r="AH384" s="1" t="s">
        <v>811</v>
      </c>
      <c r="AI384" s="6">
        <v>38657.0</v>
      </c>
      <c r="AJ384" s="1" t="s">
        <v>106</v>
      </c>
      <c r="AK384" s="1" t="s">
        <v>4275</v>
      </c>
      <c r="AL384" s="1" t="s">
        <v>4276</v>
      </c>
      <c r="AM384" s="11" t="str">
        <f>VLOOKUP(N384,Sheet3!$B$4:$C$10,2,1)</f>
        <v>31-40</v>
      </c>
      <c r="AN384" s="12" t="str">
        <f>VLOOKUP(Z384,Sheet3!$F$4:$G$10,2,1)</f>
        <v>11-20</v>
      </c>
      <c r="AO384" s="5" t="str">
        <f>VLOOKUP(AA384,Sheet3!$I$3:$J$16,2,1)</f>
        <v>40000-60000</v>
      </c>
      <c r="AP384" s="5" t="str">
        <f>VLOOKUP(AB384,Sheet3!$L$4:$M$14,2,1)</f>
        <v>21% - 25%</v>
      </c>
    </row>
    <row r="385">
      <c r="A385" s="6">
        <v>865905.0</v>
      </c>
      <c r="B385" s="1" t="s">
        <v>66</v>
      </c>
      <c r="C385" s="1" t="s">
        <v>1244</v>
      </c>
      <c r="D385" s="1" t="s">
        <v>257</v>
      </c>
      <c r="E385" s="1" t="s">
        <v>3865</v>
      </c>
      <c r="F385" s="1" t="s">
        <v>70</v>
      </c>
      <c r="G385" s="1" t="s">
        <v>4277</v>
      </c>
      <c r="H385" s="1" t="s">
        <v>1395</v>
      </c>
      <c r="I385" s="1" t="s">
        <v>4278</v>
      </c>
      <c r="J385" s="1" t="s">
        <v>4279</v>
      </c>
      <c r="K385" s="1" t="s">
        <v>2406</v>
      </c>
      <c r="L385" s="7">
        <v>22627.0</v>
      </c>
      <c r="M385" s="8">
        <v>0.15952546296296297</v>
      </c>
      <c r="N385" s="6">
        <v>55.66</v>
      </c>
      <c r="O385" s="6">
        <v>67.0</v>
      </c>
      <c r="P385" s="9">
        <v>42789.0</v>
      </c>
      <c r="Q385" s="1" t="s">
        <v>96</v>
      </c>
      <c r="R385" s="1" t="s">
        <v>76</v>
      </c>
      <c r="S385" s="6">
        <v>2017.0</v>
      </c>
      <c r="T385" s="6">
        <v>2.0</v>
      </c>
      <c r="U385" s="1" t="s">
        <v>117</v>
      </c>
      <c r="V385" s="1" t="s">
        <v>118</v>
      </c>
      <c r="W385" s="6">
        <v>23.0</v>
      </c>
      <c r="X385" s="1" t="s">
        <v>150</v>
      </c>
      <c r="Y385" s="1" t="s">
        <v>151</v>
      </c>
      <c r="Z385" s="6">
        <v>0.42</v>
      </c>
      <c r="AA385" s="6">
        <v>141143.0</v>
      </c>
      <c r="AB385" s="10">
        <v>0.16</v>
      </c>
      <c r="AC385" s="1" t="s">
        <v>4280</v>
      </c>
      <c r="AD385" s="1" t="s">
        <v>4281</v>
      </c>
      <c r="AE385" s="1" t="s">
        <v>4282</v>
      </c>
      <c r="AF385" s="1" t="s">
        <v>4283</v>
      </c>
      <c r="AG385" s="1" t="s">
        <v>4282</v>
      </c>
      <c r="AH385" s="1" t="s">
        <v>525</v>
      </c>
      <c r="AI385" s="6">
        <v>72918.0</v>
      </c>
      <c r="AJ385" s="1" t="s">
        <v>106</v>
      </c>
      <c r="AK385" s="1" t="s">
        <v>4284</v>
      </c>
      <c r="AL385" s="1" t="s">
        <v>4285</v>
      </c>
      <c r="AM385" s="11" t="str">
        <f>VLOOKUP(N385,Sheet3!$B$4:$C$10,2,1)</f>
        <v>51-60</v>
      </c>
      <c r="AN385" s="13" t="str">
        <f>VLOOKUP(Z385,Sheet3!$F$4:$G$10,2,1)</f>
        <v>&lt; 5</v>
      </c>
      <c r="AO385" s="5" t="str">
        <f>VLOOKUP(AA385,Sheet3!$I$3:$J$16,2,1)</f>
        <v>140000-160000</v>
      </c>
      <c r="AP385" s="5" t="str">
        <f>VLOOKUP(AB385,Sheet3!$L$4:$M$14,2,1)</f>
        <v>16% - 20%</v>
      </c>
    </row>
    <row r="386">
      <c r="A386" s="6">
        <v>657908.0</v>
      </c>
      <c r="B386" s="1" t="s">
        <v>109</v>
      </c>
      <c r="C386" s="1" t="s">
        <v>1240</v>
      </c>
      <c r="D386" s="1" t="s">
        <v>1663</v>
      </c>
      <c r="E386" s="1" t="s">
        <v>3058</v>
      </c>
      <c r="F386" s="1" t="s">
        <v>46</v>
      </c>
      <c r="G386" s="1" t="s">
        <v>4286</v>
      </c>
      <c r="H386" s="1" t="s">
        <v>1395</v>
      </c>
      <c r="I386" s="1" t="s">
        <v>4287</v>
      </c>
      <c r="J386" s="1" t="s">
        <v>4288</v>
      </c>
      <c r="K386" s="1" t="s">
        <v>3684</v>
      </c>
      <c r="L386" s="9">
        <v>29272.0</v>
      </c>
      <c r="M386" s="8">
        <v>0.7407986111111111</v>
      </c>
      <c r="N386" s="6">
        <v>37.46</v>
      </c>
      <c r="O386" s="6">
        <v>45.0</v>
      </c>
      <c r="P386" s="9">
        <v>37451.0</v>
      </c>
      <c r="Q386" s="1" t="s">
        <v>308</v>
      </c>
      <c r="R386" s="1" t="s">
        <v>53</v>
      </c>
      <c r="S386" s="6">
        <v>2002.0</v>
      </c>
      <c r="T386" s="6">
        <v>7.0</v>
      </c>
      <c r="U386" s="1" t="s">
        <v>366</v>
      </c>
      <c r="V386" s="1" t="s">
        <v>367</v>
      </c>
      <c r="W386" s="6">
        <v>14.0</v>
      </c>
      <c r="X386" s="1" t="s">
        <v>534</v>
      </c>
      <c r="Y386" s="1" t="s">
        <v>535</v>
      </c>
      <c r="Z386" s="6">
        <v>15.05</v>
      </c>
      <c r="AA386" s="6">
        <v>68835.0</v>
      </c>
      <c r="AB386" s="10">
        <v>0.3</v>
      </c>
      <c r="AC386" s="1" t="s">
        <v>4289</v>
      </c>
      <c r="AD386" s="1" t="s">
        <v>4290</v>
      </c>
      <c r="AE386" s="1" t="s">
        <v>1094</v>
      </c>
      <c r="AF386" s="1" t="s">
        <v>4291</v>
      </c>
      <c r="AG386" s="1" t="s">
        <v>1094</v>
      </c>
      <c r="AH386" s="1" t="s">
        <v>105</v>
      </c>
      <c r="AI386" s="6">
        <v>42071.0</v>
      </c>
      <c r="AJ386" s="1" t="s">
        <v>106</v>
      </c>
      <c r="AK386" s="1" t="s">
        <v>4292</v>
      </c>
      <c r="AL386" s="1" t="s">
        <v>4293</v>
      </c>
      <c r="AM386" s="11" t="str">
        <f>VLOOKUP(N386,Sheet3!$B$4:$C$10,2,1)</f>
        <v>31-40</v>
      </c>
      <c r="AN386" s="12" t="str">
        <f>VLOOKUP(Z386,Sheet3!$F$4:$G$10,2,1)</f>
        <v>11-20</v>
      </c>
      <c r="AO386" s="5" t="str">
        <f>VLOOKUP(AA386,Sheet3!$I$3:$J$16,2,1)</f>
        <v>60000-80000</v>
      </c>
      <c r="AP386" s="5" t="str">
        <f>VLOOKUP(AB386,Sheet3!$L$4:$M$14,2,1)</f>
        <v>26% - 30%</v>
      </c>
    </row>
    <row r="387">
      <c r="A387" s="6">
        <v>652723.0</v>
      </c>
      <c r="B387" s="1" t="s">
        <v>109</v>
      </c>
      <c r="C387" s="1" t="s">
        <v>4294</v>
      </c>
      <c r="D387" s="1" t="s">
        <v>44</v>
      </c>
      <c r="E387" s="1" t="s">
        <v>4295</v>
      </c>
      <c r="F387" s="1" t="s">
        <v>46</v>
      </c>
      <c r="G387" s="1" t="s">
        <v>4296</v>
      </c>
      <c r="H387" s="1" t="s">
        <v>1395</v>
      </c>
      <c r="I387" s="1" t="s">
        <v>4297</v>
      </c>
      <c r="J387" s="1" t="s">
        <v>4298</v>
      </c>
      <c r="K387" s="1" t="s">
        <v>4299</v>
      </c>
      <c r="L387" s="14">
        <v>34066.0</v>
      </c>
      <c r="M387" s="8">
        <v>0.4585532407407407</v>
      </c>
      <c r="N387" s="6">
        <v>24.32</v>
      </c>
      <c r="O387" s="6">
        <v>47.0</v>
      </c>
      <c r="P387" s="14">
        <v>42712.0</v>
      </c>
      <c r="Q387" s="1" t="s">
        <v>52</v>
      </c>
      <c r="R387" s="1" t="s">
        <v>53</v>
      </c>
      <c r="S387" s="6">
        <v>2016.0</v>
      </c>
      <c r="T387" s="6">
        <v>12.0</v>
      </c>
      <c r="U387" s="1" t="s">
        <v>54</v>
      </c>
      <c r="V387" s="1" t="s">
        <v>55</v>
      </c>
      <c r="W387" s="6">
        <v>8.0</v>
      </c>
      <c r="X387" s="1" t="s">
        <v>150</v>
      </c>
      <c r="Y387" s="1" t="s">
        <v>151</v>
      </c>
      <c r="Z387" s="6">
        <v>0.64</v>
      </c>
      <c r="AA387" s="6">
        <v>67506.0</v>
      </c>
      <c r="AB387" s="10">
        <v>0.2</v>
      </c>
      <c r="AC387" s="1" t="s">
        <v>4300</v>
      </c>
      <c r="AD387" s="1" t="s">
        <v>4301</v>
      </c>
      <c r="AE387" s="1" t="s">
        <v>1790</v>
      </c>
      <c r="AF387" s="1" t="s">
        <v>1791</v>
      </c>
      <c r="AG387" s="1" t="s">
        <v>1790</v>
      </c>
      <c r="AH387" s="1" t="s">
        <v>857</v>
      </c>
      <c r="AI387" s="6">
        <v>63130.0</v>
      </c>
      <c r="AJ387" s="1" t="s">
        <v>86</v>
      </c>
      <c r="AK387" s="1" t="s">
        <v>4302</v>
      </c>
      <c r="AL387" s="1" t="s">
        <v>4303</v>
      </c>
      <c r="AM387" s="11" t="str">
        <f>VLOOKUP(N387,Sheet3!$B$4:$C$10,2,1)</f>
        <v>21-30</v>
      </c>
      <c r="AN387" s="13" t="str">
        <f>VLOOKUP(Z387,Sheet3!$F$4:$G$10,2,1)</f>
        <v>&lt; 5</v>
      </c>
      <c r="AO387" s="5" t="str">
        <f>VLOOKUP(AA387,Sheet3!$I$3:$J$16,2,1)</f>
        <v>60000-80000</v>
      </c>
      <c r="AP387" s="5" t="str">
        <f>VLOOKUP(AB387,Sheet3!$L$4:$M$14,2,1)</f>
        <v>16% - 20%</v>
      </c>
    </row>
    <row r="388">
      <c r="A388" s="6">
        <v>944699.0</v>
      </c>
      <c r="B388" s="1" t="s">
        <v>66</v>
      </c>
      <c r="C388" s="1" t="s">
        <v>4030</v>
      </c>
      <c r="D388" s="1" t="s">
        <v>416</v>
      </c>
      <c r="E388" s="1" t="s">
        <v>4304</v>
      </c>
      <c r="F388" s="1" t="s">
        <v>70</v>
      </c>
      <c r="G388" s="1" t="s">
        <v>4305</v>
      </c>
      <c r="H388" s="1" t="s">
        <v>1395</v>
      </c>
      <c r="I388" s="1" t="s">
        <v>4306</v>
      </c>
      <c r="J388" s="1" t="s">
        <v>4307</v>
      </c>
      <c r="K388" s="1" t="s">
        <v>4308</v>
      </c>
      <c r="L388" s="9">
        <v>30577.0</v>
      </c>
      <c r="M388" s="8">
        <v>0.7881365740740741</v>
      </c>
      <c r="N388" s="6">
        <v>33.88</v>
      </c>
      <c r="O388" s="6">
        <v>73.0</v>
      </c>
      <c r="P388" s="9">
        <v>40102.0</v>
      </c>
      <c r="Q388" s="1" t="s">
        <v>52</v>
      </c>
      <c r="R388" s="1" t="s">
        <v>53</v>
      </c>
      <c r="S388" s="6">
        <v>2009.0</v>
      </c>
      <c r="T388" s="6">
        <v>10.0</v>
      </c>
      <c r="U388" s="1" t="s">
        <v>133</v>
      </c>
      <c r="V388" s="1" t="s">
        <v>134</v>
      </c>
      <c r="W388" s="6">
        <v>16.0</v>
      </c>
      <c r="X388" s="1" t="s">
        <v>263</v>
      </c>
      <c r="Y388" s="1" t="s">
        <v>264</v>
      </c>
      <c r="Z388" s="6">
        <v>7.79</v>
      </c>
      <c r="AA388" s="6">
        <v>116248.0</v>
      </c>
      <c r="AB388" s="10">
        <v>0.24</v>
      </c>
      <c r="AC388" s="1" t="s">
        <v>4309</v>
      </c>
      <c r="AD388" s="1" t="s">
        <v>4310</v>
      </c>
      <c r="AE388" s="1" t="s">
        <v>4311</v>
      </c>
      <c r="AF388" s="1" t="s">
        <v>2267</v>
      </c>
      <c r="AG388" s="1" t="s">
        <v>4311</v>
      </c>
      <c r="AH388" s="1" t="s">
        <v>740</v>
      </c>
      <c r="AI388" s="6">
        <v>1344.0</v>
      </c>
      <c r="AJ388" s="1" t="s">
        <v>224</v>
      </c>
      <c r="AK388" s="1" t="s">
        <v>4312</v>
      </c>
      <c r="AL388" s="1" t="s">
        <v>4313</v>
      </c>
      <c r="AM388" s="11" t="str">
        <f>VLOOKUP(N388,Sheet3!$B$4:$C$10,2,1)</f>
        <v>31-40</v>
      </c>
      <c r="AN388" s="12" t="str">
        <f>VLOOKUP(Z388,Sheet3!$F$4:$G$10,2,1)</f>
        <v>5-10</v>
      </c>
      <c r="AO388" s="5" t="str">
        <f>VLOOKUP(AA388,Sheet3!$I$3:$J$16,2,1)</f>
        <v>100000-120000</v>
      </c>
      <c r="AP388" s="5" t="str">
        <f>VLOOKUP(AB388,Sheet3!$L$4:$M$14,2,1)</f>
        <v>21% - 25%</v>
      </c>
    </row>
    <row r="389">
      <c r="A389" s="6">
        <v>517283.0</v>
      </c>
      <c r="B389" s="1" t="s">
        <v>227</v>
      </c>
      <c r="C389" s="1" t="s">
        <v>4314</v>
      </c>
      <c r="D389" s="1" t="s">
        <v>334</v>
      </c>
      <c r="E389" s="1" t="s">
        <v>1980</v>
      </c>
      <c r="F389" s="1" t="s">
        <v>70</v>
      </c>
      <c r="G389" s="1" t="s">
        <v>4315</v>
      </c>
      <c r="H389" s="1" t="s">
        <v>1395</v>
      </c>
      <c r="I389" s="1" t="s">
        <v>4316</v>
      </c>
      <c r="J389" s="1" t="s">
        <v>4317</v>
      </c>
      <c r="K389" s="1" t="s">
        <v>4318</v>
      </c>
      <c r="L389" s="14">
        <v>27859.0</v>
      </c>
      <c r="M389" s="8">
        <v>0.23020833333333332</v>
      </c>
      <c r="N389" s="6">
        <v>41.33</v>
      </c>
      <c r="O389" s="6">
        <v>72.0</v>
      </c>
      <c r="P389" s="9">
        <v>42081.0</v>
      </c>
      <c r="Q389" s="1" t="s">
        <v>96</v>
      </c>
      <c r="R389" s="1" t="s">
        <v>76</v>
      </c>
      <c r="S389" s="6">
        <v>2015.0</v>
      </c>
      <c r="T389" s="6">
        <v>3.0</v>
      </c>
      <c r="U389" s="1" t="s">
        <v>97</v>
      </c>
      <c r="V389" s="1" t="s">
        <v>98</v>
      </c>
      <c r="W389" s="6">
        <v>18.0</v>
      </c>
      <c r="X389" s="1" t="s">
        <v>278</v>
      </c>
      <c r="Y389" s="1" t="s">
        <v>279</v>
      </c>
      <c r="Z389" s="6">
        <v>2.36</v>
      </c>
      <c r="AA389" s="6">
        <v>65753.0</v>
      </c>
      <c r="AB389" s="10">
        <v>0.1</v>
      </c>
      <c r="AC389" s="1" t="s">
        <v>4319</v>
      </c>
      <c r="AD389" s="1" t="s">
        <v>4320</v>
      </c>
      <c r="AE389" s="1" t="s">
        <v>4321</v>
      </c>
      <c r="AF389" s="1" t="s">
        <v>4322</v>
      </c>
      <c r="AG389" s="1" t="s">
        <v>4321</v>
      </c>
      <c r="AH389" s="1" t="s">
        <v>399</v>
      </c>
      <c r="AI389" s="6">
        <v>70634.0</v>
      </c>
      <c r="AJ389" s="1" t="s">
        <v>106</v>
      </c>
      <c r="AK389" s="1" t="s">
        <v>4323</v>
      </c>
      <c r="AL389" s="1" t="s">
        <v>4324</v>
      </c>
      <c r="AM389" s="11" t="str">
        <f>VLOOKUP(N389,Sheet3!$B$4:$C$10,2,1)</f>
        <v>41-50</v>
      </c>
      <c r="AN389" s="13" t="str">
        <f>VLOOKUP(Z389,Sheet3!$F$4:$G$10,2,1)</f>
        <v>&lt; 5</v>
      </c>
      <c r="AO389" s="5" t="str">
        <f>VLOOKUP(AA389,Sheet3!$I$3:$J$16,2,1)</f>
        <v>60000-80000</v>
      </c>
      <c r="AP389" s="5" t="str">
        <f>VLOOKUP(AB389,Sheet3!$L$4:$M$14,2,1)</f>
        <v>5% - 10%</v>
      </c>
    </row>
    <row r="390">
      <c r="A390" s="6">
        <v>176214.0</v>
      </c>
      <c r="B390" s="1" t="s">
        <v>109</v>
      </c>
      <c r="C390" s="1" t="s">
        <v>4325</v>
      </c>
      <c r="D390" s="1" t="s">
        <v>1300</v>
      </c>
      <c r="E390" s="1" t="s">
        <v>2763</v>
      </c>
      <c r="F390" s="1" t="s">
        <v>46</v>
      </c>
      <c r="G390" s="1" t="s">
        <v>4326</v>
      </c>
      <c r="H390" s="1" t="s">
        <v>1395</v>
      </c>
      <c r="I390" s="1" t="s">
        <v>4327</v>
      </c>
      <c r="J390" s="1" t="s">
        <v>4328</v>
      </c>
      <c r="K390" s="1" t="s">
        <v>950</v>
      </c>
      <c r="L390" s="9">
        <v>26662.0</v>
      </c>
      <c r="M390" s="8">
        <v>0.5558796296296297</v>
      </c>
      <c r="N390" s="6">
        <v>44.61</v>
      </c>
      <c r="O390" s="6">
        <v>58.0</v>
      </c>
      <c r="P390" s="9">
        <v>39690.0</v>
      </c>
      <c r="Q390" s="1" t="s">
        <v>308</v>
      </c>
      <c r="R390" s="1" t="s">
        <v>53</v>
      </c>
      <c r="S390" s="6">
        <v>2008.0</v>
      </c>
      <c r="T390" s="6">
        <v>8.0</v>
      </c>
      <c r="U390" s="1" t="s">
        <v>433</v>
      </c>
      <c r="V390" s="1" t="s">
        <v>434</v>
      </c>
      <c r="W390" s="6">
        <v>30.0</v>
      </c>
      <c r="X390" s="1" t="s">
        <v>56</v>
      </c>
      <c r="Y390" s="1" t="s">
        <v>57</v>
      </c>
      <c r="Z390" s="6">
        <v>8.92</v>
      </c>
      <c r="AA390" s="6">
        <v>40040.0</v>
      </c>
      <c r="AB390" s="10">
        <v>0.22</v>
      </c>
      <c r="AC390" s="1" t="s">
        <v>4329</v>
      </c>
      <c r="AD390" s="1" t="s">
        <v>4330</v>
      </c>
      <c r="AE390" s="1" t="s">
        <v>4331</v>
      </c>
      <c r="AF390" s="1" t="s">
        <v>2267</v>
      </c>
      <c r="AG390" s="1" t="s">
        <v>4331</v>
      </c>
      <c r="AH390" s="1" t="s">
        <v>974</v>
      </c>
      <c r="AI390" s="6">
        <v>43068.0</v>
      </c>
      <c r="AJ390" s="1" t="s">
        <v>86</v>
      </c>
      <c r="AK390" s="1" t="s">
        <v>4332</v>
      </c>
      <c r="AL390" s="1" t="s">
        <v>4333</v>
      </c>
      <c r="AM390" s="11" t="str">
        <f>VLOOKUP(N390,Sheet3!$B$4:$C$10,2,1)</f>
        <v>41-50</v>
      </c>
      <c r="AN390" s="12" t="str">
        <f>VLOOKUP(Z390,Sheet3!$F$4:$G$10,2,1)</f>
        <v>5-10</v>
      </c>
      <c r="AO390" s="5" t="str">
        <f>VLOOKUP(AA390,Sheet3!$I$3:$J$16,2,1)</f>
        <v>40000-60000</v>
      </c>
      <c r="AP390" s="5" t="str">
        <f>VLOOKUP(AB390,Sheet3!$L$4:$M$14,2,1)</f>
        <v>21% - 25%</v>
      </c>
    </row>
    <row r="391">
      <c r="A391" s="6">
        <v>680485.0</v>
      </c>
      <c r="B391" s="1" t="s">
        <v>66</v>
      </c>
      <c r="C391" s="1" t="s">
        <v>4334</v>
      </c>
      <c r="D391" s="1" t="s">
        <v>44</v>
      </c>
      <c r="E391" s="1" t="s">
        <v>1066</v>
      </c>
      <c r="F391" s="1" t="s">
        <v>70</v>
      </c>
      <c r="G391" s="1" t="s">
        <v>4335</v>
      </c>
      <c r="H391" s="1" t="s">
        <v>1395</v>
      </c>
      <c r="I391" s="1" t="s">
        <v>4336</v>
      </c>
      <c r="J391" s="1" t="s">
        <v>4337</v>
      </c>
      <c r="K391" s="1" t="s">
        <v>4338</v>
      </c>
      <c r="L391" s="14">
        <v>33060.0</v>
      </c>
      <c r="M391" s="8">
        <v>0.009675925925925926</v>
      </c>
      <c r="N391" s="6">
        <v>27.08</v>
      </c>
      <c r="O391" s="6">
        <v>63.0</v>
      </c>
      <c r="P391" s="9">
        <v>42727.0</v>
      </c>
      <c r="Q391" s="1" t="s">
        <v>52</v>
      </c>
      <c r="R391" s="1" t="s">
        <v>53</v>
      </c>
      <c r="S391" s="6">
        <v>2016.0</v>
      </c>
      <c r="T391" s="6">
        <v>12.0</v>
      </c>
      <c r="U391" s="1" t="s">
        <v>54</v>
      </c>
      <c r="V391" s="1" t="s">
        <v>55</v>
      </c>
      <c r="W391" s="6">
        <v>23.0</v>
      </c>
      <c r="X391" s="1" t="s">
        <v>263</v>
      </c>
      <c r="Y391" s="1" t="s">
        <v>264</v>
      </c>
      <c r="Z391" s="6">
        <v>0.59</v>
      </c>
      <c r="AA391" s="6">
        <v>158773.0</v>
      </c>
      <c r="AB391" s="10">
        <v>0.12</v>
      </c>
      <c r="AC391" s="1" t="s">
        <v>4339</v>
      </c>
      <c r="AD391" s="1" t="s">
        <v>4340</v>
      </c>
      <c r="AE391" s="1" t="s">
        <v>4341</v>
      </c>
      <c r="AF391" s="1" t="s">
        <v>4341</v>
      </c>
      <c r="AG391" s="1" t="s">
        <v>4341</v>
      </c>
      <c r="AH391" s="1" t="s">
        <v>385</v>
      </c>
      <c r="AI391" s="6">
        <v>98419.0</v>
      </c>
      <c r="AJ391" s="1" t="s">
        <v>63</v>
      </c>
      <c r="AK391" s="1" t="s">
        <v>4342</v>
      </c>
      <c r="AL391" s="1" t="s">
        <v>4343</v>
      </c>
      <c r="AM391" s="11" t="str">
        <f>VLOOKUP(N391,Sheet3!$B$4:$C$10,2,1)</f>
        <v>21-30</v>
      </c>
      <c r="AN391" s="13" t="str">
        <f>VLOOKUP(Z391,Sheet3!$F$4:$G$10,2,1)</f>
        <v>&lt; 5</v>
      </c>
      <c r="AO391" s="5" t="str">
        <f>VLOOKUP(AA391,Sheet3!$I$3:$J$16,2,1)</f>
        <v>140000-160000</v>
      </c>
      <c r="AP391" s="5" t="str">
        <f>VLOOKUP(AB391,Sheet3!$L$4:$M$14,2,1)</f>
        <v>11% - 15%</v>
      </c>
    </row>
    <row r="392">
      <c r="A392" s="6">
        <v>891142.0</v>
      </c>
      <c r="B392" s="1" t="s">
        <v>125</v>
      </c>
      <c r="C392" s="1" t="s">
        <v>4344</v>
      </c>
      <c r="D392" s="1" t="s">
        <v>70</v>
      </c>
      <c r="E392" s="1" t="s">
        <v>4345</v>
      </c>
      <c r="F392" s="1" t="s">
        <v>70</v>
      </c>
      <c r="G392" s="1" t="s">
        <v>4346</v>
      </c>
      <c r="H392" s="1" t="s">
        <v>1395</v>
      </c>
      <c r="I392" s="1" t="s">
        <v>4347</v>
      </c>
      <c r="J392" s="1" t="s">
        <v>4348</v>
      </c>
      <c r="K392" s="1" t="s">
        <v>4349</v>
      </c>
      <c r="L392" s="14">
        <v>24538.0</v>
      </c>
      <c r="M392" s="8">
        <v>0.8926967592592593</v>
      </c>
      <c r="N392" s="6">
        <v>50.43</v>
      </c>
      <c r="O392" s="6">
        <v>63.0</v>
      </c>
      <c r="P392" s="9">
        <v>38653.0</v>
      </c>
      <c r="Q392" s="1" t="s">
        <v>52</v>
      </c>
      <c r="R392" s="1" t="s">
        <v>53</v>
      </c>
      <c r="S392" s="6">
        <v>2005.0</v>
      </c>
      <c r="T392" s="6">
        <v>10.0</v>
      </c>
      <c r="U392" s="1" t="s">
        <v>133</v>
      </c>
      <c r="V392" s="1" t="s">
        <v>134</v>
      </c>
      <c r="W392" s="6">
        <v>28.0</v>
      </c>
      <c r="X392" s="1" t="s">
        <v>263</v>
      </c>
      <c r="Y392" s="1" t="s">
        <v>264</v>
      </c>
      <c r="Z392" s="6">
        <v>11.76</v>
      </c>
      <c r="AA392" s="6">
        <v>187800.0</v>
      </c>
      <c r="AB392" s="10">
        <v>0.0</v>
      </c>
      <c r="AC392" s="1" t="s">
        <v>4350</v>
      </c>
      <c r="AD392" s="1" t="s">
        <v>4351</v>
      </c>
      <c r="AE392" s="1" t="s">
        <v>4352</v>
      </c>
      <c r="AF392" s="1" t="s">
        <v>4353</v>
      </c>
      <c r="AG392" s="1" t="s">
        <v>4352</v>
      </c>
      <c r="AH392" s="1" t="s">
        <v>1605</v>
      </c>
      <c r="AI392" s="6">
        <v>58490.0</v>
      </c>
      <c r="AJ392" s="1" t="s">
        <v>86</v>
      </c>
      <c r="AK392" s="1" t="s">
        <v>4354</v>
      </c>
      <c r="AL392" s="1" t="s">
        <v>4355</v>
      </c>
      <c r="AM392" s="11" t="str">
        <f>VLOOKUP(N392,Sheet3!$B$4:$C$10,2,1)</f>
        <v>41-50</v>
      </c>
      <c r="AN392" s="12" t="str">
        <f>VLOOKUP(Z392,Sheet3!$F$4:$G$10,2,1)</f>
        <v>11-20</v>
      </c>
      <c r="AO392" s="5" t="str">
        <f>VLOOKUP(AA392,Sheet3!$I$3:$J$16,2,1)</f>
        <v>180000-200000</v>
      </c>
      <c r="AP392" s="5" t="str">
        <f>VLOOKUP(AB392,Sheet3!$L$4:$M$14,2,1)</f>
        <v>&lt; 5%</v>
      </c>
    </row>
    <row r="393">
      <c r="A393" s="6">
        <v>810984.0</v>
      </c>
      <c r="B393" s="1" t="s">
        <v>109</v>
      </c>
      <c r="C393" s="1" t="s">
        <v>4356</v>
      </c>
      <c r="D393" s="1" t="s">
        <v>127</v>
      </c>
      <c r="E393" s="1" t="s">
        <v>862</v>
      </c>
      <c r="F393" s="1" t="s">
        <v>46</v>
      </c>
      <c r="G393" s="1" t="s">
        <v>4357</v>
      </c>
      <c r="H393" s="1" t="s">
        <v>1395</v>
      </c>
      <c r="I393" s="1" t="s">
        <v>4358</v>
      </c>
      <c r="J393" s="1" t="s">
        <v>4359</v>
      </c>
      <c r="K393" s="1" t="s">
        <v>1980</v>
      </c>
      <c r="L393" s="14">
        <v>29131.0</v>
      </c>
      <c r="M393" s="8">
        <v>0.8509143518518518</v>
      </c>
      <c r="N393" s="6">
        <v>37.84</v>
      </c>
      <c r="O393" s="6">
        <v>56.0</v>
      </c>
      <c r="P393" s="9">
        <v>36824.0</v>
      </c>
      <c r="Q393" s="1" t="s">
        <v>52</v>
      </c>
      <c r="R393" s="1" t="s">
        <v>53</v>
      </c>
      <c r="S393" s="6">
        <v>2000.0</v>
      </c>
      <c r="T393" s="6">
        <v>10.0</v>
      </c>
      <c r="U393" s="1" t="s">
        <v>133</v>
      </c>
      <c r="V393" s="1" t="s">
        <v>134</v>
      </c>
      <c r="W393" s="6">
        <v>25.0</v>
      </c>
      <c r="X393" s="1" t="s">
        <v>278</v>
      </c>
      <c r="Y393" s="1" t="s">
        <v>279</v>
      </c>
      <c r="Z393" s="6">
        <v>16.77</v>
      </c>
      <c r="AA393" s="6">
        <v>135046.0</v>
      </c>
      <c r="AB393" s="10">
        <v>0.19</v>
      </c>
      <c r="AC393" s="1" t="s">
        <v>4360</v>
      </c>
      <c r="AD393" s="1" t="s">
        <v>4361</v>
      </c>
      <c r="AE393" s="1" t="s">
        <v>929</v>
      </c>
      <c r="AF393" s="1" t="s">
        <v>930</v>
      </c>
      <c r="AG393" s="1" t="s">
        <v>929</v>
      </c>
      <c r="AH393" s="1" t="s">
        <v>882</v>
      </c>
      <c r="AI393" s="6">
        <v>30302.0</v>
      </c>
      <c r="AJ393" s="1" t="s">
        <v>106</v>
      </c>
      <c r="AK393" s="1" t="s">
        <v>4362</v>
      </c>
      <c r="AL393" s="1" t="s">
        <v>4363</v>
      </c>
      <c r="AM393" s="11" t="str">
        <f>VLOOKUP(N393,Sheet3!$B$4:$C$10,2,1)</f>
        <v>31-40</v>
      </c>
      <c r="AN393" s="12" t="str">
        <f>VLOOKUP(Z393,Sheet3!$F$4:$G$10,2,1)</f>
        <v>11-20</v>
      </c>
      <c r="AO393" s="5" t="str">
        <f>VLOOKUP(AA393,Sheet3!$I$3:$J$16,2,1)</f>
        <v>120000-140000</v>
      </c>
      <c r="AP393" s="5" t="str">
        <f>VLOOKUP(AB393,Sheet3!$L$4:$M$14,2,1)</f>
        <v>16% - 20%</v>
      </c>
    </row>
    <row r="394">
      <c r="A394" s="6">
        <v>896022.0</v>
      </c>
      <c r="B394" s="1" t="s">
        <v>66</v>
      </c>
      <c r="C394" s="1" t="s">
        <v>4364</v>
      </c>
      <c r="D394" s="1" t="s">
        <v>529</v>
      </c>
      <c r="E394" s="1" t="s">
        <v>3711</v>
      </c>
      <c r="F394" s="1" t="s">
        <v>70</v>
      </c>
      <c r="G394" s="1" t="s">
        <v>4365</v>
      </c>
      <c r="H394" s="1" t="s">
        <v>1395</v>
      </c>
      <c r="I394" s="1" t="s">
        <v>4366</v>
      </c>
      <c r="J394" s="1" t="s">
        <v>4367</v>
      </c>
      <c r="K394" s="1" t="s">
        <v>2402</v>
      </c>
      <c r="L394" s="9">
        <v>26225.0</v>
      </c>
      <c r="M394" s="8">
        <v>0.23488425925925926</v>
      </c>
      <c r="N394" s="6">
        <v>45.81</v>
      </c>
      <c r="O394" s="6">
        <v>50.0</v>
      </c>
      <c r="P394" s="9">
        <v>35853.0</v>
      </c>
      <c r="Q394" s="1" t="s">
        <v>96</v>
      </c>
      <c r="R394" s="1" t="s">
        <v>76</v>
      </c>
      <c r="S394" s="6">
        <v>1998.0</v>
      </c>
      <c r="T394" s="6">
        <v>2.0</v>
      </c>
      <c r="U394" s="1" t="s">
        <v>117</v>
      </c>
      <c r="V394" s="1" t="s">
        <v>118</v>
      </c>
      <c r="W394" s="6">
        <v>27.0</v>
      </c>
      <c r="X394" s="1" t="s">
        <v>263</v>
      </c>
      <c r="Y394" s="1" t="s">
        <v>264</v>
      </c>
      <c r="Z394" s="6">
        <v>19.43</v>
      </c>
      <c r="AA394" s="6">
        <v>140328.0</v>
      </c>
      <c r="AB394" s="10">
        <v>0.01</v>
      </c>
      <c r="AC394" s="1" t="s">
        <v>4368</v>
      </c>
      <c r="AD394" s="1" t="s">
        <v>4369</v>
      </c>
      <c r="AE394" s="1" t="s">
        <v>496</v>
      </c>
      <c r="AF394" s="1" t="s">
        <v>3214</v>
      </c>
      <c r="AG394" s="1" t="s">
        <v>496</v>
      </c>
      <c r="AH394" s="1" t="s">
        <v>122</v>
      </c>
      <c r="AI394" s="6">
        <v>47375.0</v>
      </c>
      <c r="AJ394" s="1" t="s">
        <v>86</v>
      </c>
      <c r="AK394" s="1" t="s">
        <v>4370</v>
      </c>
      <c r="AL394" s="1" t="s">
        <v>4371</v>
      </c>
      <c r="AM394" s="11" t="str">
        <f>VLOOKUP(N394,Sheet3!$B$4:$C$10,2,1)</f>
        <v>41-50</v>
      </c>
      <c r="AN394" s="12" t="str">
        <f>VLOOKUP(Z394,Sheet3!$F$4:$G$10,2,1)</f>
        <v>11-20</v>
      </c>
      <c r="AO394" s="5" t="str">
        <f>VLOOKUP(AA394,Sheet3!$I$3:$J$16,2,1)</f>
        <v>140000-160000</v>
      </c>
      <c r="AP394" s="5" t="str">
        <f>VLOOKUP(AB394,Sheet3!$L$4:$M$14,2,1)</f>
        <v>&lt; 5%</v>
      </c>
    </row>
    <row r="395">
      <c r="A395" s="6">
        <v>162773.0</v>
      </c>
      <c r="B395" s="1" t="s">
        <v>89</v>
      </c>
      <c r="C395" s="1" t="s">
        <v>4372</v>
      </c>
      <c r="D395" s="1" t="s">
        <v>1663</v>
      </c>
      <c r="E395" s="1" t="s">
        <v>2727</v>
      </c>
      <c r="F395" s="1" t="s">
        <v>46</v>
      </c>
      <c r="G395" s="1" t="s">
        <v>4373</v>
      </c>
      <c r="H395" s="1" t="s">
        <v>1395</v>
      </c>
      <c r="I395" s="1" t="s">
        <v>4374</v>
      </c>
      <c r="J395" s="1" t="s">
        <v>4375</v>
      </c>
      <c r="K395" s="1" t="s">
        <v>2827</v>
      </c>
      <c r="L395" s="14">
        <v>21799.0</v>
      </c>
      <c r="M395" s="8">
        <v>0.33859953703703705</v>
      </c>
      <c r="N395" s="6">
        <v>57.93</v>
      </c>
      <c r="O395" s="6">
        <v>42.0</v>
      </c>
      <c r="P395" s="9">
        <v>40209.0</v>
      </c>
      <c r="Q395" s="1" t="s">
        <v>96</v>
      </c>
      <c r="R395" s="1" t="s">
        <v>76</v>
      </c>
      <c r="S395" s="6">
        <v>2010.0</v>
      </c>
      <c r="T395" s="6">
        <v>1.0</v>
      </c>
      <c r="U395" s="1" t="s">
        <v>276</v>
      </c>
      <c r="V395" s="1" t="s">
        <v>277</v>
      </c>
      <c r="W395" s="6">
        <v>31.0</v>
      </c>
      <c r="X395" s="1" t="s">
        <v>534</v>
      </c>
      <c r="Y395" s="1" t="s">
        <v>535</v>
      </c>
      <c r="Z395" s="6">
        <v>7.49</v>
      </c>
      <c r="AA395" s="6">
        <v>93417.0</v>
      </c>
      <c r="AB395" s="10">
        <v>0.28</v>
      </c>
      <c r="AC395" s="1" t="s">
        <v>4376</v>
      </c>
      <c r="AD395" s="1" t="s">
        <v>4377</v>
      </c>
      <c r="AE395" s="1" t="s">
        <v>4378</v>
      </c>
      <c r="AF395" s="1" t="s">
        <v>4379</v>
      </c>
      <c r="AG395" s="1" t="s">
        <v>4378</v>
      </c>
      <c r="AH395" s="1" t="s">
        <v>1972</v>
      </c>
      <c r="AI395" s="6">
        <v>84721.0</v>
      </c>
      <c r="AJ395" s="1" t="s">
        <v>63</v>
      </c>
      <c r="AK395" s="1" t="s">
        <v>4380</v>
      </c>
      <c r="AL395" s="1" t="s">
        <v>4381</v>
      </c>
      <c r="AM395" s="11" t="str">
        <f>VLOOKUP(N395,Sheet3!$B$4:$C$10,2,1)</f>
        <v>51-60</v>
      </c>
      <c r="AN395" s="12" t="str">
        <f>VLOOKUP(Z395,Sheet3!$F$4:$G$10,2,1)</f>
        <v>5-10</v>
      </c>
      <c r="AO395" s="5" t="str">
        <f>VLOOKUP(AA395,Sheet3!$I$3:$J$16,2,1)</f>
        <v>80000-100000</v>
      </c>
      <c r="AP395" s="5" t="str">
        <f>VLOOKUP(AB395,Sheet3!$L$4:$M$14,2,1)</f>
        <v>26% - 30%</v>
      </c>
    </row>
    <row r="396">
      <c r="A396" s="6">
        <v>408036.0</v>
      </c>
      <c r="B396" s="1" t="s">
        <v>42</v>
      </c>
      <c r="C396" s="1" t="s">
        <v>4382</v>
      </c>
      <c r="D396" s="1" t="s">
        <v>257</v>
      </c>
      <c r="E396" s="1" t="s">
        <v>4383</v>
      </c>
      <c r="F396" s="1" t="s">
        <v>46</v>
      </c>
      <c r="G396" s="1" t="s">
        <v>4384</v>
      </c>
      <c r="H396" s="1" t="s">
        <v>1395</v>
      </c>
      <c r="I396" s="1" t="s">
        <v>4385</v>
      </c>
      <c r="J396" s="1" t="s">
        <v>4386</v>
      </c>
      <c r="K396" s="1" t="s">
        <v>1289</v>
      </c>
      <c r="L396" s="9">
        <v>28085.0</v>
      </c>
      <c r="M396" s="8">
        <v>0.8273611111111111</v>
      </c>
      <c r="N396" s="6">
        <v>40.71</v>
      </c>
      <c r="O396" s="6">
        <v>50.0</v>
      </c>
      <c r="P396" s="9">
        <v>39712.0</v>
      </c>
      <c r="Q396" s="1" t="s">
        <v>308</v>
      </c>
      <c r="R396" s="1" t="s">
        <v>53</v>
      </c>
      <c r="S396" s="6">
        <v>2008.0</v>
      </c>
      <c r="T396" s="6">
        <v>9.0</v>
      </c>
      <c r="U396" s="1" t="s">
        <v>309</v>
      </c>
      <c r="V396" s="1" t="s">
        <v>310</v>
      </c>
      <c r="W396" s="6">
        <v>21.0</v>
      </c>
      <c r="X396" s="1" t="s">
        <v>534</v>
      </c>
      <c r="Y396" s="1" t="s">
        <v>535</v>
      </c>
      <c r="Z396" s="6">
        <v>8.85</v>
      </c>
      <c r="AA396" s="6">
        <v>197345.0</v>
      </c>
      <c r="AB396" s="10">
        <v>0.04</v>
      </c>
      <c r="AC396" s="1" t="s">
        <v>4387</v>
      </c>
      <c r="AD396" s="1" t="s">
        <v>4388</v>
      </c>
      <c r="AE396" s="1" t="s">
        <v>4389</v>
      </c>
      <c r="AF396" s="1" t="s">
        <v>4390</v>
      </c>
      <c r="AG396" s="1" t="s">
        <v>4389</v>
      </c>
      <c r="AH396" s="1" t="s">
        <v>1605</v>
      </c>
      <c r="AI396" s="6">
        <v>58854.0</v>
      </c>
      <c r="AJ396" s="1" t="s">
        <v>86</v>
      </c>
      <c r="AK396" s="1" t="s">
        <v>4391</v>
      </c>
      <c r="AL396" s="1" t="s">
        <v>4392</v>
      </c>
      <c r="AM396" s="11" t="str">
        <f>VLOOKUP(N396,Sheet3!$B$4:$C$10,2,1)</f>
        <v>31-40</v>
      </c>
      <c r="AN396" s="12" t="str">
        <f>VLOOKUP(Z396,Sheet3!$F$4:$G$10,2,1)</f>
        <v>5-10</v>
      </c>
      <c r="AO396" s="5" t="str">
        <f>VLOOKUP(AA396,Sheet3!$I$3:$J$16,2,1)</f>
        <v>180000-200000</v>
      </c>
      <c r="AP396" s="5" t="str">
        <f>VLOOKUP(AB396,Sheet3!$L$4:$M$14,2,1)</f>
        <v>&lt; 5%</v>
      </c>
    </row>
    <row r="397">
      <c r="A397" s="6">
        <v>591248.0</v>
      </c>
      <c r="B397" s="1" t="s">
        <v>109</v>
      </c>
      <c r="C397" s="1" t="s">
        <v>3893</v>
      </c>
      <c r="D397" s="1" t="s">
        <v>257</v>
      </c>
      <c r="E397" s="1" t="s">
        <v>4393</v>
      </c>
      <c r="F397" s="1" t="s">
        <v>46</v>
      </c>
      <c r="G397" s="1" t="s">
        <v>4394</v>
      </c>
      <c r="H397" s="1" t="s">
        <v>1395</v>
      </c>
      <c r="I397" s="1" t="s">
        <v>4395</v>
      </c>
      <c r="J397" s="1" t="s">
        <v>4396</v>
      </c>
      <c r="K397" s="1" t="s">
        <v>4397</v>
      </c>
      <c r="L397" s="14">
        <v>22808.0</v>
      </c>
      <c r="M397" s="8">
        <v>0.29876157407407405</v>
      </c>
      <c r="N397" s="6">
        <v>55.17</v>
      </c>
      <c r="O397" s="6">
        <v>48.0</v>
      </c>
      <c r="P397" s="9">
        <v>38168.0</v>
      </c>
      <c r="Q397" s="1" t="s">
        <v>75</v>
      </c>
      <c r="R397" s="1" t="s">
        <v>76</v>
      </c>
      <c r="S397" s="6">
        <v>2004.0</v>
      </c>
      <c r="T397" s="6">
        <v>6.0</v>
      </c>
      <c r="U397" s="1" t="s">
        <v>324</v>
      </c>
      <c r="V397" s="1" t="s">
        <v>325</v>
      </c>
      <c r="W397" s="6">
        <v>30.0</v>
      </c>
      <c r="X397" s="1" t="s">
        <v>278</v>
      </c>
      <c r="Y397" s="1" t="s">
        <v>279</v>
      </c>
      <c r="Z397" s="6">
        <v>13.08</v>
      </c>
      <c r="AA397" s="6">
        <v>65981.0</v>
      </c>
      <c r="AB397" s="10">
        <v>0.11</v>
      </c>
      <c r="AC397" s="1" t="s">
        <v>4398</v>
      </c>
      <c r="AD397" s="1" t="s">
        <v>4399</v>
      </c>
      <c r="AE397" s="1" t="s">
        <v>4400</v>
      </c>
      <c r="AF397" s="1" t="s">
        <v>4400</v>
      </c>
      <c r="AG397" s="1" t="s">
        <v>4400</v>
      </c>
      <c r="AH397" s="1" t="s">
        <v>1032</v>
      </c>
      <c r="AI397" s="6">
        <v>67755.0</v>
      </c>
      <c r="AJ397" s="1" t="s">
        <v>86</v>
      </c>
      <c r="AK397" s="1" t="s">
        <v>4401</v>
      </c>
      <c r="AL397" s="1" t="s">
        <v>4402</v>
      </c>
      <c r="AM397" s="11" t="str">
        <f>VLOOKUP(N397,Sheet3!$B$4:$C$10,2,1)</f>
        <v>51-60</v>
      </c>
      <c r="AN397" s="12" t="str">
        <f>VLOOKUP(Z397,Sheet3!$F$4:$G$10,2,1)</f>
        <v>11-20</v>
      </c>
      <c r="AO397" s="5" t="str">
        <f>VLOOKUP(AA397,Sheet3!$I$3:$J$16,2,1)</f>
        <v>60000-80000</v>
      </c>
      <c r="AP397" s="5" t="str">
        <f>VLOOKUP(AB397,Sheet3!$L$4:$M$14,2,1)</f>
        <v>11% - 15%</v>
      </c>
    </row>
    <row r="398">
      <c r="A398" s="6">
        <v>562393.0</v>
      </c>
      <c r="B398" s="1" t="s">
        <v>66</v>
      </c>
      <c r="C398" s="1" t="s">
        <v>4403</v>
      </c>
      <c r="D398" s="1" t="s">
        <v>443</v>
      </c>
      <c r="E398" s="1" t="s">
        <v>1259</v>
      </c>
      <c r="F398" s="1" t="s">
        <v>70</v>
      </c>
      <c r="G398" s="1" t="s">
        <v>4404</v>
      </c>
      <c r="H398" s="1" t="s">
        <v>1395</v>
      </c>
      <c r="I398" s="1" t="s">
        <v>4405</v>
      </c>
      <c r="J398" s="1" t="s">
        <v>4406</v>
      </c>
      <c r="K398" s="1" t="s">
        <v>4197</v>
      </c>
      <c r="L398" s="14">
        <v>23713.0</v>
      </c>
      <c r="M398" s="8">
        <v>0.8325925925925926</v>
      </c>
      <c r="N398" s="6">
        <v>52.69</v>
      </c>
      <c r="O398" s="6">
        <v>60.0</v>
      </c>
      <c r="P398" s="14">
        <v>34434.0</v>
      </c>
      <c r="Q398" s="1" t="s">
        <v>75</v>
      </c>
      <c r="R398" s="1" t="s">
        <v>76</v>
      </c>
      <c r="S398" s="6">
        <v>1994.0</v>
      </c>
      <c r="T398" s="6">
        <v>4.0</v>
      </c>
      <c r="U398" s="1" t="s">
        <v>77</v>
      </c>
      <c r="V398" s="1" t="s">
        <v>78</v>
      </c>
      <c r="W398" s="6">
        <v>10.0</v>
      </c>
      <c r="X398" s="1" t="s">
        <v>534</v>
      </c>
      <c r="Y398" s="1" t="s">
        <v>535</v>
      </c>
      <c r="Z398" s="6">
        <v>23.32</v>
      </c>
      <c r="AA398" s="6">
        <v>188811.0</v>
      </c>
      <c r="AB398" s="10">
        <v>0.23</v>
      </c>
      <c r="AC398" s="1" t="s">
        <v>4407</v>
      </c>
      <c r="AD398" s="1" t="s">
        <v>4408</v>
      </c>
      <c r="AE398" s="1" t="s">
        <v>4409</v>
      </c>
      <c r="AF398" s="1" t="s">
        <v>4410</v>
      </c>
      <c r="AG398" s="1" t="s">
        <v>4409</v>
      </c>
      <c r="AH398" s="1" t="s">
        <v>1605</v>
      </c>
      <c r="AI398" s="6">
        <v>58640.0</v>
      </c>
      <c r="AJ398" s="1" t="s">
        <v>86</v>
      </c>
      <c r="AK398" s="1" t="s">
        <v>4411</v>
      </c>
      <c r="AL398" s="1" t="s">
        <v>4412</v>
      </c>
      <c r="AM398" s="11" t="str">
        <f>VLOOKUP(N398,Sheet3!$B$4:$C$10,2,1)</f>
        <v>51-60</v>
      </c>
      <c r="AN398" s="13" t="str">
        <f>VLOOKUP(Z398,Sheet3!$F$4:$G$10,2,1)</f>
        <v>21-30</v>
      </c>
      <c r="AO398" s="5" t="str">
        <f>VLOOKUP(AA398,Sheet3!$I$3:$J$16,2,1)</f>
        <v>180000-200000</v>
      </c>
      <c r="AP398" s="5" t="str">
        <f>VLOOKUP(AB398,Sheet3!$L$4:$M$14,2,1)</f>
        <v>21% - 25%</v>
      </c>
    </row>
    <row r="399">
      <c r="A399" s="6">
        <v>808843.0</v>
      </c>
      <c r="B399" s="1" t="s">
        <v>66</v>
      </c>
      <c r="C399" s="1" t="s">
        <v>4413</v>
      </c>
      <c r="D399" s="1" t="s">
        <v>68</v>
      </c>
      <c r="E399" s="1" t="s">
        <v>1589</v>
      </c>
      <c r="F399" s="1" t="s">
        <v>70</v>
      </c>
      <c r="G399" s="1" t="s">
        <v>4414</v>
      </c>
      <c r="H399" s="1" t="s">
        <v>1395</v>
      </c>
      <c r="I399" s="1" t="s">
        <v>4415</v>
      </c>
      <c r="J399" s="1" t="s">
        <v>4416</v>
      </c>
      <c r="K399" s="1" t="s">
        <v>2999</v>
      </c>
      <c r="L399" s="14">
        <v>33239.0</v>
      </c>
      <c r="M399" s="8">
        <v>0.8602546296296296</v>
      </c>
      <c r="N399" s="6">
        <v>26.59</v>
      </c>
      <c r="O399" s="6">
        <v>80.0</v>
      </c>
      <c r="P399" s="14">
        <v>41003.0</v>
      </c>
      <c r="Q399" s="1" t="s">
        <v>75</v>
      </c>
      <c r="R399" s="1" t="s">
        <v>76</v>
      </c>
      <c r="S399" s="6">
        <v>2012.0</v>
      </c>
      <c r="T399" s="6">
        <v>4.0</v>
      </c>
      <c r="U399" s="1" t="s">
        <v>77</v>
      </c>
      <c r="V399" s="1" t="s">
        <v>78</v>
      </c>
      <c r="W399" s="6">
        <v>4.0</v>
      </c>
      <c r="X399" s="1" t="s">
        <v>278</v>
      </c>
      <c r="Y399" s="1" t="s">
        <v>279</v>
      </c>
      <c r="Z399" s="6">
        <v>5.32</v>
      </c>
      <c r="AA399" s="6">
        <v>144104.0</v>
      </c>
      <c r="AB399" s="10">
        <v>0.05</v>
      </c>
      <c r="AC399" s="1" t="s">
        <v>4417</v>
      </c>
      <c r="AD399" s="1" t="s">
        <v>4418</v>
      </c>
      <c r="AE399" s="1" t="s">
        <v>4419</v>
      </c>
      <c r="AF399" s="1" t="s">
        <v>2856</v>
      </c>
      <c r="AG399" s="1" t="s">
        <v>4419</v>
      </c>
      <c r="AH399" s="1" t="s">
        <v>223</v>
      </c>
      <c r="AI399" s="6">
        <v>17321.0</v>
      </c>
      <c r="AJ399" s="1" t="s">
        <v>224</v>
      </c>
      <c r="AK399" s="1" t="s">
        <v>4420</v>
      </c>
      <c r="AL399" s="1" t="s">
        <v>4421</v>
      </c>
      <c r="AM399" s="11" t="str">
        <f>VLOOKUP(N399,Sheet3!$B$4:$C$10,2,1)</f>
        <v>21-30</v>
      </c>
      <c r="AN399" s="12" t="str">
        <f>VLOOKUP(Z399,Sheet3!$F$4:$G$10,2,1)</f>
        <v>5-10</v>
      </c>
      <c r="AO399" s="5" t="str">
        <f>VLOOKUP(AA399,Sheet3!$I$3:$J$16,2,1)</f>
        <v>140000-160000</v>
      </c>
      <c r="AP399" s="5" t="str">
        <f>VLOOKUP(AB399,Sheet3!$L$4:$M$14,2,1)</f>
        <v>5% - 10%</v>
      </c>
    </row>
    <row r="400">
      <c r="A400" s="6">
        <v>645393.0</v>
      </c>
      <c r="B400" s="1" t="s">
        <v>227</v>
      </c>
      <c r="C400" s="1" t="s">
        <v>1244</v>
      </c>
      <c r="D400" s="1" t="s">
        <v>242</v>
      </c>
      <c r="E400" s="1" t="s">
        <v>4422</v>
      </c>
      <c r="F400" s="1" t="s">
        <v>70</v>
      </c>
      <c r="G400" s="1" t="s">
        <v>4423</v>
      </c>
      <c r="H400" s="1" t="s">
        <v>1395</v>
      </c>
      <c r="I400" s="1" t="s">
        <v>4424</v>
      </c>
      <c r="J400" s="1" t="s">
        <v>4425</v>
      </c>
      <c r="K400" s="1" t="s">
        <v>2394</v>
      </c>
      <c r="L400" s="14">
        <v>24625.0</v>
      </c>
      <c r="M400" s="8">
        <v>0.6927083333333334</v>
      </c>
      <c r="N400" s="6">
        <v>50.19</v>
      </c>
      <c r="O400" s="6">
        <v>62.0</v>
      </c>
      <c r="P400" s="14">
        <v>34881.0</v>
      </c>
      <c r="Q400" s="1" t="s">
        <v>308</v>
      </c>
      <c r="R400" s="1" t="s">
        <v>53</v>
      </c>
      <c r="S400" s="6">
        <v>1995.0</v>
      </c>
      <c r="T400" s="6">
        <v>7.0</v>
      </c>
      <c r="U400" s="1" t="s">
        <v>366</v>
      </c>
      <c r="V400" s="1" t="s">
        <v>367</v>
      </c>
      <c r="W400" s="6">
        <v>1.0</v>
      </c>
      <c r="X400" s="1" t="s">
        <v>56</v>
      </c>
      <c r="Y400" s="1" t="s">
        <v>57</v>
      </c>
      <c r="Z400" s="6">
        <v>22.09</v>
      </c>
      <c r="AA400" s="6">
        <v>136885.0</v>
      </c>
      <c r="AB400" s="10">
        <v>0.14</v>
      </c>
      <c r="AC400" s="1" t="s">
        <v>4426</v>
      </c>
      <c r="AD400" s="1" t="s">
        <v>4427</v>
      </c>
      <c r="AE400" s="1" t="s">
        <v>4428</v>
      </c>
      <c r="AF400" s="1" t="s">
        <v>918</v>
      </c>
      <c r="AG400" s="1" t="s">
        <v>4428</v>
      </c>
      <c r="AH400" s="1" t="s">
        <v>857</v>
      </c>
      <c r="AI400" s="6">
        <v>65018.0</v>
      </c>
      <c r="AJ400" s="1" t="s">
        <v>86</v>
      </c>
      <c r="AK400" s="1" t="s">
        <v>4429</v>
      </c>
      <c r="AL400" s="15" t="s">
        <v>4430</v>
      </c>
      <c r="AM400" s="11" t="str">
        <f>VLOOKUP(N400,Sheet3!$B$4:$C$10,2,1)</f>
        <v>41-50</v>
      </c>
      <c r="AN400" s="13" t="str">
        <f>VLOOKUP(Z400,Sheet3!$F$4:$G$10,2,1)</f>
        <v>21-30</v>
      </c>
      <c r="AO400" s="5" t="str">
        <f>VLOOKUP(AA400,Sheet3!$I$3:$J$16,2,1)</f>
        <v>120000-140000</v>
      </c>
      <c r="AP400" s="5" t="str">
        <f>VLOOKUP(AB400,Sheet3!$L$4:$M$14,2,1)</f>
        <v>11% - 15%</v>
      </c>
    </row>
    <row r="401">
      <c r="A401" s="6">
        <v>685818.0</v>
      </c>
      <c r="B401" s="1" t="s">
        <v>66</v>
      </c>
      <c r="C401" s="1" t="s">
        <v>764</v>
      </c>
      <c r="D401" s="1" t="s">
        <v>288</v>
      </c>
      <c r="E401" s="1" t="s">
        <v>2690</v>
      </c>
      <c r="F401" s="1" t="s">
        <v>70</v>
      </c>
      <c r="G401" s="1" t="s">
        <v>4431</v>
      </c>
      <c r="H401" s="1" t="s">
        <v>1395</v>
      </c>
      <c r="I401" s="1" t="s">
        <v>4432</v>
      </c>
      <c r="J401" s="1" t="s">
        <v>4433</v>
      </c>
      <c r="K401" s="1" t="s">
        <v>4338</v>
      </c>
      <c r="L401" s="9">
        <v>30389.0</v>
      </c>
      <c r="M401" s="8">
        <v>0.4222800925925926</v>
      </c>
      <c r="N401" s="6">
        <v>34.4</v>
      </c>
      <c r="O401" s="6">
        <v>50.0</v>
      </c>
      <c r="P401" s="14">
        <v>41428.0</v>
      </c>
      <c r="Q401" s="1" t="s">
        <v>75</v>
      </c>
      <c r="R401" s="1" t="s">
        <v>76</v>
      </c>
      <c r="S401" s="6">
        <v>2013.0</v>
      </c>
      <c r="T401" s="6">
        <v>6.0</v>
      </c>
      <c r="U401" s="1" t="s">
        <v>324</v>
      </c>
      <c r="V401" s="1" t="s">
        <v>325</v>
      </c>
      <c r="W401" s="6">
        <v>3.0</v>
      </c>
      <c r="X401" s="1" t="s">
        <v>99</v>
      </c>
      <c r="Y401" s="1" t="s">
        <v>100</v>
      </c>
      <c r="Z401" s="6">
        <v>4.15</v>
      </c>
      <c r="AA401" s="6">
        <v>172555.0</v>
      </c>
      <c r="AB401" s="10">
        <v>0.11</v>
      </c>
      <c r="AC401" s="1" t="s">
        <v>4434</v>
      </c>
      <c r="AD401" s="1" t="s">
        <v>4435</v>
      </c>
      <c r="AE401" s="1" t="s">
        <v>764</v>
      </c>
      <c r="AF401" s="1" t="s">
        <v>1937</v>
      </c>
      <c r="AG401" s="1" t="s">
        <v>764</v>
      </c>
      <c r="AH401" s="1" t="s">
        <v>811</v>
      </c>
      <c r="AI401" s="6">
        <v>39201.0</v>
      </c>
      <c r="AJ401" s="1" t="s">
        <v>106</v>
      </c>
      <c r="AK401" s="1" t="s">
        <v>4436</v>
      </c>
      <c r="AL401" s="1" t="s">
        <v>4437</v>
      </c>
      <c r="AM401" s="11" t="str">
        <f>VLOOKUP(N401,Sheet3!$B$4:$C$10,2,1)</f>
        <v>31-40</v>
      </c>
      <c r="AN401" s="13" t="str">
        <f>VLOOKUP(Z401,Sheet3!$F$4:$G$10,2,1)</f>
        <v>&lt; 5</v>
      </c>
      <c r="AO401" s="5" t="str">
        <f>VLOOKUP(AA401,Sheet3!$I$3:$J$16,2,1)</f>
        <v>160000-180000</v>
      </c>
      <c r="AP401" s="5" t="str">
        <f>VLOOKUP(AB401,Sheet3!$L$4:$M$14,2,1)</f>
        <v>11% - 15%</v>
      </c>
    </row>
    <row r="402">
      <c r="A402" s="6">
        <v>747647.0</v>
      </c>
      <c r="B402" s="1" t="s">
        <v>42</v>
      </c>
      <c r="C402" s="1" t="s">
        <v>4438</v>
      </c>
      <c r="D402" s="1" t="s">
        <v>173</v>
      </c>
      <c r="E402" s="1" t="s">
        <v>3972</v>
      </c>
      <c r="F402" s="1" t="s">
        <v>46</v>
      </c>
      <c r="G402" s="1" t="s">
        <v>4439</v>
      </c>
      <c r="H402" s="1" t="s">
        <v>1395</v>
      </c>
      <c r="I402" s="1" t="s">
        <v>4440</v>
      </c>
      <c r="J402" s="1" t="s">
        <v>4441</v>
      </c>
      <c r="K402" s="1" t="s">
        <v>2989</v>
      </c>
      <c r="L402" s="9">
        <v>27558.0</v>
      </c>
      <c r="M402" s="8">
        <v>0.7588194444444445</v>
      </c>
      <c r="N402" s="6">
        <v>42.15</v>
      </c>
      <c r="O402" s="6">
        <v>50.0</v>
      </c>
      <c r="P402" s="9">
        <v>38988.0</v>
      </c>
      <c r="Q402" s="1" t="s">
        <v>308</v>
      </c>
      <c r="R402" s="1" t="s">
        <v>53</v>
      </c>
      <c r="S402" s="6">
        <v>2006.0</v>
      </c>
      <c r="T402" s="6">
        <v>9.0</v>
      </c>
      <c r="U402" s="1" t="s">
        <v>309</v>
      </c>
      <c r="V402" s="1" t="s">
        <v>310</v>
      </c>
      <c r="W402" s="6">
        <v>28.0</v>
      </c>
      <c r="X402" s="1" t="s">
        <v>150</v>
      </c>
      <c r="Y402" s="1" t="s">
        <v>151</v>
      </c>
      <c r="Z402" s="6">
        <v>10.84</v>
      </c>
      <c r="AA402" s="6">
        <v>133504.0</v>
      </c>
      <c r="AB402" s="10">
        <v>0.3</v>
      </c>
      <c r="AC402" s="1" t="s">
        <v>4442</v>
      </c>
      <c r="AD402" s="1" t="s">
        <v>4443</v>
      </c>
      <c r="AE402" s="1" t="s">
        <v>4444</v>
      </c>
      <c r="AF402" s="1" t="s">
        <v>3005</v>
      </c>
      <c r="AG402" s="1" t="s">
        <v>4444</v>
      </c>
      <c r="AH402" s="1" t="s">
        <v>356</v>
      </c>
      <c r="AI402" s="6">
        <v>12130.0</v>
      </c>
      <c r="AJ402" s="1" t="s">
        <v>224</v>
      </c>
      <c r="AK402" s="1" t="s">
        <v>4445</v>
      </c>
      <c r="AL402" s="1" t="s">
        <v>4446</v>
      </c>
      <c r="AM402" s="11" t="str">
        <f>VLOOKUP(N402,Sheet3!$B$4:$C$10,2,1)</f>
        <v>41-50</v>
      </c>
      <c r="AN402" s="12" t="str">
        <f>VLOOKUP(Z402,Sheet3!$F$4:$G$10,2,1)</f>
        <v>5-10</v>
      </c>
      <c r="AO402" s="5" t="str">
        <f>VLOOKUP(AA402,Sheet3!$I$3:$J$16,2,1)</f>
        <v>120000-140000</v>
      </c>
      <c r="AP402" s="5" t="str">
        <f>VLOOKUP(AB402,Sheet3!$L$4:$M$14,2,1)</f>
        <v>26% - 30%</v>
      </c>
    </row>
    <row r="403">
      <c r="A403" s="6">
        <v>846178.0</v>
      </c>
      <c r="B403" s="1" t="s">
        <v>42</v>
      </c>
      <c r="C403" s="1" t="s">
        <v>4447</v>
      </c>
      <c r="D403" s="1" t="s">
        <v>466</v>
      </c>
      <c r="E403" s="1" t="s">
        <v>3918</v>
      </c>
      <c r="F403" s="1" t="s">
        <v>46</v>
      </c>
      <c r="G403" s="1" t="s">
        <v>4448</v>
      </c>
      <c r="H403" s="1" t="s">
        <v>1395</v>
      </c>
      <c r="I403" s="1" t="s">
        <v>4449</v>
      </c>
      <c r="J403" s="1" t="s">
        <v>4450</v>
      </c>
      <c r="K403" s="1" t="s">
        <v>4451</v>
      </c>
      <c r="L403" s="14">
        <v>29379.0</v>
      </c>
      <c r="M403" s="8">
        <v>0.020104166666666666</v>
      </c>
      <c r="N403" s="6">
        <v>37.16</v>
      </c>
      <c r="O403" s="6">
        <v>46.0</v>
      </c>
      <c r="P403" s="14">
        <v>38021.0</v>
      </c>
      <c r="Q403" s="1" t="s">
        <v>96</v>
      </c>
      <c r="R403" s="1" t="s">
        <v>76</v>
      </c>
      <c r="S403" s="6">
        <v>2004.0</v>
      </c>
      <c r="T403" s="6">
        <v>2.0</v>
      </c>
      <c r="U403" s="1" t="s">
        <v>117</v>
      </c>
      <c r="V403" s="1" t="s">
        <v>118</v>
      </c>
      <c r="W403" s="6">
        <v>4.0</v>
      </c>
      <c r="X403" s="1" t="s">
        <v>278</v>
      </c>
      <c r="Y403" s="1" t="s">
        <v>279</v>
      </c>
      <c r="Z403" s="6">
        <v>13.49</v>
      </c>
      <c r="AA403" s="6">
        <v>196782.0</v>
      </c>
      <c r="AB403" s="10">
        <v>0.01</v>
      </c>
      <c r="AC403" s="1" t="s">
        <v>4452</v>
      </c>
      <c r="AD403" s="1" t="s">
        <v>4453</v>
      </c>
      <c r="AE403" s="1" t="s">
        <v>4454</v>
      </c>
      <c r="AF403" s="1" t="s">
        <v>4455</v>
      </c>
      <c r="AG403" s="1" t="s">
        <v>4454</v>
      </c>
      <c r="AH403" s="1" t="s">
        <v>238</v>
      </c>
      <c r="AI403" s="6">
        <v>95004.0</v>
      </c>
      <c r="AJ403" s="1" t="s">
        <v>63</v>
      </c>
      <c r="AK403" s="1" t="s">
        <v>4456</v>
      </c>
      <c r="AL403" s="1" t="s">
        <v>4457</v>
      </c>
      <c r="AM403" s="11" t="str">
        <f>VLOOKUP(N403,Sheet3!$B$4:$C$10,2,1)</f>
        <v>31-40</v>
      </c>
      <c r="AN403" s="12" t="str">
        <f>VLOOKUP(Z403,Sheet3!$F$4:$G$10,2,1)</f>
        <v>11-20</v>
      </c>
      <c r="AO403" s="5" t="str">
        <f>VLOOKUP(AA403,Sheet3!$I$3:$J$16,2,1)</f>
        <v>180000-200000</v>
      </c>
      <c r="AP403" s="5" t="str">
        <f>VLOOKUP(AB403,Sheet3!$L$4:$M$14,2,1)</f>
        <v>&lt; 5%</v>
      </c>
    </row>
    <row r="404">
      <c r="A404" s="6">
        <v>754091.0</v>
      </c>
      <c r="B404" s="1" t="s">
        <v>109</v>
      </c>
      <c r="C404" s="1" t="s">
        <v>3803</v>
      </c>
      <c r="D404" s="1" t="s">
        <v>443</v>
      </c>
      <c r="E404" s="1" t="s">
        <v>4458</v>
      </c>
      <c r="F404" s="1" t="s">
        <v>46</v>
      </c>
      <c r="G404" s="1" t="s">
        <v>4459</v>
      </c>
      <c r="H404" s="1" t="s">
        <v>1395</v>
      </c>
      <c r="I404" s="1" t="s">
        <v>4460</v>
      </c>
      <c r="J404" s="1" t="s">
        <v>4461</v>
      </c>
      <c r="K404" s="1" t="s">
        <v>4462</v>
      </c>
      <c r="L404" s="14">
        <v>28040.0</v>
      </c>
      <c r="M404" s="8">
        <v>0.8665625</v>
      </c>
      <c r="N404" s="6">
        <v>40.83</v>
      </c>
      <c r="O404" s="6">
        <v>46.0</v>
      </c>
      <c r="P404" s="14">
        <v>37533.0</v>
      </c>
      <c r="Q404" s="1" t="s">
        <v>52</v>
      </c>
      <c r="R404" s="1" t="s">
        <v>53</v>
      </c>
      <c r="S404" s="6">
        <v>2002.0</v>
      </c>
      <c r="T404" s="6">
        <v>10.0</v>
      </c>
      <c r="U404" s="1" t="s">
        <v>133</v>
      </c>
      <c r="V404" s="1" t="s">
        <v>134</v>
      </c>
      <c r="W404" s="6">
        <v>4.0</v>
      </c>
      <c r="X404" s="1" t="s">
        <v>263</v>
      </c>
      <c r="Y404" s="1" t="s">
        <v>264</v>
      </c>
      <c r="Z404" s="6">
        <v>14.82</v>
      </c>
      <c r="AA404" s="6">
        <v>198580.0</v>
      </c>
      <c r="AB404" s="10">
        <v>0.12</v>
      </c>
      <c r="AC404" s="1" t="s">
        <v>4463</v>
      </c>
      <c r="AD404" s="1" t="s">
        <v>4464</v>
      </c>
      <c r="AE404" s="1" t="s">
        <v>4465</v>
      </c>
      <c r="AF404" s="1" t="s">
        <v>2165</v>
      </c>
      <c r="AG404" s="1" t="s">
        <v>4465</v>
      </c>
      <c r="AH404" s="1" t="s">
        <v>372</v>
      </c>
      <c r="AI404" s="6">
        <v>68956.0</v>
      </c>
      <c r="AJ404" s="1" t="s">
        <v>86</v>
      </c>
      <c r="AK404" s="1" t="s">
        <v>4466</v>
      </c>
      <c r="AL404" s="1" t="s">
        <v>4467</v>
      </c>
      <c r="AM404" s="11" t="str">
        <f>VLOOKUP(N404,Sheet3!$B$4:$C$10,2,1)</f>
        <v>31-40</v>
      </c>
      <c r="AN404" s="12" t="str">
        <f>VLOOKUP(Z404,Sheet3!$F$4:$G$10,2,1)</f>
        <v>11-20</v>
      </c>
      <c r="AO404" s="5" t="str">
        <f>VLOOKUP(AA404,Sheet3!$I$3:$J$16,2,1)</f>
        <v>180000-200000</v>
      </c>
      <c r="AP404" s="5" t="str">
        <f>VLOOKUP(AB404,Sheet3!$L$4:$M$14,2,1)</f>
        <v>11% - 15%</v>
      </c>
    </row>
    <row r="405">
      <c r="A405" s="6">
        <v>808727.0</v>
      </c>
      <c r="B405" s="1" t="s">
        <v>227</v>
      </c>
      <c r="C405" s="1" t="s">
        <v>2539</v>
      </c>
      <c r="D405" s="1" t="s">
        <v>334</v>
      </c>
      <c r="E405" s="1" t="s">
        <v>1840</v>
      </c>
      <c r="F405" s="1" t="s">
        <v>70</v>
      </c>
      <c r="G405" s="1" t="s">
        <v>4468</v>
      </c>
      <c r="H405" s="1" t="s">
        <v>1395</v>
      </c>
      <c r="I405" s="1" t="s">
        <v>4469</v>
      </c>
      <c r="J405" s="1" t="s">
        <v>4470</v>
      </c>
      <c r="K405" s="1" t="s">
        <v>1023</v>
      </c>
      <c r="L405" s="9">
        <v>34447.0</v>
      </c>
      <c r="M405" s="8">
        <v>0.6188773148148148</v>
      </c>
      <c r="N405" s="6">
        <v>23.28</v>
      </c>
      <c r="O405" s="6">
        <v>67.0</v>
      </c>
      <c r="P405" s="14">
        <v>42441.0</v>
      </c>
      <c r="Q405" s="1" t="s">
        <v>96</v>
      </c>
      <c r="R405" s="1" t="s">
        <v>76</v>
      </c>
      <c r="S405" s="6">
        <v>2016.0</v>
      </c>
      <c r="T405" s="6">
        <v>3.0</v>
      </c>
      <c r="U405" s="1" t="s">
        <v>97</v>
      </c>
      <c r="V405" s="1" t="s">
        <v>98</v>
      </c>
      <c r="W405" s="6">
        <v>12.0</v>
      </c>
      <c r="X405" s="1" t="s">
        <v>56</v>
      </c>
      <c r="Y405" s="1" t="s">
        <v>57</v>
      </c>
      <c r="Z405" s="6">
        <v>1.38</v>
      </c>
      <c r="AA405" s="6">
        <v>168292.0</v>
      </c>
      <c r="AB405" s="10">
        <v>0.1</v>
      </c>
      <c r="AC405" s="1" t="s">
        <v>4471</v>
      </c>
      <c r="AD405" s="1" t="s">
        <v>4472</v>
      </c>
      <c r="AE405" s="1" t="s">
        <v>4473</v>
      </c>
      <c r="AF405" s="1" t="s">
        <v>4230</v>
      </c>
      <c r="AG405" s="1" t="s">
        <v>4473</v>
      </c>
      <c r="AH405" s="1" t="s">
        <v>356</v>
      </c>
      <c r="AI405" s="6">
        <v>14454.0</v>
      </c>
      <c r="AJ405" s="1" t="s">
        <v>224</v>
      </c>
      <c r="AK405" s="1" t="s">
        <v>4474</v>
      </c>
      <c r="AL405" s="1" t="s">
        <v>4475</v>
      </c>
      <c r="AM405" s="11" t="str">
        <f>VLOOKUP(N405,Sheet3!$B$4:$C$10,2,1)</f>
        <v>21-30</v>
      </c>
      <c r="AN405" s="13" t="str">
        <f>VLOOKUP(Z405,Sheet3!$F$4:$G$10,2,1)</f>
        <v>&lt; 5</v>
      </c>
      <c r="AO405" s="5" t="str">
        <f>VLOOKUP(AA405,Sheet3!$I$3:$J$16,2,1)</f>
        <v>160000-180000</v>
      </c>
      <c r="AP405" s="5" t="str">
        <f>VLOOKUP(AB405,Sheet3!$L$4:$M$14,2,1)</f>
        <v>5% - 10%</v>
      </c>
    </row>
    <row r="406">
      <c r="A406" s="6">
        <v>143029.0</v>
      </c>
      <c r="B406" s="1" t="s">
        <v>66</v>
      </c>
      <c r="C406" s="1" t="s">
        <v>4476</v>
      </c>
      <c r="D406" s="1" t="s">
        <v>242</v>
      </c>
      <c r="E406" s="1" t="s">
        <v>2774</v>
      </c>
      <c r="F406" s="1" t="s">
        <v>70</v>
      </c>
      <c r="G406" s="1" t="s">
        <v>4477</v>
      </c>
      <c r="H406" s="1" t="s">
        <v>1395</v>
      </c>
      <c r="I406" s="1" t="s">
        <v>4478</v>
      </c>
      <c r="J406" s="1" t="s">
        <v>4479</v>
      </c>
      <c r="K406" s="1" t="s">
        <v>3931</v>
      </c>
      <c r="L406" s="9">
        <v>23281.0</v>
      </c>
      <c r="M406" s="8">
        <v>0.48486111111111113</v>
      </c>
      <c r="N406" s="6">
        <v>53.87</v>
      </c>
      <c r="O406" s="6">
        <v>87.0</v>
      </c>
      <c r="P406" s="9">
        <v>36204.0</v>
      </c>
      <c r="Q406" s="1" t="s">
        <v>96</v>
      </c>
      <c r="R406" s="1" t="s">
        <v>76</v>
      </c>
      <c r="S406" s="6">
        <v>1999.0</v>
      </c>
      <c r="T406" s="6">
        <v>2.0</v>
      </c>
      <c r="U406" s="1" t="s">
        <v>117</v>
      </c>
      <c r="V406" s="1" t="s">
        <v>118</v>
      </c>
      <c r="W406" s="6">
        <v>13.0</v>
      </c>
      <c r="X406" s="1" t="s">
        <v>56</v>
      </c>
      <c r="Y406" s="1" t="s">
        <v>57</v>
      </c>
      <c r="Z406" s="6">
        <v>18.47</v>
      </c>
      <c r="AA406" s="6">
        <v>123832.0</v>
      </c>
      <c r="AB406" s="10">
        <v>0.06</v>
      </c>
      <c r="AC406" s="1" t="s">
        <v>4480</v>
      </c>
      <c r="AD406" s="1" t="s">
        <v>4481</v>
      </c>
      <c r="AE406" s="1" t="s">
        <v>4482</v>
      </c>
      <c r="AF406" s="1" t="s">
        <v>1023</v>
      </c>
      <c r="AG406" s="1" t="s">
        <v>4482</v>
      </c>
      <c r="AH406" s="1" t="s">
        <v>122</v>
      </c>
      <c r="AI406" s="6">
        <v>46714.0</v>
      </c>
      <c r="AJ406" s="1" t="s">
        <v>86</v>
      </c>
      <c r="AK406" s="1" t="s">
        <v>4483</v>
      </c>
      <c r="AL406" s="1" t="s">
        <v>4484</v>
      </c>
      <c r="AM406" s="11" t="str">
        <f>VLOOKUP(N406,Sheet3!$B$4:$C$10,2,1)</f>
        <v>51-60</v>
      </c>
      <c r="AN406" s="12" t="str">
        <f>VLOOKUP(Z406,Sheet3!$F$4:$G$10,2,1)</f>
        <v>11-20</v>
      </c>
      <c r="AO406" s="5" t="str">
        <f>VLOOKUP(AA406,Sheet3!$I$3:$J$16,2,1)</f>
        <v>120000-140000</v>
      </c>
      <c r="AP406" s="5" t="str">
        <f>VLOOKUP(AB406,Sheet3!$L$4:$M$14,2,1)</f>
        <v>5% - 10%</v>
      </c>
    </row>
    <row r="407">
      <c r="A407" s="6">
        <v>923271.0</v>
      </c>
      <c r="B407" s="1" t="s">
        <v>66</v>
      </c>
      <c r="C407" s="1" t="s">
        <v>4485</v>
      </c>
      <c r="D407" s="1" t="s">
        <v>186</v>
      </c>
      <c r="E407" s="1" t="s">
        <v>2564</v>
      </c>
      <c r="F407" s="1" t="s">
        <v>70</v>
      </c>
      <c r="G407" s="1" t="s">
        <v>4486</v>
      </c>
      <c r="H407" s="1" t="s">
        <v>1395</v>
      </c>
      <c r="I407" s="1" t="s">
        <v>4487</v>
      </c>
      <c r="J407" s="1" t="s">
        <v>4488</v>
      </c>
      <c r="K407" s="1" t="s">
        <v>901</v>
      </c>
      <c r="L407" s="9">
        <v>22263.0</v>
      </c>
      <c r="M407" s="8">
        <v>0.7522453703703704</v>
      </c>
      <c r="N407" s="6">
        <v>56.66</v>
      </c>
      <c r="O407" s="6">
        <v>64.0</v>
      </c>
      <c r="P407" s="9">
        <v>31346.0</v>
      </c>
      <c r="Q407" s="1" t="s">
        <v>52</v>
      </c>
      <c r="R407" s="1" t="s">
        <v>53</v>
      </c>
      <c r="S407" s="6">
        <v>1985.0</v>
      </c>
      <c r="T407" s="6">
        <v>10.0</v>
      </c>
      <c r="U407" s="1" t="s">
        <v>133</v>
      </c>
      <c r="V407" s="1" t="s">
        <v>134</v>
      </c>
      <c r="W407" s="6">
        <v>26.0</v>
      </c>
      <c r="X407" s="1" t="s">
        <v>56</v>
      </c>
      <c r="Y407" s="1" t="s">
        <v>57</v>
      </c>
      <c r="Z407" s="6">
        <v>31.78</v>
      </c>
      <c r="AA407" s="6">
        <v>173178.0</v>
      </c>
      <c r="AB407" s="10">
        <v>0.16</v>
      </c>
      <c r="AC407" s="1" t="s">
        <v>4489</v>
      </c>
      <c r="AD407" s="1" t="s">
        <v>4490</v>
      </c>
      <c r="AE407" s="1" t="s">
        <v>4491</v>
      </c>
      <c r="AF407" s="1" t="s">
        <v>2517</v>
      </c>
      <c r="AG407" s="1" t="s">
        <v>4491</v>
      </c>
      <c r="AH407" s="1" t="s">
        <v>1505</v>
      </c>
      <c r="AI407" s="6">
        <v>56475.0</v>
      </c>
      <c r="AJ407" s="1" t="s">
        <v>86</v>
      </c>
      <c r="AK407" s="1" t="s">
        <v>4492</v>
      </c>
      <c r="AL407" s="1" t="s">
        <v>4493</v>
      </c>
      <c r="AM407" s="11" t="str">
        <f>VLOOKUP(N407,Sheet3!$B$4:$C$10,2,1)</f>
        <v>51-60</v>
      </c>
      <c r="AN407" s="13" t="str">
        <f>VLOOKUP(Z407,Sheet3!$F$4:$G$10,2,1)</f>
        <v>31-40</v>
      </c>
      <c r="AO407" s="5" t="str">
        <f>VLOOKUP(AA407,Sheet3!$I$3:$J$16,2,1)</f>
        <v>160000-180000</v>
      </c>
      <c r="AP407" s="5" t="str">
        <f>VLOOKUP(AB407,Sheet3!$L$4:$M$14,2,1)</f>
        <v>16% - 20%</v>
      </c>
    </row>
    <row r="408">
      <c r="A408" s="6">
        <v>621988.0</v>
      </c>
      <c r="B408" s="1" t="s">
        <v>42</v>
      </c>
      <c r="C408" s="1" t="s">
        <v>4494</v>
      </c>
      <c r="D408" s="1" t="s">
        <v>403</v>
      </c>
      <c r="E408" s="1" t="s">
        <v>4495</v>
      </c>
      <c r="F408" s="1" t="s">
        <v>46</v>
      </c>
      <c r="G408" s="1" t="s">
        <v>4496</v>
      </c>
      <c r="H408" s="1" t="s">
        <v>1395</v>
      </c>
      <c r="I408" s="1" t="s">
        <v>4497</v>
      </c>
      <c r="J408" s="1" t="s">
        <v>4498</v>
      </c>
      <c r="K408" s="1" t="s">
        <v>3380</v>
      </c>
      <c r="L408" s="9">
        <v>32860.0</v>
      </c>
      <c r="M408" s="8">
        <v>0.6704513888888889</v>
      </c>
      <c r="N408" s="6">
        <v>27.63</v>
      </c>
      <c r="O408" s="6">
        <v>44.0</v>
      </c>
      <c r="P408" s="9">
        <v>41085.0</v>
      </c>
      <c r="Q408" s="1" t="s">
        <v>75</v>
      </c>
      <c r="R408" s="1" t="s">
        <v>76</v>
      </c>
      <c r="S408" s="6">
        <v>2012.0</v>
      </c>
      <c r="T408" s="6">
        <v>6.0</v>
      </c>
      <c r="U408" s="1" t="s">
        <v>324</v>
      </c>
      <c r="V408" s="1" t="s">
        <v>325</v>
      </c>
      <c r="W408" s="6">
        <v>25.0</v>
      </c>
      <c r="X408" s="1" t="s">
        <v>99</v>
      </c>
      <c r="Y408" s="1" t="s">
        <v>100</v>
      </c>
      <c r="Z408" s="6">
        <v>5.09</v>
      </c>
      <c r="AA408" s="6">
        <v>147243.0</v>
      </c>
      <c r="AB408" s="10">
        <v>0.27</v>
      </c>
      <c r="AC408" s="1" t="s">
        <v>4499</v>
      </c>
      <c r="AD408" s="1" t="s">
        <v>4500</v>
      </c>
      <c r="AE408" s="1" t="s">
        <v>4501</v>
      </c>
      <c r="AF408" s="1" t="s">
        <v>4502</v>
      </c>
      <c r="AG408" s="1" t="s">
        <v>4501</v>
      </c>
      <c r="AH408" s="1" t="s">
        <v>2007</v>
      </c>
      <c r="AI408" s="6">
        <v>87734.0</v>
      </c>
      <c r="AJ408" s="1" t="s">
        <v>63</v>
      </c>
      <c r="AK408" s="1" t="s">
        <v>4503</v>
      </c>
      <c r="AL408" s="1" t="s">
        <v>4504</v>
      </c>
      <c r="AM408" s="11" t="str">
        <f>VLOOKUP(N408,Sheet3!$B$4:$C$10,2,1)</f>
        <v>21-30</v>
      </c>
      <c r="AN408" s="12" t="str">
        <f>VLOOKUP(Z408,Sheet3!$F$4:$G$10,2,1)</f>
        <v>5-10</v>
      </c>
      <c r="AO408" s="5" t="str">
        <f>VLOOKUP(AA408,Sheet3!$I$3:$J$16,2,1)</f>
        <v>140000-160000</v>
      </c>
      <c r="AP408" s="5" t="str">
        <f>VLOOKUP(AB408,Sheet3!$L$4:$M$14,2,1)</f>
        <v>26% - 30%</v>
      </c>
    </row>
    <row r="409">
      <c r="A409" s="6">
        <v>240842.0</v>
      </c>
      <c r="B409" s="1" t="s">
        <v>109</v>
      </c>
      <c r="C409" s="1" t="s">
        <v>4505</v>
      </c>
      <c r="D409" s="1" t="s">
        <v>186</v>
      </c>
      <c r="E409" s="1" t="s">
        <v>4506</v>
      </c>
      <c r="F409" s="1" t="s">
        <v>46</v>
      </c>
      <c r="G409" s="1" t="s">
        <v>4507</v>
      </c>
      <c r="H409" s="1" t="s">
        <v>1395</v>
      </c>
      <c r="I409" s="1" t="s">
        <v>4508</v>
      </c>
      <c r="J409" s="1" t="s">
        <v>4509</v>
      </c>
      <c r="K409" s="1" t="s">
        <v>1712</v>
      </c>
      <c r="L409" s="9">
        <v>28456.0</v>
      </c>
      <c r="M409" s="8">
        <v>0.20068287037037036</v>
      </c>
      <c r="N409" s="6">
        <v>39.69</v>
      </c>
      <c r="O409" s="6">
        <v>55.0</v>
      </c>
      <c r="P409" s="9">
        <v>40282.0</v>
      </c>
      <c r="Q409" s="1" t="s">
        <v>75</v>
      </c>
      <c r="R409" s="1" t="s">
        <v>76</v>
      </c>
      <c r="S409" s="6">
        <v>2010.0</v>
      </c>
      <c r="T409" s="6">
        <v>4.0</v>
      </c>
      <c r="U409" s="1" t="s">
        <v>77</v>
      </c>
      <c r="V409" s="1" t="s">
        <v>78</v>
      </c>
      <c r="W409" s="6">
        <v>14.0</v>
      </c>
      <c r="X409" s="1" t="s">
        <v>278</v>
      </c>
      <c r="Y409" s="1" t="s">
        <v>279</v>
      </c>
      <c r="Z409" s="6">
        <v>7.29</v>
      </c>
      <c r="AA409" s="6">
        <v>88748.0</v>
      </c>
      <c r="AB409" s="10">
        <v>0.03</v>
      </c>
      <c r="AC409" s="1" t="s">
        <v>4510</v>
      </c>
      <c r="AD409" s="1" t="s">
        <v>4511</v>
      </c>
      <c r="AE409" s="1" t="s">
        <v>4512</v>
      </c>
      <c r="AF409" s="1" t="s">
        <v>4512</v>
      </c>
      <c r="AG409" s="1" t="s">
        <v>4512</v>
      </c>
      <c r="AH409" s="1" t="s">
        <v>169</v>
      </c>
      <c r="AI409" s="6">
        <v>79994.0</v>
      </c>
      <c r="AJ409" s="1" t="s">
        <v>106</v>
      </c>
      <c r="AK409" s="1" t="s">
        <v>4513</v>
      </c>
      <c r="AL409" s="1" t="s">
        <v>4514</v>
      </c>
      <c r="AM409" s="11" t="str">
        <f>VLOOKUP(N409,Sheet3!$B$4:$C$10,2,1)</f>
        <v>31-40</v>
      </c>
      <c r="AN409" s="12" t="str">
        <f>VLOOKUP(Z409,Sheet3!$F$4:$G$10,2,1)</f>
        <v>5-10</v>
      </c>
      <c r="AO409" s="5" t="str">
        <f>VLOOKUP(AA409,Sheet3!$I$3:$J$16,2,1)</f>
        <v>80000-100000</v>
      </c>
      <c r="AP409" s="5" t="str">
        <f>VLOOKUP(AB409,Sheet3!$L$4:$M$14,2,1)</f>
        <v>&lt; 5%</v>
      </c>
    </row>
    <row r="410">
      <c r="A410" s="6">
        <v>517038.0</v>
      </c>
      <c r="B410" s="1" t="s">
        <v>42</v>
      </c>
      <c r="C410" s="1" t="s">
        <v>4515</v>
      </c>
      <c r="D410" s="1" t="s">
        <v>70</v>
      </c>
      <c r="E410" s="1" t="s">
        <v>4516</v>
      </c>
      <c r="F410" s="1" t="s">
        <v>46</v>
      </c>
      <c r="G410" s="1" t="s">
        <v>4517</v>
      </c>
      <c r="H410" s="1" t="s">
        <v>1395</v>
      </c>
      <c r="I410" s="1" t="s">
        <v>4518</v>
      </c>
      <c r="J410" s="1" t="s">
        <v>4519</v>
      </c>
      <c r="K410" s="1" t="s">
        <v>1197</v>
      </c>
      <c r="L410" s="14">
        <v>23318.0</v>
      </c>
      <c r="M410" s="8">
        <v>0.8042592592592592</v>
      </c>
      <c r="N410" s="6">
        <v>53.77</v>
      </c>
      <c r="O410" s="6">
        <v>57.0</v>
      </c>
      <c r="P410" s="14">
        <v>42891.0</v>
      </c>
      <c r="Q410" s="1" t="s">
        <v>75</v>
      </c>
      <c r="R410" s="1" t="s">
        <v>76</v>
      </c>
      <c r="S410" s="6">
        <v>2017.0</v>
      </c>
      <c r="T410" s="6">
        <v>6.0</v>
      </c>
      <c r="U410" s="1" t="s">
        <v>324</v>
      </c>
      <c r="V410" s="1" t="s">
        <v>325</v>
      </c>
      <c r="W410" s="6">
        <v>5.0</v>
      </c>
      <c r="X410" s="1" t="s">
        <v>99</v>
      </c>
      <c r="Y410" s="1" t="s">
        <v>100</v>
      </c>
      <c r="Z410" s="6">
        <v>0.15</v>
      </c>
      <c r="AA410" s="6">
        <v>143127.0</v>
      </c>
      <c r="AB410" s="10">
        <v>0.08</v>
      </c>
      <c r="AC410" s="1" t="s">
        <v>4520</v>
      </c>
      <c r="AD410" s="1" t="s">
        <v>4521</v>
      </c>
      <c r="AE410" s="1" t="s">
        <v>4522</v>
      </c>
      <c r="AF410" s="1" t="s">
        <v>1225</v>
      </c>
      <c r="AG410" s="1" t="s">
        <v>4522</v>
      </c>
      <c r="AH410" s="1" t="s">
        <v>284</v>
      </c>
      <c r="AI410" s="6">
        <v>52249.0</v>
      </c>
      <c r="AJ410" s="1" t="s">
        <v>86</v>
      </c>
      <c r="AK410" s="1" t="s">
        <v>4523</v>
      </c>
      <c r="AL410" s="1" t="s">
        <v>4524</v>
      </c>
      <c r="AM410" s="11" t="str">
        <f>VLOOKUP(N410,Sheet3!$B$4:$C$10,2,1)</f>
        <v>51-60</v>
      </c>
      <c r="AN410" s="13" t="str">
        <f>VLOOKUP(Z410,Sheet3!$F$4:$G$10,2,1)</f>
        <v>&lt; 5</v>
      </c>
      <c r="AO410" s="5" t="str">
        <f>VLOOKUP(AA410,Sheet3!$I$3:$J$16,2,1)</f>
        <v>140000-160000</v>
      </c>
      <c r="AP410" s="5" t="str">
        <f>VLOOKUP(AB410,Sheet3!$L$4:$M$14,2,1)</f>
        <v>5% - 10%</v>
      </c>
    </row>
    <row r="411">
      <c r="A411" s="6">
        <v>456842.0</v>
      </c>
      <c r="B411" s="1" t="s">
        <v>109</v>
      </c>
      <c r="C411" s="1" t="s">
        <v>2422</v>
      </c>
      <c r="D411" s="1" t="s">
        <v>416</v>
      </c>
      <c r="E411" s="1" t="s">
        <v>2564</v>
      </c>
      <c r="F411" s="1" t="s">
        <v>46</v>
      </c>
      <c r="G411" s="1" t="s">
        <v>4525</v>
      </c>
      <c r="H411" s="1" t="s">
        <v>1395</v>
      </c>
      <c r="I411" s="1" t="s">
        <v>4526</v>
      </c>
      <c r="J411" s="1" t="s">
        <v>4527</v>
      </c>
      <c r="K411" s="1" t="s">
        <v>4528</v>
      </c>
      <c r="L411" s="9">
        <v>24162.0</v>
      </c>
      <c r="M411" s="8">
        <v>0.04114583333333333</v>
      </c>
      <c r="N411" s="6">
        <v>51.46</v>
      </c>
      <c r="O411" s="6">
        <v>50.0</v>
      </c>
      <c r="P411" s="9">
        <v>40647.0</v>
      </c>
      <c r="Q411" s="1" t="s">
        <v>75</v>
      </c>
      <c r="R411" s="1" t="s">
        <v>76</v>
      </c>
      <c r="S411" s="6">
        <v>2011.0</v>
      </c>
      <c r="T411" s="6">
        <v>4.0</v>
      </c>
      <c r="U411" s="1" t="s">
        <v>77</v>
      </c>
      <c r="V411" s="1" t="s">
        <v>78</v>
      </c>
      <c r="W411" s="6">
        <v>14.0</v>
      </c>
      <c r="X411" s="1" t="s">
        <v>150</v>
      </c>
      <c r="Y411" s="1" t="s">
        <v>151</v>
      </c>
      <c r="Z411" s="6">
        <v>6.29</v>
      </c>
      <c r="AA411" s="6">
        <v>173303.0</v>
      </c>
      <c r="AB411" s="10">
        <v>0.07</v>
      </c>
      <c r="AC411" s="1" t="s">
        <v>4529</v>
      </c>
      <c r="AD411" s="1" t="s">
        <v>4530</v>
      </c>
      <c r="AE411" s="1" t="s">
        <v>4531</v>
      </c>
      <c r="AF411" s="1" t="s">
        <v>1424</v>
      </c>
      <c r="AG411" s="1" t="s">
        <v>4531</v>
      </c>
      <c r="AH411" s="1" t="s">
        <v>857</v>
      </c>
      <c r="AI411" s="6">
        <v>64761.0</v>
      </c>
      <c r="AJ411" s="1" t="s">
        <v>86</v>
      </c>
      <c r="AK411" s="1" t="s">
        <v>4532</v>
      </c>
      <c r="AL411" s="1" t="s">
        <v>4533</v>
      </c>
      <c r="AM411" s="11" t="str">
        <f>VLOOKUP(N411,Sheet3!$B$4:$C$10,2,1)</f>
        <v>51-60</v>
      </c>
      <c r="AN411" s="12" t="str">
        <f>VLOOKUP(Z411,Sheet3!$F$4:$G$10,2,1)</f>
        <v>5-10</v>
      </c>
      <c r="AO411" s="5" t="str">
        <f>VLOOKUP(AA411,Sheet3!$I$3:$J$16,2,1)</f>
        <v>160000-180000</v>
      </c>
      <c r="AP411" s="5" t="str">
        <f>VLOOKUP(AB411,Sheet3!$L$4:$M$14,2,1)</f>
        <v>5% - 10%</v>
      </c>
    </row>
    <row r="412">
      <c r="A412" s="6">
        <v>276700.0</v>
      </c>
      <c r="B412" s="1" t="s">
        <v>89</v>
      </c>
      <c r="C412" s="1" t="s">
        <v>4356</v>
      </c>
      <c r="D412" s="1" t="s">
        <v>186</v>
      </c>
      <c r="E412" s="1" t="s">
        <v>4534</v>
      </c>
      <c r="F412" s="1" t="s">
        <v>46</v>
      </c>
      <c r="G412" s="1" t="s">
        <v>4535</v>
      </c>
      <c r="H412" s="1" t="s">
        <v>1395</v>
      </c>
      <c r="I412" s="1" t="s">
        <v>4536</v>
      </c>
      <c r="J412" s="1" t="s">
        <v>4537</v>
      </c>
      <c r="K412" s="1" t="s">
        <v>2063</v>
      </c>
      <c r="L412" s="9">
        <v>21379.0</v>
      </c>
      <c r="M412" s="8">
        <v>0.9245833333333333</v>
      </c>
      <c r="N412" s="6">
        <v>59.08</v>
      </c>
      <c r="O412" s="6">
        <v>40.0</v>
      </c>
      <c r="P412" s="9">
        <v>34758.0</v>
      </c>
      <c r="Q412" s="1" t="s">
        <v>96</v>
      </c>
      <c r="R412" s="1" t="s">
        <v>76</v>
      </c>
      <c r="S412" s="6">
        <v>1995.0</v>
      </c>
      <c r="T412" s="6">
        <v>2.0</v>
      </c>
      <c r="U412" s="1" t="s">
        <v>117</v>
      </c>
      <c r="V412" s="1" t="s">
        <v>118</v>
      </c>
      <c r="W412" s="6">
        <v>28.0</v>
      </c>
      <c r="X412" s="1" t="s">
        <v>79</v>
      </c>
      <c r="Y412" s="1" t="s">
        <v>80</v>
      </c>
      <c r="Z412" s="6">
        <v>22.43</v>
      </c>
      <c r="AA412" s="6">
        <v>172845.0</v>
      </c>
      <c r="AB412" s="10">
        <v>0.11</v>
      </c>
      <c r="AC412" s="1" t="s">
        <v>4538</v>
      </c>
      <c r="AD412" s="1" t="s">
        <v>4539</v>
      </c>
      <c r="AE412" s="1" t="s">
        <v>4540</v>
      </c>
      <c r="AF412" s="1" t="s">
        <v>4541</v>
      </c>
      <c r="AG412" s="1" t="s">
        <v>4540</v>
      </c>
      <c r="AH412" s="1" t="s">
        <v>1605</v>
      </c>
      <c r="AI412" s="6">
        <v>58021.0</v>
      </c>
      <c r="AJ412" s="1" t="s">
        <v>86</v>
      </c>
      <c r="AK412" s="1" t="s">
        <v>4542</v>
      </c>
      <c r="AL412" s="1" t="s">
        <v>4543</v>
      </c>
      <c r="AM412" s="11" t="str">
        <f>VLOOKUP(N412,Sheet3!$B$4:$C$10,2,1)</f>
        <v>51-60</v>
      </c>
      <c r="AN412" s="13" t="str">
        <f>VLOOKUP(Z412,Sheet3!$F$4:$G$10,2,1)</f>
        <v>21-30</v>
      </c>
      <c r="AO412" s="5" t="str">
        <f>VLOOKUP(AA412,Sheet3!$I$3:$J$16,2,1)</f>
        <v>160000-180000</v>
      </c>
      <c r="AP412" s="5" t="str">
        <f>VLOOKUP(AB412,Sheet3!$L$4:$M$14,2,1)</f>
        <v>11% - 15%</v>
      </c>
    </row>
    <row r="413">
      <c r="A413" s="6">
        <v>510431.0</v>
      </c>
      <c r="B413" s="1" t="s">
        <v>66</v>
      </c>
      <c r="C413" s="1" t="s">
        <v>3839</v>
      </c>
      <c r="D413" s="1" t="s">
        <v>68</v>
      </c>
      <c r="E413" s="1" t="s">
        <v>4544</v>
      </c>
      <c r="F413" s="1" t="s">
        <v>70</v>
      </c>
      <c r="G413" s="1" t="s">
        <v>4545</v>
      </c>
      <c r="H413" s="1" t="s">
        <v>1395</v>
      </c>
      <c r="I413" s="1" t="s">
        <v>4546</v>
      </c>
      <c r="J413" s="1" t="s">
        <v>4547</v>
      </c>
      <c r="K413" s="1" t="s">
        <v>3898</v>
      </c>
      <c r="L413" s="9">
        <v>23906.0</v>
      </c>
      <c r="M413" s="8">
        <v>0.26817129629629627</v>
      </c>
      <c r="N413" s="6">
        <v>52.16</v>
      </c>
      <c r="O413" s="6">
        <v>58.0</v>
      </c>
      <c r="P413" s="9">
        <v>36245.0</v>
      </c>
      <c r="Q413" s="1" t="s">
        <v>96</v>
      </c>
      <c r="R413" s="1" t="s">
        <v>76</v>
      </c>
      <c r="S413" s="6">
        <v>1999.0</v>
      </c>
      <c r="T413" s="6">
        <v>3.0</v>
      </c>
      <c r="U413" s="1" t="s">
        <v>97</v>
      </c>
      <c r="V413" s="1" t="s">
        <v>98</v>
      </c>
      <c r="W413" s="6">
        <v>26.0</v>
      </c>
      <c r="X413" s="1" t="s">
        <v>263</v>
      </c>
      <c r="Y413" s="1" t="s">
        <v>264</v>
      </c>
      <c r="Z413" s="6">
        <v>18.35</v>
      </c>
      <c r="AA413" s="6">
        <v>134013.0</v>
      </c>
      <c r="AB413" s="10">
        <v>0.1</v>
      </c>
      <c r="AC413" s="1" t="s">
        <v>4548</v>
      </c>
      <c r="AD413" s="1" t="s">
        <v>4549</v>
      </c>
      <c r="AE413" s="1" t="s">
        <v>4550</v>
      </c>
      <c r="AF413" s="1" t="s">
        <v>4551</v>
      </c>
      <c r="AG413" s="1" t="s">
        <v>4550</v>
      </c>
      <c r="AH413" s="1" t="s">
        <v>299</v>
      </c>
      <c r="AI413" s="6">
        <v>73668.0</v>
      </c>
      <c r="AJ413" s="1" t="s">
        <v>106</v>
      </c>
      <c r="AK413" s="1" t="s">
        <v>4552</v>
      </c>
      <c r="AL413" s="1" t="s">
        <v>4553</v>
      </c>
      <c r="AM413" s="11" t="str">
        <f>VLOOKUP(N413,Sheet3!$B$4:$C$10,2,1)</f>
        <v>51-60</v>
      </c>
      <c r="AN413" s="12" t="str">
        <f>VLOOKUP(Z413,Sheet3!$F$4:$G$10,2,1)</f>
        <v>11-20</v>
      </c>
      <c r="AO413" s="5" t="str">
        <f>VLOOKUP(AA413,Sheet3!$I$3:$J$16,2,1)</f>
        <v>120000-140000</v>
      </c>
      <c r="AP413" s="5" t="str">
        <f>VLOOKUP(AB413,Sheet3!$L$4:$M$14,2,1)</f>
        <v>5% - 10%</v>
      </c>
    </row>
    <row r="414">
      <c r="A414" s="6">
        <v>451543.0</v>
      </c>
      <c r="B414" s="1" t="s">
        <v>42</v>
      </c>
      <c r="C414" s="1" t="s">
        <v>4554</v>
      </c>
      <c r="D414" s="1" t="s">
        <v>288</v>
      </c>
      <c r="E414" s="1" t="s">
        <v>4555</v>
      </c>
      <c r="F414" s="1" t="s">
        <v>46</v>
      </c>
      <c r="G414" s="1" t="s">
        <v>4556</v>
      </c>
      <c r="H414" s="1" t="s">
        <v>1395</v>
      </c>
      <c r="I414" s="1" t="s">
        <v>4557</v>
      </c>
      <c r="J414" s="1" t="s">
        <v>4558</v>
      </c>
      <c r="K414" s="1" t="s">
        <v>748</v>
      </c>
      <c r="L414" s="9">
        <v>31428.0</v>
      </c>
      <c r="M414" s="8">
        <v>0.8443981481481482</v>
      </c>
      <c r="N414" s="6">
        <v>31.55</v>
      </c>
      <c r="O414" s="6">
        <v>59.0</v>
      </c>
      <c r="P414" s="14">
        <v>42432.0</v>
      </c>
      <c r="Q414" s="1" t="s">
        <v>96</v>
      </c>
      <c r="R414" s="1" t="s">
        <v>76</v>
      </c>
      <c r="S414" s="6">
        <v>2016.0</v>
      </c>
      <c r="T414" s="6">
        <v>3.0</v>
      </c>
      <c r="U414" s="1" t="s">
        <v>97</v>
      </c>
      <c r="V414" s="1" t="s">
        <v>98</v>
      </c>
      <c r="W414" s="6">
        <v>3.0</v>
      </c>
      <c r="X414" s="1" t="s">
        <v>150</v>
      </c>
      <c r="Y414" s="1" t="s">
        <v>151</v>
      </c>
      <c r="Z414" s="6">
        <v>1.4</v>
      </c>
      <c r="AA414" s="6">
        <v>161123.0</v>
      </c>
      <c r="AB414" s="10">
        <v>0.02</v>
      </c>
      <c r="AC414" s="1" t="s">
        <v>4559</v>
      </c>
      <c r="AD414" s="1" t="s">
        <v>4560</v>
      </c>
      <c r="AE414" s="1" t="s">
        <v>4561</v>
      </c>
      <c r="AF414" s="1" t="s">
        <v>4562</v>
      </c>
      <c r="AG414" s="1" t="s">
        <v>4561</v>
      </c>
      <c r="AH414" s="1" t="s">
        <v>882</v>
      </c>
      <c r="AI414" s="6">
        <v>31909.0</v>
      </c>
      <c r="AJ414" s="1" t="s">
        <v>106</v>
      </c>
      <c r="AK414" s="1" t="s">
        <v>4563</v>
      </c>
      <c r="AL414" s="1" t="s">
        <v>4564</v>
      </c>
      <c r="AM414" s="11" t="str">
        <f>VLOOKUP(N414,Sheet3!$B$4:$C$10,2,1)</f>
        <v>31-40</v>
      </c>
      <c r="AN414" s="13" t="str">
        <f>VLOOKUP(Z414,Sheet3!$F$4:$G$10,2,1)</f>
        <v>&lt; 5</v>
      </c>
      <c r="AO414" s="5" t="str">
        <f>VLOOKUP(AA414,Sheet3!$I$3:$J$16,2,1)</f>
        <v>160000-180000</v>
      </c>
      <c r="AP414" s="5" t="str">
        <f>VLOOKUP(AB414,Sheet3!$L$4:$M$14,2,1)</f>
        <v>&lt; 5%</v>
      </c>
    </row>
    <row r="415">
      <c r="A415" s="6">
        <v>423508.0</v>
      </c>
      <c r="B415" s="1" t="s">
        <v>42</v>
      </c>
      <c r="C415" s="1" t="s">
        <v>1851</v>
      </c>
      <c r="D415" s="1" t="s">
        <v>46</v>
      </c>
      <c r="E415" s="1" t="s">
        <v>1888</v>
      </c>
      <c r="F415" s="1" t="s">
        <v>46</v>
      </c>
      <c r="G415" s="1" t="s">
        <v>4565</v>
      </c>
      <c r="H415" s="1" t="s">
        <v>1395</v>
      </c>
      <c r="I415" s="1" t="s">
        <v>4566</v>
      </c>
      <c r="J415" s="1" t="s">
        <v>4567</v>
      </c>
      <c r="K415" s="1" t="s">
        <v>4568</v>
      </c>
      <c r="L415" s="14">
        <v>26212.0</v>
      </c>
      <c r="M415" s="8">
        <v>0.3176273148148148</v>
      </c>
      <c r="N415" s="6">
        <v>45.84</v>
      </c>
      <c r="O415" s="6">
        <v>54.0</v>
      </c>
      <c r="P415" s="9">
        <v>39194.0</v>
      </c>
      <c r="Q415" s="1" t="s">
        <v>75</v>
      </c>
      <c r="R415" s="1" t="s">
        <v>76</v>
      </c>
      <c r="S415" s="6">
        <v>2007.0</v>
      </c>
      <c r="T415" s="6">
        <v>4.0</v>
      </c>
      <c r="U415" s="1" t="s">
        <v>77</v>
      </c>
      <c r="V415" s="1" t="s">
        <v>78</v>
      </c>
      <c r="W415" s="6">
        <v>22.0</v>
      </c>
      <c r="X415" s="1" t="s">
        <v>534</v>
      </c>
      <c r="Y415" s="1" t="s">
        <v>535</v>
      </c>
      <c r="Z415" s="6">
        <v>10.27</v>
      </c>
      <c r="AA415" s="6">
        <v>177947.0</v>
      </c>
      <c r="AB415" s="10">
        <v>0.25</v>
      </c>
      <c r="AC415" s="1" t="s">
        <v>4569</v>
      </c>
      <c r="AD415" s="1" t="s">
        <v>4570</v>
      </c>
      <c r="AE415" s="1" t="s">
        <v>4571</v>
      </c>
      <c r="AF415" s="1" t="s">
        <v>2823</v>
      </c>
      <c r="AG415" s="1" t="s">
        <v>4571</v>
      </c>
      <c r="AH415" s="1" t="s">
        <v>906</v>
      </c>
      <c r="AI415" s="6">
        <v>7193.0</v>
      </c>
      <c r="AJ415" s="1" t="s">
        <v>224</v>
      </c>
      <c r="AK415" s="1" t="s">
        <v>4572</v>
      </c>
      <c r="AL415" s="1" t="s">
        <v>4573</v>
      </c>
      <c r="AM415" s="11" t="str">
        <f>VLOOKUP(N415,Sheet3!$B$4:$C$10,2,1)</f>
        <v>41-50</v>
      </c>
      <c r="AN415" s="12" t="str">
        <f>VLOOKUP(Z415,Sheet3!$F$4:$G$10,2,1)</f>
        <v>5-10</v>
      </c>
      <c r="AO415" s="5" t="str">
        <f>VLOOKUP(AA415,Sheet3!$I$3:$J$16,2,1)</f>
        <v>160000-180000</v>
      </c>
      <c r="AP415" s="5" t="str">
        <f>VLOOKUP(AB415,Sheet3!$L$4:$M$14,2,1)</f>
        <v>21% - 25%</v>
      </c>
    </row>
    <row r="416">
      <c r="A416" s="6">
        <v>399486.0</v>
      </c>
      <c r="B416" s="1" t="s">
        <v>42</v>
      </c>
      <c r="C416" s="1" t="s">
        <v>4574</v>
      </c>
      <c r="D416" s="1" t="s">
        <v>1663</v>
      </c>
      <c r="E416" s="1" t="s">
        <v>4575</v>
      </c>
      <c r="F416" s="1" t="s">
        <v>46</v>
      </c>
      <c r="G416" s="1" t="s">
        <v>4576</v>
      </c>
      <c r="H416" s="1" t="s">
        <v>1395</v>
      </c>
      <c r="I416" s="1" t="s">
        <v>4577</v>
      </c>
      <c r="J416" s="1" t="s">
        <v>4578</v>
      </c>
      <c r="K416" s="1" t="s">
        <v>4579</v>
      </c>
      <c r="L416" s="9">
        <v>27721.0</v>
      </c>
      <c r="M416" s="8">
        <v>0.09604166666666666</v>
      </c>
      <c r="N416" s="6">
        <v>41.71</v>
      </c>
      <c r="O416" s="6">
        <v>41.0</v>
      </c>
      <c r="P416" s="9">
        <v>36145.0</v>
      </c>
      <c r="Q416" s="1" t="s">
        <v>52</v>
      </c>
      <c r="R416" s="1" t="s">
        <v>53</v>
      </c>
      <c r="S416" s="6">
        <v>1998.0</v>
      </c>
      <c r="T416" s="6">
        <v>12.0</v>
      </c>
      <c r="U416" s="1" t="s">
        <v>54</v>
      </c>
      <c r="V416" s="1" t="s">
        <v>55</v>
      </c>
      <c r="W416" s="6">
        <v>16.0</v>
      </c>
      <c r="X416" s="1" t="s">
        <v>278</v>
      </c>
      <c r="Y416" s="1" t="s">
        <v>279</v>
      </c>
      <c r="Z416" s="6">
        <v>18.63</v>
      </c>
      <c r="AA416" s="6">
        <v>183013.0</v>
      </c>
      <c r="AB416" s="10">
        <v>0.23</v>
      </c>
      <c r="AC416" s="1" t="s">
        <v>4580</v>
      </c>
      <c r="AD416" s="1" t="s">
        <v>4581</v>
      </c>
      <c r="AE416" s="1" t="s">
        <v>4582</v>
      </c>
      <c r="AF416" s="1" t="s">
        <v>4583</v>
      </c>
      <c r="AG416" s="1" t="s">
        <v>4582</v>
      </c>
      <c r="AH416" s="1" t="s">
        <v>85</v>
      </c>
      <c r="AI416" s="6">
        <v>49917.0</v>
      </c>
      <c r="AJ416" s="1" t="s">
        <v>86</v>
      </c>
      <c r="AK416" s="1" t="s">
        <v>4584</v>
      </c>
      <c r="AL416" s="1" t="s">
        <v>4585</v>
      </c>
      <c r="AM416" s="11" t="str">
        <f>VLOOKUP(N416,Sheet3!$B$4:$C$10,2,1)</f>
        <v>41-50</v>
      </c>
      <c r="AN416" s="12" t="str">
        <f>VLOOKUP(Z416,Sheet3!$F$4:$G$10,2,1)</f>
        <v>11-20</v>
      </c>
      <c r="AO416" s="5" t="str">
        <f>VLOOKUP(AA416,Sheet3!$I$3:$J$16,2,1)</f>
        <v>180000-200000</v>
      </c>
      <c r="AP416" s="5" t="str">
        <f>VLOOKUP(AB416,Sheet3!$L$4:$M$14,2,1)</f>
        <v>21% - 25%</v>
      </c>
    </row>
    <row r="417">
      <c r="A417" s="6">
        <v>295933.0</v>
      </c>
      <c r="B417" s="1" t="s">
        <v>66</v>
      </c>
      <c r="C417" s="1" t="s">
        <v>3963</v>
      </c>
      <c r="D417" s="1" t="s">
        <v>127</v>
      </c>
      <c r="E417" s="1" t="s">
        <v>567</v>
      </c>
      <c r="F417" s="1" t="s">
        <v>70</v>
      </c>
      <c r="G417" s="1" t="s">
        <v>4586</v>
      </c>
      <c r="H417" s="1" t="s">
        <v>1395</v>
      </c>
      <c r="I417" s="1" t="s">
        <v>4587</v>
      </c>
      <c r="J417" s="1" t="s">
        <v>4588</v>
      </c>
      <c r="K417" s="1" t="s">
        <v>4589</v>
      </c>
      <c r="L417" s="14">
        <v>28950.0</v>
      </c>
      <c r="M417" s="8">
        <v>0.5957986111111111</v>
      </c>
      <c r="N417" s="6">
        <v>38.34</v>
      </c>
      <c r="O417" s="6">
        <v>67.0</v>
      </c>
      <c r="P417" s="9">
        <v>40291.0</v>
      </c>
      <c r="Q417" s="1" t="s">
        <v>75</v>
      </c>
      <c r="R417" s="1" t="s">
        <v>76</v>
      </c>
      <c r="S417" s="6">
        <v>2010.0</v>
      </c>
      <c r="T417" s="6">
        <v>4.0</v>
      </c>
      <c r="U417" s="1" t="s">
        <v>77</v>
      </c>
      <c r="V417" s="1" t="s">
        <v>78</v>
      </c>
      <c r="W417" s="6">
        <v>23.0</v>
      </c>
      <c r="X417" s="1" t="s">
        <v>263</v>
      </c>
      <c r="Y417" s="1" t="s">
        <v>264</v>
      </c>
      <c r="Z417" s="6">
        <v>7.27</v>
      </c>
      <c r="AA417" s="6">
        <v>71204.0</v>
      </c>
      <c r="AB417" s="10">
        <v>0.29</v>
      </c>
      <c r="AC417" s="1" t="s">
        <v>4590</v>
      </c>
      <c r="AD417" s="1" t="s">
        <v>4591</v>
      </c>
      <c r="AE417" s="1" t="s">
        <v>4592</v>
      </c>
      <c r="AF417" s="1" t="s">
        <v>221</v>
      </c>
      <c r="AG417" s="1" t="s">
        <v>4592</v>
      </c>
      <c r="AH417" s="1" t="s">
        <v>196</v>
      </c>
      <c r="AI417" s="6">
        <v>37041.0</v>
      </c>
      <c r="AJ417" s="1" t="s">
        <v>106</v>
      </c>
      <c r="AK417" s="1" t="s">
        <v>4593</v>
      </c>
      <c r="AL417" s="1" t="s">
        <v>4594</v>
      </c>
      <c r="AM417" s="11" t="str">
        <f>VLOOKUP(N417,Sheet3!$B$4:$C$10,2,1)</f>
        <v>31-40</v>
      </c>
      <c r="AN417" s="12" t="str">
        <f>VLOOKUP(Z417,Sheet3!$F$4:$G$10,2,1)</f>
        <v>5-10</v>
      </c>
      <c r="AO417" s="5" t="str">
        <f>VLOOKUP(AA417,Sheet3!$I$3:$J$16,2,1)</f>
        <v>60000-80000</v>
      </c>
      <c r="AP417" s="5" t="str">
        <f>VLOOKUP(AB417,Sheet3!$L$4:$M$14,2,1)</f>
        <v>26% - 30%</v>
      </c>
    </row>
    <row r="418">
      <c r="A418" s="6">
        <v>855670.0</v>
      </c>
      <c r="B418" s="1" t="s">
        <v>89</v>
      </c>
      <c r="C418" s="1" t="s">
        <v>4595</v>
      </c>
      <c r="D418" s="1" t="s">
        <v>127</v>
      </c>
      <c r="E418" s="1" t="s">
        <v>2131</v>
      </c>
      <c r="F418" s="1" t="s">
        <v>46</v>
      </c>
      <c r="G418" s="1" t="s">
        <v>4596</v>
      </c>
      <c r="H418" s="1" t="s">
        <v>1395</v>
      </c>
      <c r="I418" s="1" t="s">
        <v>4597</v>
      </c>
      <c r="J418" s="1" t="s">
        <v>4598</v>
      </c>
      <c r="K418" s="1" t="s">
        <v>4599</v>
      </c>
      <c r="L418" s="14">
        <v>21344.0</v>
      </c>
      <c r="M418" s="8">
        <v>0.09847222222222222</v>
      </c>
      <c r="N418" s="6">
        <v>59.18</v>
      </c>
      <c r="O418" s="6">
        <v>40.0</v>
      </c>
      <c r="P418" s="9">
        <v>30238.0</v>
      </c>
      <c r="Q418" s="1" t="s">
        <v>52</v>
      </c>
      <c r="R418" s="1" t="s">
        <v>53</v>
      </c>
      <c r="S418" s="6">
        <v>1982.0</v>
      </c>
      <c r="T418" s="6">
        <v>10.0</v>
      </c>
      <c r="U418" s="1" t="s">
        <v>133</v>
      </c>
      <c r="V418" s="1" t="s">
        <v>134</v>
      </c>
      <c r="W418" s="6">
        <v>14.0</v>
      </c>
      <c r="X418" s="1" t="s">
        <v>150</v>
      </c>
      <c r="Y418" s="1" t="s">
        <v>151</v>
      </c>
      <c r="Z418" s="6">
        <v>34.81</v>
      </c>
      <c r="AA418" s="6">
        <v>166464.0</v>
      </c>
      <c r="AB418" s="10">
        <v>0.04</v>
      </c>
      <c r="AC418" s="1" t="s">
        <v>4600</v>
      </c>
      <c r="AD418" s="1" t="s">
        <v>4601</v>
      </c>
      <c r="AE418" s="1" t="s">
        <v>4602</v>
      </c>
      <c r="AF418" s="1" t="s">
        <v>1911</v>
      </c>
      <c r="AG418" s="1" t="s">
        <v>4602</v>
      </c>
      <c r="AH418" s="1" t="s">
        <v>356</v>
      </c>
      <c r="AI418" s="6">
        <v>12737.0</v>
      </c>
      <c r="AJ418" s="1" t="s">
        <v>224</v>
      </c>
      <c r="AK418" s="1" t="s">
        <v>4603</v>
      </c>
      <c r="AL418" s="1" t="s">
        <v>4604</v>
      </c>
      <c r="AM418" s="11" t="str">
        <f>VLOOKUP(N418,Sheet3!$B$4:$C$10,2,1)</f>
        <v>51-60</v>
      </c>
      <c r="AN418" s="13" t="str">
        <f>VLOOKUP(Z418,Sheet3!$F$4:$G$10,2,1)</f>
        <v>31-40</v>
      </c>
      <c r="AO418" s="5" t="str">
        <f>VLOOKUP(AA418,Sheet3!$I$3:$J$16,2,1)</f>
        <v>160000-180000</v>
      </c>
      <c r="AP418" s="5" t="str">
        <f>VLOOKUP(AB418,Sheet3!$L$4:$M$14,2,1)</f>
        <v>&lt; 5%</v>
      </c>
    </row>
    <row r="419">
      <c r="A419" s="6">
        <v>151449.0</v>
      </c>
      <c r="B419" s="1" t="s">
        <v>125</v>
      </c>
      <c r="C419" s="1" t="s">
        <v>3420</v>
      </c>
      <c r="D419" s="1" t="s">
        <v>403</v>
      </c>
      <c r="E419" s="1" t="s">
        <v>4605</v>
      </c>
      <c r="F419" s="1" t="s">
        <v>70</v>
      </c>
      <c r="G419" s="1" t="s">
        <v>4606</v>
      </c>
      <c r="H419" s="1" t="s">
        <v>1395</v>
      </c>
      <c r="I419" s="1" t="s">
        <v>4607</v>
      </c>
      <c r="J419" s="1" t="s">
        <v>4608</v>
      </c>
      <c r="K419" s="1" t="s">
        <v>970</v>
      </c>
      <c r="L419" s="14">
        <v>34009.0</v>
      </c>
      <c r="M419" s="8">
        <v>0.12232638888888889</v>
      </c>
      <c r="N419" s="6">
        <v>24.48</v>
      </c>
      <c r="O419" s="6">
        <v>55.0</v>
      </c>
      <c r="P419" s="9">
        <v>42702.0</v>
      </c>
      <c r="Q419" s="1" t="s">
        <v>52</v>
      </c>
      <c r="R419" s="1" t="s">
        <v>53</v>
      </c>
      <c r="S419" s="6">
        <v>2016.0</v>
      </c>
      <c r="T419" s="6">
        <v>11.0</v>
      </c>
      <c r="U419" s="1" t="s">
        <v>148</v>
      </c>
      <c r="V419" s="1" t="s">
        <v>149</v>
      </c>
      <c r="W419" s="6">
        <v>28.0</v>
      </c>
      <c r="X419" s="1" t="s">
        <v>99</v>
      </c>
      <c r="Y419" s="1" t="s">
        <v>100</v>
      </c>
      <c r="Z419" s="6">
        <v>0.66</v>
      </c>
      <c r="AA419" s="6">
        <v>111183.0</v>
      </c>
      <c r="AB419" s="10">
        <v>0.02</v>
      </c>
      <c r="AC419" s="1" t="s">
        <v>4609</v>
      </c>
      <c r="AD419" s="1" t="s">
        <v>4610</v>
      </c>
      <c r="AE419" s="1" t="s">
        <v>4611</v>
      </c>
      <c r="AF419" s="1" t="s">
        <v>649</v>
      </c>
      <c r="AG419" s="1" t="s">
        <v>4611</v>
      </c>
      <c r="AH419" s="1" t="s">
        <v>1413</v>
      </c>
      <c r="AI419" s="6">
        <v>80470.0</v>
      </c>
      <c r="AJ419" s="1" t="s">
        <v>63</v>
      </c>
      <c r="AK419" s="1" t="s">
        <v>4612</v>
      </c>
      <c r="AL419" s="1" t="s">
        <v>4613</v>
      </c>
      <c r="AM419" s="11" t="str">
        <f>VLOOKUP(N419,Sheet3!$B$4:$C$10,2,1)</f>
        <v>21-30</v>
      </c>
      <c r="AN419" s="13" t="str">
        <f>VLOOKUP(Z419,Sheet3!$F$4:$G$10,2,1)</f>
        <v>&lt; 5</v>
      </c>
      <c r="AO419" s="5" t="str">
        <f>VLOOKUP(AA419,Sheet3!$I$3:$J$16,2,1)</f>
        <v>100000-120000</v>
      </c>
      <c r="AP419" s="5" t="str">
        <f>VLOOKUP(AB419,Sheet3!$L$4:$M$14,2,1)</f>
        <v>&lt; 5%</v>
      </c>
    </row>
    <row r="420">
      <c r="A420" s="6">
        <v>394700.0</v>
      </c>
      <c r="B420" s="1" t="s">
        <v>66</v>
      </c>
      <c r="C420" s="1" t="s">
        <v>3146</v>
      </c>
      <c r="D420" s="1" t="s">
        <v>403</v>
      </c>
      <c r="E420" s="1" t="s">
        <v>4614</v>
      </c>
      <c r="F420" s="1" t="s">
        <v>70</v>
      </c>
      <c r="G420" s="1" t="s">
        <v>4615</v>
      </c>
      <c r="H420" s="1" t="s">
        <v>1395</v>
      </c>
      <c r="I420" s="1" t="s">
        <v>4616</v>
      </c>
      <c r="J420" s="1" t="s">
        <v>4617</v>
      </c>
      <c r="K420" s="1" t="s">
        <v>661</v>
      </c>
      <c r="L420" s="9">
        <v>31068.0</v>
      </c>
      <c r="M420" s="8">
        <v>0.5401157407407408</v>
      </c>
      <c r="N420" s="6">
        <v>32.54</v>
      </c>
      <c r="O420" s="6">
        <v>80.0</v>
      </c>
      <c r="P420" s="14">
        <v>39519.0</v>
      </c>
      <c r="Q420" s="1" t="s">
        <v>96</v>
      </c>
      <c r="R420" s="1" t="s">
        <v>76</v>
      </c>
      <c r="S420" s="6">
        <v>2008.0</v>
      </c>
      <c r="T420" s="6">
        <v>3.0</v>
      </c>
      <c r="U420" s="1" t="s">
        <v>97</v>
      </c>
      <c r="V420" s="1" t="s">
        <v>98</v>
      </c>
      <c r="W420" s="6">
        <v>12.0</v>
      </c>
      <c r="X420" s="1" t="s">
        <v>278</v>
      </c>
      <c r="Y420" s="1" t="s">
        <v>279</v>
      </c>
      <c r="Z420" s="6">
        <v>9.38</v>
      </c>
      <c r="AA420" s="6">
        <v>95530.0</v>
      </c>
      <c r="AB420" s="10">
        <v>0.25</v>
      </c>
      <c r="AC420" s="1" t="s">
        <v>4618</v>
      </c>
      <c r="AD420" s="1" t="s">
        <v>4619</v>
      </c>
      <c r="AE420" s="1" t="s">
        <v>4620</v>
      </c>
      <c r="AF420" s="1" t="s">
        <v>4620</v>
      </c>
      <c r="AG420" s="1" t="s">
        <v>4620</v>
      </c>
      <c r="AH420" s="1" t="s">
        <v>1561</v>
      </c>
      <c r="AI420" s="6">
        <v>53221.0</v>
      </c>
      <c r="AJ420" s="1" t="s">
        <v>86</v>
      </c>
      <c r="AK420" s="1" t="s">
        <v>4621</v>
      </c>
      <c r="AL420" s="1" t="s">
        <v>4622</v>
      </c>
      <c r="AM420" s="11" t="str">
        <f>VLOOKUP(N420,Sheet3!$B$4:$C$10,2,1)</f>
        <v>31-40</v>
      </c>
      <c r="AN420" s="12" t="str">
        <f>VLOOKUP(Z420,Sheet3!$F$4:$G$10,2,1)</f>
        <v>5-10</v>
      </c>
      <c r="AO420" s="5" t="str">
        <f>VLOOKUP(AA420,Sheet3!$I$3:$J$16,2,1)</f>
        <v>80000-100000</v>
      </c>
      <c r="AP420" s="5" t="str">
        <f>VLOOKUP(AB420,Sheet3!$L$4:$M$14,2,1)</f>
        <v>21% - 25%</v>
      </c>
    </row>
    <row r="421">
      <c r="A421" s="6">
        <v>328740.0</v>
      </c>
      <c r="B421" s="1" t="s">
        <v>66</v>
      </c>
      <c r="C421" s="1" t="s">
        <v>4623</v>
      </c>
      <c r="D421" s="1" t="s">
        <v>861</v>
      </c>
      <c r="E421" s="1" t="s">
        <v>4624</v>
      </c>
      <c r="F421" s="1" t="s">
        <v>70</v>
      </c>
      <c r="G421" s="1" t="s">
        <v>4625</v>
      </c>
      <c r="H421" s="1" t="s">
        <v>1395</v>
      </c>
      <c r="I421" s="1" t="s">
        <v>4626</v>
      </c>
      <c r="J421" s="1" t="s">
        <v>4627</v>
      </c>
      <c r="K421" s="1" t="s">
        <v>4628</v>
      </c>
      <c r="L421" s="9">
        <v>27053.0</v>
      </c>
      <c r="M421" s="8">
        <v>0.6087731481481482</v>
      </c>
      <c r="N421" s="6">
        <v>43.54</v>
      </c>
      <c r="O421" s="6">
        <v>58.0</v>
      </c>
      <c r="P421" s="9">
        <v>35576.0</v>
      </c>
      <c r="Q421" s="1" t="s">
        <v>75</v>
      </c>
      <c r="R421" s="1" t="s">
        <v>76</v>
      </c>
      <c r="S421" s="6">
        <v>1997.0</v>
      </c>
      <c r="T421" s="6">
        <v>5.0</v>
      </c>
      <c r="U421" s="1" t="s">
        <v>294</v>
      </c>
      <c r="V421" s="1" t="s">
        <v>294</v>
      </c>
      <c r="W421" s="6">
        <v>26.0</v>
      </c>
      <c r="X421" s="1" t="s">
        <v>99</v>
      </c>
      <c r="Y421" s="1" t="s">
        <v>100</v>
      </c>
      <c r="Z421" s="6">
        <v>20.19</v>
      </c>
      <c r="AA421" s="6">
        <v>116972.0</v>
      </c>
      <c r="AB421" s="10">
        <v>0.14</v>
      </c>
      <c r="AC421" s="1" t="s">
        <v>4629</v>
      </c>
      <c r="AD421" s="1" t="s">
        <v>4630</v>
      </c>
      <c r="AE421" s="1" t="s">
        <v>880</v>
      </c>
      <c r="AF421" s="1" t="s">
        <v>4631</v>
      </c>
      <c r="AG421" s="1" t="s">
        <v>880</v>
      </c>
      <c r="AH421" s="1" t="s">
        <v>811</v>
      </c>
      <c r="AI421" s="6">
        <v>39341.0</v>
      </c>
      <c r="AJ421" s="1" t="s">
        <v>106</v>
      </c>
      <c r="AK421" s="1" t="s">
        <v>4632</v>
      </c>
      <c r="AL421" s="1" t="s">
        <v>4633</v>
      </c>
      <c r="AM421" s="11" t="str">
        <f>VLOOKUP(N421,Sheet3!$B$4:$C$10,2,1)</f>
        <v>41-50</v>
      </c>
      <c r="AN421" s="12" t="str">
        <f>VLOOKUP(Z421,Sheet3!$F$4:$G$10,2,1)</f>
        <v>11-20</v>
      </c>
      <c r="AO421" s="5" t="str">
        <f>VLOOKUP(AA421,Sheet3!$I$3:$J$16,2,1)</f>
        <v>100000-120000</v>
      </c>
      <c r="AP421" s="5" t="str">
        <f>VLOOKUP(AB421,Sheet3!$L$4:$M$14,2,1)</f>
        <v>11% - 15%</v>
      </c>
    </row>
    <row r="422">
      <c r="A422" s="6">
        <v>924134.0</v>
      </c>
      <c r="B422" s="1" t="s">
        <v>255</v>
      </c>
      <c r="C422" s="1" t="s">
        <v>4634</v>
      </c>
      <c r="D422" s="1" t="s">
        <v>554</v>
      </c>
      <c r="E422" s="1" t="s">
        <v>2367</v>
      </c>
      <c r="F422" s="1" t="s">
        <v>70</v>
      </c>
      <c r="G422" s="1" t="s">
        <v>4635</v>
      </c>
      <c r="H422" s="1" t="s">
        <v>1395</v>
      </c>
      <c r="I422" s="1" t="s">
        <v>4636</v>
      </c>
      <c r="J422" s="1" t="s">
        <v>4637</v>
      </c>
      <c r="K422" s="1" t="s">
        <v>397</v>
      </c>
      <c r="L422" s="9">
        <v>29302.0</v>
      </c>
      <c r="M422" s="8">
        <v>0.9207291666666667</v>
      </c>
      <c r="N422" s="6">
        <v>37.38</v>
      </c>
      <c r="O422" s="6">
        <v>59.0</v>
      </c>
      <c r="P422" s="14">
        <v>40093.0</v>
      </c>
      <c r="Q422" s="1" t="s">
        <v>52</v>
      </c>
      <c r="R422" s="1" t="s">
        <v>53</v>
      </c>
      <c r="S422" s="6">
        <v>2009.0</v>
      </c>
      <c r="T422" s="6">
        <v>10.0</v>
      </c>
      <c r="U422" s="1" t="s">
        <v>133</v>
      </c>
      <c r="V422" s="1" t="s">
        <v>134</v>
      </c>
      <c r="W422" s="6">
        <v>7.0</v>
      </c>
      <c r="X422" s="1" t="s">
        <v>278</v>
      </c>
      <c r="Y422" s="1" t="s">
        <v>279</v>
      </c>
      <c r="Z422" s="6">
        <v>7.81</v>
      </c>
      <c r="AA422" s="6">
        <v>79197.0</v>
      </c>
      <c r="AB422" s="10">
        <v>0.18</v>
      </c>
      <c r="AC422" s="1" t="s">
        <v>4638</v>
      </c>
      <c r="AD422" s="1" t="s">
        <v>4639</v>
      </c>
      <c r="AE422" s="1" t="s">
        <v>688</v>
      </c>
      <c r="AF422" s="1" t="s">
        <v>2401</v>
      </c>
      <c r="AG422" s="1" t="s">
        <v>688</v>
      </c>
      <c r="AH422" s="1" t="s">
        <v>105</v>
      </c>
      <c r="AI422" s="6">
        <v>41168.0</v>
      </c>
      <c r="AJ422" s="1" t="s">
        <v>106</v>
      </c>
      <c r="AK422" s="1" t="s">
        <v>4640</v>
      </c>
      <c r="AL422" s="1" t="s">
        <v>4641</v>
      </c>
      <c r="AM422" s="11" t="str">
        <f>VLOOKUP(N422,Sheet3!$B$4:$C$10,2,1)</f>
        <v>31-40</v>
      </c>
      <c r="AN422" s="12" t="str">
        <f>VLOOKUP(Z422,Sheet3!$F$4:$G$10,2,1)</f>
        <v>5-10</v>
      </c>
      <c r="AO422" s="5" t="str">
        <f>VLOOKUP(AA422,Sheet3!$I$3:$J$16,2,1)</f>
        <v>60000-80000</v>
      </c>
      <c r="AP422" s="5" t="str">
        <f>VLOOKUP(AB422,Sheet3!$L$4:$M$14,2,1)</f>
        <v>16% - 20%</v>
      </c>
    </row>
    <row r="423">
      <c r="A423" s="6">
        <v>556518.0</v>
      </c>
      <c r="B423" s="1" t="s">
        <v>66</v>
      </c>
      <c r="C423" s="1" t="s">
        <v>3176</v>
      </c>
      <c r="D423" s="1" t="s">
        <v>1300</v>
      </c>
      <c r="E423" s="1" t="s">
        <v>731</v>
      </c>
      <c r="F423" s="1" t="s">
        <v>70</v>
      </c>
      <c r="G423" s="1" t="s">
        <v>4642</v>
      </c>
      <c r="H423" s="1" t="s">
        <v>4643</v>
      </c>
      <c r="I423" s="1" t="s">
        <v>4644</v>
      </c>
      <c r="J423" s="1" t="s">
        <v>4645</v>
      </c>
      <c r="K423" s="1" t="s">
        <v>2448</v>
      </c>
      <c r="L423" s="9">
        <v>32018.0</v>
      </c>
      <c r="M423" s="8">
        <v>0.9012962962962963</v>
      </c>
      <c r="N423" s="6">
        <v>29.93</v>
      </c>
      <c r="O423" s="6">
        <v>61.0</v>
      </c>
      <c r="P423" s="9">
        <v>40449.0</v>
      </c>
      <c r="Q423" s="1" t="s">
        <v>308</v>
      </c>
      <c r="R423" s="1" t="s">
        <v>53</v>
      </c>
      <c r="S423" s="6">
        <v>2010.0</v>
      </c>
      <c r="T423" s="6">
        <v>9.0</v>
      </c>
      <c r="U423" s="1" t="s">
        <v>309</v>
      </c>
      <c r="V423" s="1" t="s">
        <v>310</v>
      </c>
      <c r="W423" s="6">
        <v>28.0</v>
      </c>
      <c r="X423" s="1" t="s">
        <v>79</v>
      </c>
      <c r="Y423" s="1" t="s">
        <v>80</v>
      </c>
      <c r="Z423" s="6">
        <v>6.84</v>
      </c>
      <c r="AA423" s="6">
        <v>102865.0</v>
      </c>
      <c r="AB423" s="10">
        <v>0.29</v>
      </c>
      <c r="AC423" s="1" t="s">
        <v>4646</v>
      </c>
      <c r="AD423" s="1" t="s">
        <v>4647</v>
      </c>
      <c r="AE423" s="1" t="s">
        <v>4648</v>
      </c>
      <c r="AF423" s="1" t="s">
        <v>649</v>
      </c>
      <c r="AG423" s="1" t="s">
        <v>4648</v>
      </c>
      <c r="AH423" s="1" t="s">
        <v>1527</v>
      </c>
      <c r="AI423" s="6">
        <v>35094.0</v>
      </c>
      <c r="AJ423" s="1" t="s">
        <v>106</v>
      </c>
      <c r="AK423" s="1" t="s">
        <v>4649</v>
      </c>
      <c r="AL423" s="1" t="s">
        <v>4650</v>
      </c>
      <c r="AM423" s="11" t="str">
        <f>VLOOKUP(N423,Sheet3!$B$4:$C$10,2,1)</f>
        <v>21-30</v>
      </c>
      <c r="AN423" s="12" t="str">
        <f>VLOOKUP(Z423,Sheet3!$F$4:$G$10,2,1)</f>
        <v>5-10</v>
      </c>
      <c r="AO423" s="5" t="str">
        <f>VLOOKUP(AA423,Sheet3!$I$3:$J$16,2,1)</f>
        <v>100000-120000</v>
      </c>
      <c r="AP423" s="5" t="str">
        <f>VLOOKUP(AB423,Sheet3!$L$4:$M$14,2,1)</f>
        <v>26% - 30%</v>
      </c>
    </row>
    <row r="424">
      <c r="A424" s="6">
        <v>237003.0</v>
      </c>
      <c r="B424" s="1" t="s">
        <v>42</v>
      </c>
      <c r="C424" s="1" t="s">
        <v>4651</v>
      </c>
      <c r="D424" s="1" t="s">
        <v>68</v>
      </c>
      <c r="E424" s="1" t="s">
        <v>3571</v>
      </c>
      <c r="F424" s="1" t="s">
        <v>46</v>
      </c>
      <c r="G424" s="1" t="s">
        <v>4652</v>
      </c>
      <c r="H424" s="1" t="s">
        <v>4643</v>
      </c>
      <c r="I424" s="1" t="s">
        <v>4653</v>
      </c>
      <c r="J424" s="1" t="s">
        <v>4654</v>
      </c>
      <c r="K424" s="1" t="s">
        <v>807</v>
      </c>
      <c r="L424" s="9">
        <v>33956.0</v>
      </c>
      <c r="M424" s="8">
        <v>0.7086226851851852</v>
      </c>
      <c r="N424" s="6">
        <v>24.62</v>
      </c>
      <c r="O424" s="6">
        <v>58.0</v>
      </c>
      <c r="P424" s="14">
        <v>42462.0</v>
      </c>
      <c r="Q424" s="1" t="s">
        <v>75</v>
      </c>
      <c r="R424" s="1" t="s">
        <v>76</v>
      </c>
      <c r="S424" s="6">
        <v>2016.0</v>
      </c>
      <c r="T424" s="6">
        <v>4.0</v>
      </c>
      <c r="U424" s="1" t="s">
        <v>77</v>
      </c>
      <c r="V424" s="1" t="s">
        <v>78</v>
      </c>
      <c r="W424" s="6">
        <v>2.0</v>
      </c>
      <c r="X424" s="1" t="s">
        <v>56</v>
      </c>
      <c r="Y424" s="1" t="s">
        <v>57</v>
      </c>
      <c r="Z424" s="6">
        <v>1.32</v>
      </c>
      <c r="AA424" s="6">
        <v>170836.0</v>
      </c>
      <c r="AB424" s="10">
        <v>0.24</v>
      </c>
      <c r="AC424" s="1" t="s">
        <v>4655</v>
      </c>
      <c r="AD424" s="1" t="s">
        <v>4656</v>
      </c>
      <c r="AE424" s="1" t="s">
        <v>2886</v>
      </c>
      <c r="AF424" s="1" t="s">
        <v>2049</v>
      </c>
      <c r="AG424" s="1" t="s">
        <v>2886</v>
      </c>
      <c r="AH424" s="1" t="s">
        <v>501</v>
      </c>
      <c r="AI424" s="6">
        <v>82836.0</v>
      </c>
      <c r="AJ424" s="1" t="s">
        <v>63</v>
      </c>
      <c r="AK424" s="1" t="s">
        <v>4657</v>
      </c>
      <c r="AL424" s="1" t="s">
        <v>4658</v>
      </c>
      <c r="AM424" s="11" t="str">
        <f>VLOOKUP(N424,Sheet3!$B$4:$C$10,2,1)</f>
        <v>21-30</v>
      </c>
      <c r="AN424" s="13" t="str">
        <f>VLOOKUP(Z424,Sheet3!$F$4:$G$10,2,1)</f>
        <v>&lt; 5</v>
      </c>
      <c r="AO424" s="5" t="str">
        <f>VLOOKUP(AA424,Sheet3!$I$3:$J$16,2,1)</f>
        <v>160000-180000</v>
      </c>
      <c r="AP424" s="5" t="str">
        <f>VLOOKUP(AB424,Sheet3!$L$4:$M$14,2,1)</f>
        <v>21% - 25%</v>
      </c>
    </row>
    <row r="425">
      <c r="A425" s="6">
        <v>518193.0</v>
      </c>
      <c r="B425" s="1" t="s">
        <v>89</v>
      </c>
      <c r="C425" s="1" t="s">
        <v>4659</v>
      </c>
      <c r="D425" s="1" t="s">
        <v>403</v>
      </c>
      <c r="E425" s="1" t="s">
        <v>4383</v>
      </c>
      <c r="F425" s="1" t="s">
        <v>46</v>
      </c>
      <c r="G425" s="1" t="s">
        <v>4660</v>
      </c>
      <c r="H425" s="1" t="s">
        <v>4643</v>
      </c>
      <c r="I425" s="1" t="s">
        <v>4661</v>
      </c>
      <c r="J425" s="1" t="s">
        <v>4662</v>
      </c>
      <c r="K425" s="1" t="s">
        <v>491</v>
      </c>
      <c r="L425" s="9">
        <v>26811.0</v>
      </c>
      <c r="M425" s="8">
        <v>0.04054398148148148</v>
      </c>
      <c r="N425" s="6">
        <v>44.2</v>
      </c>
      <c r="O425" s="6">
        <v>53.0</v>
      </c>
      <c r="P425" s="9">
        <v>40144.0</v>
      </c>
      <c r="Q425" s="1" t="s">
        <v>52</v>
      </c>
      <c r="R425" s="1" t="s">
        <v>53</v>
      </c>
      <c r="S425" s="6">
        <v>2009.0</v>
      </c>
      <c r="T425" s="6">
        <v>11.0</v>
      </c>
      <c r="U425" s="1" t="s">
        <v>148</v>
      </c>
      <c r="V425" s="1" t="s">
        <v>149</v>
      </c>
      <c r="W425" s="6">
        <v>27.0</v>
      </c>
      <c r="X425" s="1" t="s">
        <v>263</v>
      </c>
      <c r="Y425" s="1" t="s">
        <v>264</v>
      </c>
      <c r="Z425" s="6">
        <v>7.67</v>
      </c>
      <c r="AA425" s="6">
        <v>100000.0</v>
      </c>
      <c r="AB425" s="10">
        <v>0.02</v>
      </c>
      <c r="AC425" s="1" t="s">
        <v>4663</v>
      </c>
      <c r="AD425" s="1" t="s">
        <v>4664</v>
      </c>
      <c r="AE425" s="1" t="s">
        <v>4665</v>
      </c>
      <c r="AF425" s="1" t="s">
        <v>4666</v>
      </c>
      <c r="AG425" s="1" t="s">
        <v>4665</v>
      </c>
      <c r="AH425" s="1" t="s">
        <v>169</v>
      </c>
      <c r="AI425" s="6">
        <v>78330.0</v>
      </c>
      <c r="AJ425" s="1" t="s">
        <v>106</v>
      </c>
      <c r="AK425" s="1" t="s">
        <v>4667</v>
      </c>
      <c r="AL425" s="1" t="s">
        <v>4668</v>
      </c>
      <c r="AM425" s="11" t="str">
        <f>VLOOKUP(N425,Sheet3!$B$4:$C$10,2,1)</f>
        <v>41-50</v>
      </c>
      <c r="AN425" s="12" t="str">
        <f>VLOOKUP(Z425,Sheet3!$F$4:$G$10,2,1)</f>
        <v>5-10</v>
      </c>
      <c r="AO425" s="5" t="str">
        <f>VLOOKUP(AA425,Sheet3!$I$3:$J$16,2,1)</f>
        <v>100000-120000</v>
      </c>
      <c r="AP425" s="5" t="str">
        <f>VLOOKUP(AB425,Sheet3!$L$4:$M$14,2,1)</f>
        <v>&lt; 5%</v>
      </c>
    </row>
    <row r="426">
      <c r="A426" s="6">
        <v>540019.0</v>
      </c>
      <c r="B426" s="1" t="s">
        <v>66</v>
      </c>
      <c r="C426" s="1" t="s">
        <v>4669</v>
      </c>
      <c r="D426" s="1" t="s">
        <v>186</v>
      </c>
      <c r="E426" s="1" t="s">
        <v>4670</v>
      </c>
      <c r="F426" s="1" t="s">
        <v>70</v>
      </c>
      <c r="G426" s="1" t="s">
        <v>4671</v>
      </c>
      <c r="H426" s="1" t="s">
        <v>4643</v>
      </c>
      <c r="I426" s="1" t="s">
        <v>4672</v>
      </c>
      <c r="J426" s="1" t="s">
        <v>4673</v>
      </c>
      <c r="K426" s="1" t="s">
        <v>1440</v>
      </c>
      <c r="L426" s="9">
        <v>33037.0</v>
      </c>
      <c r="M426" s="8">
        <v>0.9935416666666667</v>
      </c>
      <c r="N426" s="6">
        <v>27.14</v>
      </c>
      <c r="O426" s="6">
        <v>50.0</v>
      </c>
      <c r="P426" s="9">
        <v>41516.0</v>
      </c>
      <c r="Q426" s="1" t="s">
        <v>308</v>
      </c>
      <c r="R426" s="1" t="s">
        <v>53</v>
      </c>
      <c r="S426" s="6">
        <v>2013.0</v>
      </c>
      <c r="T426" s="6">
        <v>8.0</v>
      </c>
      <c r="U426" s="1" t="s">
        <v>433</v>
      </c>
      <c r="V426" s="1" t="s">
        <v>434</v>
      </c>
      <c r="W426" s="6">
        <v>30.0</v>
      </c>
      <c r="X426" s="1" t="s">
        <v>263</v>
      </c>
      <c r="Y426" s="1" t="s">
        <v>264</v>
      </c>
      <c r="Z426" s="6">
        <v>3.91</v>
      </c>
      <c r="AA426" s="6">
        <v>183279.0</v>
      </c>
      <c r="AB426" s="10">
        <v>0.11</v>
      </c>
      <c r="AC426" s="1" t="s">
        <v>4674</v>
      </c>
      <c r="AD426" s="1" t="s">
        <v>4675</v>
      </c>
      <c r="AE426" s="1" t="s">
        <v>4676</v>
      </c>
      <c r="AF426" s="1" t="s">
        <v>4677</v>
      </c>
      <c r="AG426" s="1" t="s">
        <v>4676</v>
      </c>
      <c r="AH426" s="1" t="s">
        <v>906</v>
      </c>
      <c r="AI426" s="6">
        <v>7308.0</v>
      </c>
      <c r="AJ426" s="1" t="s">
        <v>224</v>
      </c>
      <c r="AK426" s="1" t="s">
        <v>4678</v>
      </c>
      <c r="AL426" s="1" t="s">
        <v>4679</v>
      </c>
      <c r="AM426" s="11" t="str">
        <f>VLOOKUP(N426,Sheet3!$B$4:$C$10,2,1)</f>
        <v>21-30</v>
      </c>
      <c r="AN426" s="13" t="str">
        <f>VLOOKUP(Z426,Sheet3!$F$4:$G$10,2,1)</f>
        <v>&lt; 5</v>
      </c>
      <c r="AO426" s="5" t="str">
        <f>VLOOKUP(AA426,Sheet3!$I$3:$J$16,2,1)</f>
        <v>180000-200000</v>
      </c>
      <c r="AP426" s="5" t="str">
        <f>VLOOKUP(AB426,Sheet3!$L$4:$M$14,2,1)</f>
        <v>11% - 15%</v>
      </c>
    </row>
    <row r="427">
      <c r="A427" s="6">
        <v>489463.0</v>
      </c>
      <c r="B427" s="1" t="s">
        <v>66</v>
      </c>
      <c r="C427" s="1" t="s">
        <v>4680</v>
      </c>
      <c r="D427" s="1" t="s">
        <v>1300</v>
      </c>
      <c r="E427" s="1" t="s">
        <v>768</v>
      </c>
      <c r="F427" s="1" t="s">
        <v>70</v>
      </c>
      <c r="G427" s="1" t="s">
        <v>4681</v>
      </c>
      <c r="H427" s="1" t="s">
        <v>4643</v>
      </c>
      <c r="I427" s="1" t="s">
        <v>4682</v>
      </c>
      <c r="J427" s="1" t="s">
        <v>4683</v>
      </c>
      <c r="K427" s="1" t="s">
        <v>2816</v>
      </c>
      <c r="L427" s="14">
        <v>33396.0</v>
      </c>
      <c r="M427" s="8">
        <v>0.7705671296296296</v>
      </c>
      <c r="N427" s="6">
        <v>26.16</v>
      </c>
      <c r="O427" s="6">
        <v>82.0</v>
      </c>
      <c r="P427" s="9">
        <v>42175.0</v>
      </c>
      <c r="Q427" s="1" t="s">
        <v>75</v>
      </c>
      <c r="R427" s="1" t="s">
        <v>76</v>
      </c>
      <c r="S427" s="6">
        <v>2015.0</v>
      </c>
      <c r="T427" s="6">
        <v>6.0</v>
      </c>
      <c r="U427" s="1" t="s">
        <v>324</v>
      </c>
      <c r="V427" s="1" t="s">
        <v>325</v>
      </c>
      <c r="W427" s="6">
        <v>20.0</v>
      </c>
      <c r="X427" s="1" t="s">
        <v>56</v>
      </c>
      <c r="Y427" s="1" t="s">
        <v>57</v>
      </c>
      <c r="Z427" s="6">
        <v>2.11</v>
      </c>
      <c r="AA427" s="6">
        <v>151127.0</v>
      </c>
      <c r="AB427" s="10">
        <v>0.29</v>
      </c>
      <c r="AC427" s="1" t="s">
        <v>4684</v>
      </c>
      <c r="AD427" s="1" t="s">
        <v>4685</v>
      </c>
      <c r="AE427" s="1" t="s">
        <v>4686</v>
      </c>
      <c r="AF427" s="1" t="s">
        <v>355</v>
      </c>
      <c r="AG427" s="1" t="s">
        <v>4686</v>
      </c>
      <c r="AH427" s="1" t="s">
        <v>156</v>
      </c>
      <c r="AI427" s="6">
        <v>22973.0</v>
      </c>
      <c r="AJ427" s="1" t="s">
        <v>106</v>
      </c>
      <c r="AK427" s="1" t="s">
        <v>4687</v>
      </c>
      <c r="AL427" s="1" t="s">
        <v>4688</v>
      </c>
      <c r="AM427" s="11" t="str">
        <f>VLOOKUP(N427,Sheet3!$B$4:$C$10,2,1)</f>
        <v>21-30</v>
      </c>
      <c r="AN427" s="13" t="str">
        <f>VLOOKUP(Z427,Sheet3!$F$4:$G$10,2,1)</f>
        <v>&lt; 5</v>
      </c>
      <c r="AO427" s="5" t="str">
        <f>VLOOKUP(AA427,Sheet3!$I$3:$J$16,2,1)</f>
        <v>140000-160000</v>
      </c>
      <c r="AP427" s="5" t="str">
        <f>VLOOKUP(AB427,Sheet3!$L$4:$M$14,2,1)</f>
        <v>26% - 30%</v>
      </c>
    </row>
    <row r="428">
      <c r="A428" s="6">
        <v>763039.0</v>
      </c>
      <c r="B428" s="1" t="s">
        <v>42</v>
      </c>
      <c r="C428" s="1" t="s">
        <v>4689</v>
      </c>
      <c r="D428" s="1" t="s">
        <v>186</v>
      </c>
      <c r="E428" s="1" t="s">
        <v>4690</v>
      </c>
      <c r="F428" s="1" t="s">
        <v>46</v>
      </c>
      <c r="G428" s="1" t="s">
        <v>4691</v>
      </c>
      <c r="H428" s="1" t="s">
        <v>4643</v>
      </c>
      <c r="I428" s="1" t="s">
        <v>4692</v>
      </c>
      <c r="J428" s="1" t="s">
        <v>4693</v>
      </c>
      <c r="K428" s="1" t="s">
        <v>2741</v>
      </c>
      <c r="L428" s="9">
        <v>26689.0</v>
      </c>
      <c r="M428" s="8">
        <v>0.20822916666666666</v>
      </c>
      <c r="N428" s="6">
        <v>44.53</v>
      </c>
      <c r="O428" s="6">
        <v>49.0</v>
      </c>
      <c r="P428" s="9">
        <v>42854.0</v>
      </c>
      <c r="Q428" s="1" t="s">
        <v>75</v>
      </c>
      <c r="R428" s="1" t="s">
        <v>76</v>
      </c>
      <c r="S428" s="6">
        <v>2017.0</v>
      </c>
      <c r="T428" s="6">
        <v>4.0</v>
      </c>
      <c r="U428" s="1" t="s">
        <v>77</v>
      </c>
      <c r="V428" s="1" t="s">
        <v>78</v>
      </c>
      <c r="W428" s="6">
        <v>29.0</v>
      </c>
      <c r="X428" s="1" t="s">
        <v>56</v>
      </c>
      <c r="Y428" s="1" t="s">
        <v>57</v>
      </c>
      <c r="Z428" s="6">
        <v>0.25</v>
      </c>
      <c r="AA428" s="6">
        <v>104526.0</v>
      </c>
      <c r="AB428" s="10">
        <v>0.03</v>
      </c>
      <c r="AC428" s="1" t="s">
        <v>4694</v>
      </c>
      <c r="AD428" s="1" t="s">
        <v>4695</v>
      </c>
      <c r="AE428" s="1" t="s">
        <v>4696</v>
      </c>
      <c r="AF428" s="1" t="s">
        <v>4697</v>
      </c>
      <c r="AG428" s="1" t="s">
        <v>4696</v>
      </c>
      <c r="AH428" s="1" t="s">
        <v>1413</v>
      </c>
      <c r="AI428" s="6">
        <v>80532.0</v>
      </c>
      <c r="AJ428" s="1" t="s">
        <v>63</v>
      </c>
      <c r="AK428" s="1" t="s">
        <v>4698</v>
      </c>
      <c r="AL428" s="1" t="s">
        <v>4699</v>
      </c>
      <c r="AM428" s="11" t="str">
        <f>VLOOKUP(N428,Sheet3!$B$4:$C$10,2,1)</f>
        <v>41-50</v>
      </c>
      <c r="AN428" s="13" t="str">
        <f>VLOOKUP(Z428,Sheet3!$F$4:$G$10,2,1)</f>
        <v>&lt; 5</v>
      </c>
      <c r="AO428" s="5" t="str">
        <f>VLOOKUP(AA428,Sheet3!$I$3:$J$16,2,1)</f>
        <v>100000-120000</v>
      </c>
      <c r="AP428" s="5" t="str">
        <f>VLOOKUP(AB428,Sheet3!$L$4:$M$14,2,1)</f>
        <v>&lt; 5%</v>
      </c>
    </row>
    <row r="429">
      <c r="A429" s="6">
        <v>854365.0</v>
      </c>
      <c r="B429" s="1" t="s">
        <v>42</v>
      </c>
      <c r="C429" s="1" t="s">
        <v>4700</v>
      </c>
      <c r="D429" s="1" t="s">
        <v>1300</v>
      </c>
      <c r="E429" s="1" t="s">
        <v>2786</v>
      </c>
      <c r="F429" s="1" t="s">
        <v>46</v>
      </c>
      <c r="G429" s="1" t="s">
        <v>4701</v>
      </c>
      <c r="H429" s="1" t="s">
        <v>4643</v>
      </c>
      <c r="I429" s="1" t="s">
        <v>4702</v>
      </c>
      <c r="J429" s="1" t="s">
        <v>4703</v>
      </c>
      <c r="K429" s="1" t="s">
        <v>4704</v>
      </c>
      <c r="L429" s="14">
        <v>26370.0</v>
      </c>
      <c r="M429" s="8">
        <v>0.43005787037037035</v>
      </c>
      <c r="N429" s="6">
        <v>45.41</v>
      </c>
      <c r="O429" s="6">
        <v>40.0</v>
      </c>
      <c r="P429" s="14">
        <v>35523.0</v>
      </c>
      <c r="Q429" s="1" t="s">
        <v>75</v>
      </c>
      <c r="R429" s="1" t="s">
        <v>76</v>
      </c>
      <c r="S429" s="6">
        <v>1997.0</v>
      </c>
      <c r="T429" s="6">
        <v>4.0</v>
      </c>
      <c r="U429" s="1" t="s">
        <v>77</v>
      </c>
      <c r="V429" s="1" t="s">
        <v>78</v>
      </c>
      <c r="W429" s="6">
        <v>3.0</v>
      </c>
      <c r="X429" s="1" t="s">
        <v>150</v>
      </c>
      <c r="Y429" s="1" t="s">
        <v>151</v>
      </c>
      <c r="Z429" s="6">
        <v>20.33</v>
      </c>
      <c r="AA429" s="6">
        <v>103499.0</v>
      </c>
      <c r="AB429" s="10">
        <v>0.09</v>
      </c>
      <c r="AC429" s="1" t="s">
        <v>4705</v>
      </c>
      <c r="AD429" s="1" t="s">
        <v>4706</v>
      </c>
      <c r="AE429" s="1" t="s">
        <v>4707</v>
      </c>
      <c r="AF429" s="1" t="s">
        <v>3598</v>
      </c>
      <c r="AG429" s="1" t="s">
        <v>4707</v>
      </c>
      <c r="AH429" s="1" t="s">
        <v>169</v>
      </c>
      <c r="AI429" s="6">
        <v>79776.0</v>
      </c>
      <c r="AJ429" s="1" t="s">
        <v>106</v>
      </c>
      <c r="AK429" s="1" t="s">
        <v>4708</v>
      </c>
      <c r="AL429" s="1" t="s">
        <v>4709</v>
      </c>
      <c r="AM429" s="11" t="str">
        <f>VLOOKUP(N429,Sheet3!$B$4:$C$10,2,1)</f>
        <v>41-50</v>
      </c>
      <c r="AN429" s="12" t="str">
        <f>VLOOKUP(Z429,Sheet3!$F$4:$G$10,2,1)</f>
        <v>11-20</v>
      </c>
      <c r="AO429" s="5" t="str">
        <f>VLOOKUP(AA429,Sheet3!$I$3:$J$16,2,1)</f>
        <v>100000-120000</v>
      </c>
      <c r="AP429" s="5" t="str">
        <f>VLOOKUP(AB429,Sheet3!$L$4:$M$14,2,1)</f>
        <v>5% - 10%</v>
      </c>
    </row>
    <row r="430">
      <c r="A430" s="6">
        <v>233110.0</v>
      </c>
      <c r="B430" s="1" t="s">
        <v>125</v>
      </c>
      <c r="C430" s="1" t="s">
        <v>3943</v>
      </c>
      <c r="D430" s="1" t="s">
        <v>1663</v>
      </c>
      <c r="E430" s="1" t="s">
        <v>2778</v>
      </c>
      <c r="F430" s="1" t="s">
        <v>46</v>
      </c>
      <c r="G430" s="1" t="s">
        <v>4710</v>
      </c>
      <c r="H430" s="1" t="s">
        <v>4643</v>
      </c>
      <c r="I430" s="1" t="s">
        <v>4711</v>
      </c>
      <c r="J430" s="1" t="s">
        <v>4712</v>
      </c>
      <c r="K430" s="1" t="s">
        <v>978</v>
      </c>
      <c r="L430" s="14">
        <v>30082.0</v>
      </c>
      <c r="M430" s="8">
        <v>0.1348148148148148</v>
      </c>
      <c r="N430" s="6">
        <v>35.24</v>
      </c>
      <c r="O430" s="6">
        <v>60.0</v>
      </c>
      <c r="P430" s="9">
        <v>41016.0</v>
      </c>
      <c r="Q430" s="1" t="s">
        <v>75</v>
      </c>
      <c r="R430" s="1" t="s">
        <v>76</v>
      </c>
      <c r="S430" s="6">
        <v>2012.0</v>
      </c>
      <c r="T430" s="6">
        <v>4.0</v>
      </c>
      <c r="U430" s="1" t="s">
        <v>77</v>
      </c>
      <c r="V430" s="1" t="s">
        <v>78</v>
      </c>
      <c r="W430" s="6">
        <v>17.0</v>
      </c>
      <c r="X430" s="1" t="s">
        <v>79</v>
      </c>
      <c r="Y430" s="1" t="s">
        <v>80</v>
      </c>
      <c r="Z430" s="6">
        <v>5.28</v>
      </c>
      <c r="AA430" s="6">
        <v>159071.0</v>
      </c>
      <c r="AB430" s="10">
        <v>0.18</v>
      </c>
      <c r="AC430" s="1" t="s">
        <v>4713</v>
      </c>
      <c r="AD430" s="1" t="s">
        <v>4714</v>
      </c>
      <c r="AE430" s="1" t="s">
        <v>4715</v>
      </c>
      <c r="AF430" s="1" t="s">
        <v>4677</v>
      </c>
      <c r="AG430" s="1" t="s">
        <v>4715</v>
      </c>
      <c r="AH430" s="1" t="s">
        <v>906</v>
      </c>
      <c r="AI430" s="6">
        <v>7047.0</v>
      </c>
      <c r="AJ430" s="1" t="s">
        <v>224</v>
      </c>
      <c r="AK430" s="1" t="s">
        <v>4716</v>
      </c>
      <c r="AL430" s="1" t="s">
        <v>4717</v>
      </c>
      <c r="AM430" s="11" t="str">
        <f>VLOOKUP(N430,Sheet3!$B$4:$C$10,2,1)</f>
        <v>31-40</v>
      </c>
      <c r="AN430" s="12" t="str">
        <f>VLOOKUP(Z430,Sheet3!$F$4:$G$10,2,1)</f>
        <v>5-10</v>
      </c>
      <c r="AO430" s="5" t="str">
        <f>VLOOKUP(AA430,Sheet3!$I$3:$J$16,2,1)</f>
        <v>140000-160000</v>
      </c>
      <c r="AP430" s="5" t="str">
        <f>VLOOKUP(AB430,Sheet3!$L$4:$M$14,2,1)</f>
        <v>16% - 20%</v>
      </c>
    </row>
    <row r="431">
      <c r="A431" s="6">
        <v>416483.0</v>
      </c>
      <c r="B431" s="1" t="s">
        <v>66</v>
      </c>
      <c r="C431" s="1" t="s">
        <v>2715</v>
      </c>
      <c r="D431" s="1" t="s">
        <v>242</v>
      </c>
      <c r="E431" s="1" t="s">
        <v>4718</v>
      </c>
      <c r="F431" s="1" t="s">
        <v>70</v>
      </c>
      <c r="G431" s="1" t="s">
        <v>4719</v>
      </c>
      <c r="H431" s="1" t="s">
        <v>4643</v>
      </c>
      <c r="I431" s="1" t="s">
        <v>4720</v>
      </c>
      <c r="J431" s="1" t="s">
        <v>4721</v>
      </c>
      <c r="K431" s="1" t="s">
        <v>4722</v>
      </c>
      <c r="L431" s="14">
        <v>30171.0</v>
      </c>
      <c r="M431" s="8">
        <v>0.29193287037037036</v>
      </c>
      <c r="N431" s="6">
        <v>34.99</v>
      </c>
      <c r="O431" s="6">
        <v>76.0</v>
      </c>
      <c r="P431" s="9">
        <v>38136.0</v>
      </c>
      <c r="Q431" s="1" t="s">
        <v>75</v>
      </c>
      <c r="R431" s="1" t="s">
        <v>76</v>
      </c>
      <c r="S431" s="6">
        <v>2004.0</v>
      </c>
      <c r="T431" s="6">
        <v>5.0</v>
      </c>
      <c r="U431" s="1" t="s">
        <v>294</v>
      </c>
      <c r="V431" s="1" t="s">
        <v>294</v>
      </c>
      <c r="W431" s="6">
        <v>29.0</v>
      </c>
      <c r="X431" s="1" t="s">
        <v>56</v>
      </c>
      <c r="Y431" s="1" t="s">
        <v>57</v>
      </c>
      <c r="Z431" s="6">
        <v>13.17</v>
      </c>
      <c r="AA431" s="6">
        <v>144885.0</v>
      </c>
      <c r="AB431" s="10">
        <v>0.27</v>
      </c>
      <c r="AC431" s="1" t="s">
        <v>4723</v>
      </c>
      <c r="AD431" s="1" t="s">
        <v>4724</v>
      </c>
      <c r="AE431" s="1" t="s">
        <v>4725</v>
      </c>
      <c r="AF431" s="1" t="s">
        <v>4726</v>
      </c>
      <c r="AG431" s="1" t="s">
        <v>4725</v>
      </c>
      <c r="AH431" s="1" t="s">
        <v>893</v>
      </c>
      <c r="AI431" s="6">
        <v>27107.0</v>
      </c>
      <c r="AJ431" s="1" t="s">
        <v>106</v>
      </c>
      <c r="AK431" s="1" t="s">
        <v>4727</v>
      </c>
      <c r="AL431" s="1" t="s">
        <v>4728</v>
      </c>
      <c r="AM431" s="11" t="str">
        <f>VLOOKUP(N431,Sheet3!$B$4:$C$10,2,1)</f>
        <v>31-40</v>
      </c>
      <c r="AN431" s="12" t="str">
        <f>VLOOKUP(Z431,Sheet3!$F$4:$G$10,2,1)</f>
        <v>11-20</v>
      </c>
      <c r="AO431" s="5" t="str">
        <f>VLOOKUP(AA431,Sheet3!$I$3:$J$16,2,1)</f>
        <v>140000-160000</v>
      </c>
      <c r="AP431" s="5" t="str">
        <f>VLOOKUP(AB431,Sheet3!$L$4:$M$14,2,1)</f>
        <v>26% - 30%</v>
      </c>
    </row>
    <row r="432">
      <c r="A432" s="6">
        <v>629763.0</v>
      </c>
      <c r="B432" s="1" t="s">
        <v>125</v>
      </c>
      <c r="C432" s="1" t="s">
        <v>4729</v>
      </c>
      <c r="D432" s="1" t="s">
        <v>200</v>
      </c>
      <c r="E432" s="1" t="s">
        <v>2690</v>
      </c>
      <c r="F432" s="1" t="s">
        <v>70</v>
      </c>
      <c r="G432" s="1" t="s">
        <v>4730</v>
      </c>
      <c r="H432" s="1" t="s">
        <v>4643</v>
      </c>
      <c r="I432" s="1" t="s">
        <v>4731</v>
      </c>
      <c r="J432" s="1" t="s">
        <v>4732</v>
      </c>
      <c r="K432" s="1" t="s">
        <v>3894</v>
      </c>
      <c r="L432" s="14">
        <v>22925.0</v>
      </c>
      <c r="M432" s="8">
        <v>0.7743634259259259</v>
      </c>
      <c r="N432" s="6">
        <v>54.85</v>
      </c>
      <c r="O432" s="6">
        <v>79.0</v>
      </c>
      <c r="P432" s="9">
        <v>41351.0</v>
      </c>
      <c r="Q432" s="1" t="s">
        <v>96</v>
      </c>
      <c r="R432" s="1" t="s">
        <v>76</v>
      </c>
      <c r="S432" s="6">
        <v>2013.0</v>
      </c>
      <c r="T432" s="6">
        <v>3.0</v>
      </c>
      <c r="U432" s="1" t="s">
        <v>97</v>
      </c>
      <c r="V432" s="1" t="s">
        <v>98</v>
      </c>
      <c r="W432" s="6">
        <v>18.0</v>
      </c>
      <c r="X432" s="1" t="s">
        <v>99</v>
      </c>
      <c r="Y432" s="1" t="s">
        <v>100</v>
      </c>
      <c r="Z432" s="6">
        <v>4.36</v>
      </c>
      <c r="AA432" s="6">
        <v>79853.0</v>
      </c>
      <c r="AB432" s="10">
        <v>0.16</v>
      </c>
      <c r="AC432" s="1" t="s">
        <v>4733</v>
      </c>
      <c r="AD432" s="1" t="s">
        <v>4734</v>
      </c>
      <c r="AE432" s="1" t="s">
        <v>4735</v>
      </c>
      <c r="AF432" s="1" t="s">
        <v>4736</v>
      </c>
      <c r="AG432" s="1" t="s">
        <v>4735</v>
      </c>
      <c r="AH432" s="1" t="s">
        <v>223</v>
      </c>
      <c r="AI432" s="6">
        <v>18822.0</v>
      </c>
      <c r="AJ432" s="1" t="s">
        <v>224</v>
      </c>
      <c r="AK432" s="1" t="s">
        <v>4737</v>
      </c>
      <c r="AL432" s="1" t="s">
        <v>4738</v>
      </c>
      <c r="AM432" s="11" t="str">
        <f>VLOOKUP(N432,Sheet3!$B$4:$C$10,2,1)</f>
        <v>51-60</v>
      </c>
      <c r="AN432" s="13" t="str">
        <f>VLOOKUP(Z432,Sheet3!$F$4:$G$10,2,1)</f>
        <v>&lt; 5</v>
      </c>
      <c r="AO432" s="5" t="str">
        <f>VLOOKUP(AA432,Sheet3!$I$3:$J$16,2,1)</f>
        <v>60000-80000</v>
      </c>
      <c r="AP432" s="5" t="str">
        <f>VLOOKUP(AB432,Sheet3!$L$4:$M$14,2,1)</f>
        <v>16% - 20%</v>
      </c>
    </row>
    <row r="433">
      <c r="A433" s="6">
        <v>755278.0</v>
      </c>
      <c r="B433" s="1" t="s">
        <v>66</v>
      </c>
      <c r="C433" s="1" t="s">
        <v>4739</v>
      </c>
      <c r="D433" s="1" t="s">
        <v>288</v>
      </c>
      <c r="E433" s="1" t="s">
        <v>4740</v>
      </c>
      <c r="F433" s="1" t="s">
        <v>70</v>
      </c>
      <c r="G433" s="1" t="s">
        <v>4741</v>
      </c>
      <c r="H433" s="1" t="s">
        <v>4643</v>
      </c>
      <c r="I433" s="1" t="s">
        <v>4742</v>
      </c>
      <c r="J433" s="1" t="s">
        <v>4743</v>
      </c>
      <c r="K433" s="1" t="s">
        <v>4744</v>
      </c>
      <c r="L433" s="9">
        <v>34773.0</v>
      </c>
      <c r="M433" s="8">
        <v>0.21709490740740742</v>
      </c>
      <c r="N433" s="6">
        <v>22.39</v>
      </c>
      <c r="O433" s="6">
        <v>86.0</v>
      </c>
      <c r="P433" s="9">
        <v>42535.0</v>
      </c>
      <c r="Q433" s="1" t="s">
        <v>75</v>
      </c>
      <c r="R433" s="1" t="s">
        <v>76</v>
      </c>
      <c r="S433" s="6">
        <v>2016.0</v>
      </c>
      <c r="T433" s="6">
        <v>6.0</v>
      </c>
      <c r="U433" s="1" t="s">
        <v>324</v>
      </c>
      <c r="V433" s="1" t="s">
        <v>325</v>
      </c>
      <c r="W433" s="6">
        <v>14.0</v>
      </c>
      <c r="X433" s="1" t="s">
        <v>79</v>
      </c>
      <c r="Y433" s="1" t="s">
        <v>80</v>
      </c>
      <c r="Z433" s="6">
        <v>1.12</v>
      </c>
      <c r="AA433" s="6">
        <v>187715.0</v>
      </c>
      <c r="AB433" s="10">
        <v>0.16</v>
      </c>
      <c r="AC433" s="1" t="s">
        <v>4745</v>
      </c>
      <c r="AD433" s="1" t="s">
        <v>4746</v>
      </c>
      <c r="AE433" s="1" t="s">
        <v>1539</v>
      </c>
      <c r="AF433" s="1" t="s">
        <v>1539</v>
      </c>
      <c r="AG433" s="1" t="s">
        <v>1539</v>
      </c>
      <c r="AH433" s="1" t="s">
        <v>238</v>
      </c>
      <c r="AI433" s="6">
        <v>92862.0</v>
      </c>
      <c r="AJ433" s="1" t="s">
        <v>63</v>
      </c>
      <c r="AK433" s="1" t="s">
        <v>4747</v>
      </c>
      <c r="AL433" s="1" t="s">
        <v>4748</v>
      </c>
      <c r="AM433" s="11" t="str">
        <f>VLOOKUP(N433,Sheet3!$B$4:$C$10,2,1)</f>
        <v>21-30</v>
      </c>
      <c r="AN433" s="13" t="str">
        <f>VLOOKUP(Z433,Sheet3!$F$4:$G$10,2,1)</f>
        <v>&lt; 5</v>
      </c>
      <c r="AO433" s="5" t="str">
        <f>VLOOKUP(AA433,Sheet3!$I$3:$J$16,2,1)</f>
        <v>180000-200000</v>
      </c>
      <c r="AP433" s="5" t="str">
        <f>VLOOKUP(AB433,Sheet3!$L$4:$M$14,2,1)</f>
        <v>16% - 20%</v>
      </c>
    </row>
    <row r="434">
      <c r="A434" s="6">
        <v>471560.0</v>
      </c>
      <c r="B434" s="1" t="s">
        <v>66</v>
      </c>
      <c r="C434" s="1" t="s">
        <v>4749</v>
      </c>
      <c r="D434" s="1" t="s">
        <v>403</v>
      </c>
      <c r="E434" s="1" t="s">
        <v>2173</v>
      </c>
      <c r="F434" s="1" t="s">
        <v>70</v>
      </c>
      <c r="G434" s="1" t="s">
        <v>4750</v>
      </c>
      <c r="H434" s="1" t="s">
        <v>4643</v>
      </c>
      <c r="I434" s="1" t="s">
        <v>4751</v>
      </c>
      <c r="J434" s="1" t="s">
        <v>4752</v>
      </c>
      <c r="K434" s="1" t="s">
        <v>2383</v>
      </c>
      <c r="L434" s="9">
        <v>30648.0</v>
      </c>
      <c r="M434" s="8">
        <v>0.8688425925925926</v>
      </c>
      <c r="N434" s="6">
        <v>33.69</v>
      </c>
      <c r="O434" s="6">
        <v>88.0</v>
      </c>
      <c r="P434" s="9">
        <v>41409.0</v>
      </c>
      <c r="Q434" s="1" t="s">
        <v>75</v>
      </c>
      <c r="R434" s="1" t="s">
        <v>76</v>
      </c>
      <c r="S434" s="6">
        <v>2013.0</v>
      </c>
      <c r="T434" s="6">
        <v>5.0</v>
      </c>
      <c r="U434" s="1" t="s">
        <v>294</v>
      </c>
      <c r="V434" s="1" t="s">
        <v>294</v>
      </c>
      <c r="W434" s="6">
        <v>15.0</v>
      </c>
      <c r="X434" s="1" t="s">
        <v>278</v>
      </c>
      <c r="Y434" s="1" t="s">
        <v>279</v>
      </c>
      <c r="Z434" s="6">
        <v>4.21</v>
      </c>
      <c r="AA434" s="6">
        <v>75839.0</v>
      </c>
      <c r="AB434" s="10">
        <v>0.15</v>
      </c>
      <c r="AC434" s="1" t="s">
        <v>4753</v>
      </c>
      <c r="AD434" s="1" t="s">
        <v>4754</v>
      </c>
      <c r="AE434" s="1" t="s">
        <v>2750</v>
      </c>
      <c r="AF434" s="1" t="s">
        <v>283</v>
      </c>
      <c r="AG434" s="1" t="s">
        <v>2750</v>
      </c>
      <c r="AH434" s="1" t="s">
        <v>1032</v>
      </c>
      <c r="AI434" s="6">
        <v>67438.0</v>
      </c>
      <c r="AJ434" s="1" t="s">
        <v>86</v>
      </c>
      <c r="AK434" s="1" t="s">
        <v>4755</v>
      </c>
      <c r="AL434" s="1" t="s">
        <v>4756</v>
      </c>
      <c r="AM434" s="11" t="str">
        <f>VLOOKUP(N434,Sheet3!$B$4:$C$10,2,1)</f>
        <v>31-40</v>
      </c>
      <c r="AN434" s="13" t="str">
        <f>VLOOKUP(Z434,Sheet3!$F$4:$G$10,2,1)</f>
        <v>&lt; 5</v>
      </c>
      <c r="AO434" s="5" t="str">
        <f>VLOOKUP(AA434,Sheet3!$I$3:$J$16,2,1)</f>
        <v>60000-80000</v>
      </c>
      <c r="AP434" s="5" t="str">
        <f>VLOOKUP(AB434,Sheet3!$L$4:$M$14,2,1)</f>
        <v>11% - 15%</v>
      </c>
    </row>
    <row r="435">
      <c r="A435" s="6">
        <v>988676.0</v>
      </c>
      <c r="B435" s="1" t="s">
        <v>66</v>
      </c>
      <c r="C435" s="1" t="s">
        <v>4757</v>
      </c>
      <c r="D435" s="1" t="s">
        <v>111</v>
      </c>
      <c r="E435" s="1" t="s">
        <v>4061</v>
      </c>
      <c r="F435" s="1" t="s">
        <v>70</v>
      </c>
      <c r="G435" s="1" t="s">
        <v>4758</v>
      </c>
      <c r="H435" s="1" t="s">
        <v>4643</v>
      </c>
      <c r="I435" s="1" t="s">
        <v>4759</v>
      </c>
      <c r="J435" s="1" t="s">
        <v>4760</v>
      </c>
      <c r="K435" s="1" t="s">
        <v>4761</v>
      </c>
      <c r="L435" s="14">
        <v>28828.0</v>
      </c>
      <c r="M435" s="8">
        <v>0.5503356481481482</v>
      </c>
      <c r="N435" s="6">
        <v>38.67</v>
      </c>
      <c r="O435" s="6">
        <v>51.0</v>
      </c>
      <c r="P435" s="14">
        <v>41460.0</v>
      </c>
      <c r="Q435" s="1" t="s">
        <v>308</v>
      </c>
      <c r="R435" s="1" t="s">
        <v>53</v>
      </c>
      <c r="S435" s="6">
        <v>2013.0</v>
      </c>
      <c r="T435" s="6">
        <v>7.0</v>
      </c>
      <c r="U435" s="1" t="s">
        <v>366</v>
      </c>
      <c r="V435" s="1" t="s">
        <v>367</v>
      </c>
      <c r="W435" s="6">
        <v>5.0</v>
      </c>
      <c r="X435" s="1" t="s">
        <v>263</v>
      </c>
      <c r="Y435" s="1" t="s">
        <v>264</v>
      </c>
      <c r="Z435" s="6">
        <v>4.07</v>
      </c>
      <c r="AA435" s="6">
        <v>86337.0</v>
      </c>
      <c r="AB435" s="10">
        <v>0.19</v>
      </c>
      <c r="AC435" s="1" t="s">
        <v>4762</v>
      </c>
      <c r="AD435" s="1" t="s">
        <v>4763</v>
      </c>
      <c r="AE435" s="1" t="s">
        <v>4764</v>
      </c>
      <c r="AF435" s="1" t="s">
        <v>4764</v>
      </c>
      <c r="AG435" s="1" t="s">
        <v>4764</v>
      </c>
      <c r="AH435" s="1" t="s">
        <v>1505</v>
      </c>
      <c r="AI435" s="6">
        <v>56463.0</v>
      </c>
      <c r="AJ435" s="1" t="s">
        <v>86</v>
      </c>
      <c r="AK435" s="1" t="s">
        <v>4765</v>
      </c>
      <c r="AL435" s="1" t="s">
        <v>4766</v>
      </c>
      <c r="AM435" s="11" t="str">
        <f>VLOOKUP(N435,Sheet3!$B$4:$C$10,2,1)</f>
        <v>31-40</v>
      </c>
      <c r="AN435" s="13" t="str">
        <f>VLOOKUP(Z435,Sheet3!$F$4:$G$10,2,1)</f>
        <v>&lt; 5</v>
      </c>
      <c r="AO435" s="5" t="str">
        <f>VLOOKUP(AA435,Sheet3!$I$3:$J$16,2,1)</f>
        <v>80000-100000</v>
      </c>
      <c r="AP435" s="5" t="str">
        <f>VLOOKUP(AB435,Sheet3!$L$4:$M$14,2,1)</f>
        <v>16% - 20%</v>
      </c>
    </row>
    <row r="436">
      <c r="A436" s="6">
        <v>606109.0</v>
      </c>
      <c r="B436" s="1" t="s">
        <v>66</v>
      </c>
      <c r="C436" s="1" t="s">
        <v>4767</v>
      </c>
      <c r="D436" s="1" t="s">
        <v>70</v>
      </c>
      <c r="E436" s="1" t="s">
        <v>2165</v>
      </c>
      <c r="F436" s="1" t="s">
        <v>70</v>
      </c>
      <c r="G436" s="1" t="s">
        <v>4768</v>
      </c>
      <c r="H436" s="1" t="s">
        <v>4643</v>
      </c>
      <c r="I436" s="1" t="s">
        <v>4769</v>
      </c>
      <c r="J436" s="1" t="s">
        <v>4770</v>
      </c>
      <c r="K436" s="1" t="s">
        <v>3454</v>
      </c>
      <c r="L436" s="9">
        <v>24090.0</v>
      </c>
      <c r="M436" s="8">
        <v>0.06539351851851852</v>
      </c>
      <c r="N436" s="6">
        <v>51.65</v>
      </c>
      <c r="O436" s="6">
        <v>58.0</v>
      </c>
      <c r="P436" s="9">
        <v>37121.0</v>
      </c>
      <c r="Q436" s="1" t="s">
        <v>308</v>
      </c>
      <c r="R436" s="1" t="s">
        <v>53</v>
      </c>
      <c r="S436" s="6">
        <v>2001.0</v>
      </c>
      <c r="T436" s="6">
        <v>8.0</v>
      </c>
      <c r="U436" s="1" t="s">
        <v>433</v>
      </c>
      <c r="V436" s="1" t="s">
        <v>434</v>
      </c>
      <c r="W436" s="6">
        <v>18.0</v>
      </c>
      <c r="X436" s="1" t="s">
        <v>56</v>
      </c>
      <c r="Y436" s="1" t="s">
        <v>57</v>
      </c>
      <c r="Z436" s="6">
        <v>15.95</v>
      </c>
      <c r="AA436" s="6">
        <v>100224.0</v>
      </c>
      <c r="AB436" s="10">
        <v>0.16</v>
      </c>
      <c r="AC436" s="1" t="s">
        <v>4771</v>
      </c>
      <c r="AD436" s="1" t="s">
        <v>4772</v>
      </c>
      <c r="AE436" s="1" t="s">
        <v>4773</v>
      </c>
      <c r="AF436" s="1" t="s">
        <v>4774</v>
      </c>
      <c r="AG436" s="1" t="s">
        <v>4773</v>
      </c>
      <c r="AH436" s="1" t="s">
        <v>299</v>
      </c>
      <c r="AI436" s="6">
        <v>73009.0</v>
      </c>
      <c r="AJ436" s="1" t="s">
        <v>106</v>
      </c>
      <c r="AK436" s="1" t="s">
        <v>4775</v>
      </c>
      <c r="AL436" s="1" t="s">
        <v>4776</v>
      </c>
      <c r="AM436" s="11" t="str">
        <f>VLOOKUP(N436,Sheet3!$B$4:$C$10,2,1)</f>
        <v>51-60</v>
      </c>
      <c r="AN436" s="12" t="str">
        <f>VLOOKUP(Z436,Sheet3!$F$4:$G$10,2,1)</f>
        <v>11-20</v>
      </c>
      <c r="AO436" s="5" t="str">
        <f>VLOOKUP(AA436,Sheet3!$I$3:$J$16,2,1)</f>
        <v>100000-120000</v>
      </c>
      <c r="AP436" s="5" t="str">
        <f>VLOOKUP(AB436,Sheet3!$L$4:$M$14,2,1)</f>
        <v>16% - 20%</v>
      </c>
    </row>
    <row r="437">
      <c r="A437" s="6">
        <v>414129.0</v>
      </c>
      <c r="B437" s="1" t="s">
        <v>66</v>
      </c>
      <c r="C437" s="1" t="s">
        <v>4749</v>
      </c>
      <c r="D437" s="1" t="s">
        <v>242</v>
      </c>
      <c r="E437" s="1" t="s">
        <v>4777</v>
      </c>
      <c r="F437" s="1" t="s">
        <v>70</v>
      </c>
      <c r="G437" s="1" t="s">
        <v>4778</v>
      </c>
      <c r="H437" s="1" t="s">
        <v>4643</v>
      </c>
      <c r="I437" s="1" t="s">
        <v>4779</v>
      </c>
      <c r="J437" s="1" t="s">
        <v>4780</v>
      </c>
      <c r="K437" s="1" t="s">
        <v>1386</v>
      </c>
      <c r="L437" s="14">
        <v>22136.0</v>
      </c>
      <c r="M437" s="8">
        <v>0.7614467592592593</v>
      </c>
      <c r="N437" s="6">
        <v>57.01</v>
      </c>
      <c r="O437" s="6">
        <v>54.0</v>
      </c>
      <c r="P437" s="9">
        <v>36908.0</v>
      </c>
      <c r="Q437" s="1" t="s">
        <v>96</v>
      </c>
      <c r="R437" s="1" t="s">
        <v>76</v>
      </c>
      <c r="S437" s="6">
        <v>2001.0</v>
      </c>
      <c r="T437" s="6">
        <v>1.0</v>
      </c>
      <c r="U437" s="1" t="s">
        <v>276</v>
      </c>
      <c r="V437" s="1" t="s">
        <v>277</v>
      </c>
      <c r="W437" s="6">
        <v>17.0</v>
      </c>
      <c r="X437" s="1" t="s">
        <v>278</v>
      </c>
      <c r="Y437" s="1" t="s">
        <v>279</v>
      </c>
      <c r="Z437" s="6">
        <v>16.54</v>
      </c>
      <c r="AA437" s="6">
        <v>152421.0</v>
      </c>
      <c r="AB437" s="10">
        <v>0.1</v>
      </c>
      <c r="AC437" s="1" t="s">
        <v>4781</v>
      </c>
      <c r="AD437" s="1" t="s">
        <v>4782</v>
      </c>
      <c r="AE437" s="1" t="s">
        <v>4783</v>
      </c>
      <c r="AF437" s="1" t="s">
        <v>4784</v>
      </c>
      <c r="AG437" s="1" t="s">
        <v>4783</v>
      </c>
      <c r="AH437" s="1" t="s">
        <v>169</v>
      </c>
      <c r="AI437" s="6">
        <v>79046.0</v>
      </c>
      <c r="AJ437" s="1" t="s">
        <v>106</v>
      </c>
      <c r="AK437" s="1" t="s">
        <v>4785</v>
      </c>
      <c r="AL437" s="1" t="s">
        <v>4786</v>
      </c>
      <c r="AM437" s="11" t="str">
        <f>VLOOKUP(N437,Sheet3!$B$4:$C$10,2,1)</f>
        <v>51-60</v>
      </c>
      <c r="AN437" s="12" t="str">
        <f>VLOOKUP(Z437,Sheet3!$F$4:$G$10,2,1)</f>
        <v>11-20</v>
      </c>
      <c r="AO437" s="5" t="str">
        <f>VLOOKUP(AA437,Sheet3!$I$3:$J$16,2,1)</f>
        <v>140000-160000</v>
      </c>
      <c r="AP437" s="5" t="str">
        <f>VLOOKUP(AB437,Sheet3!$L$4:$M$14,2,1)</f>
        <v>5% - 10%</v>
      </c>
    </row>
    <row r="438">
      <c r="A438" s="6">
        <v>286890.0</v>
      </c>
      <c r="B438" s="1" t="s">
        <v>109</v>
      </c>
      <c r="C438" s="1" t="s">
        <v>4787</v>
      </c>
      <c r="D438" s="1" t="s">
        <v>416</v>
      </c>
      <c r="E438" s="1" t="s">
        <v>2893</v>
      </c>
      <c r="F438" s="1" t="s">
        <v>46</v>
      </c>
      <c r="G438" s="1" t="s">
        <v>4788</v>
      </c>
      <c r="H438" s="1" t="s">
        <v>4643</v>
      </c>
      <c r="I438" s="1" t="s">
        <v>4789</v>
      </c>
      <c r="J438" s="1" t="s">
        <v>4790</v>
      </c>
      <c r="K438" s="1" t="s">
        <v>1963</v>
      </c>
      <c r="L438" s="9">
        <v>22035.0</v>
      </c>
      <c r="M438" s="8">
        <v>0.9632291666666667</v>
      </c>
      <c r="N438" s="6">
        <v>57.28</v>
      </c>
      <c r="O438" s="6">
        <v>41.0</v>
      </c>
      <c r="P438" s="14">
        <v>38412.0</v>
      </c>
      <c r="Q438" s="1" t="s">
        <v>96</v>
      </c>
      <c r="R438" s="1" t="s">
        <v>76</v>
      </c>
      <c r="S438" s="6">
        <v>2005.0</v>
      </c>
      <c r="T438" s="6">
        <v>3.0</v>
      </c>
      <c r="U438" s="1" t="s">
        <v>97</v>
      </c>
      <c r="V438" s="1" t="s">
        <v>98</v>
      </c>
      <c r="W438" s="6">
        <v>1.0</v>
      </c>
      <c r="X438" s="1" t="s">
        <v>79</v>
      </c>
      <c r="Y438" s="1" t="s">
        <v>80</v>
      </c>
      <c r="Z438" s="6">
        <v>12.42</v>
      </c>
      <c r="AA438" s="6">
        <v>144259.0</v>
      </c>
      <c r="AB438" s="10">
        <v>0.01</v>
      </c>
      <c r="AC438" s="1" t="s">
        <v>4791</v>
      </c>
      <c r="AD438" s="1" t="s">
        <v>4792</v>
      </c>
      <c r="AE438" s="1" t="s">
        <v>4793</v>
      </c>
      <c r="AF438" s="1" t="s">
        <v>4794</v>
      </c>
      <c r="AG438" s="1" t="s">
        <v>4793</v>
      </c>
      <c r="AH438" s="1" t="s">
        <v>85</v>
      </c>
      <c r="AI438" s="6">
        <v>49825.0</v>
      </c>
      <c r="AJ438" s="1" t="s">
        <v>86</v>
      </c>
      <c r="AK438" s="1" t="s">
        <v>4795</v>
      </c>
      <c r="AL438" s="1" t="s">
        <v>4796</v>
      </c>
      <c r="AM438" s="11" t="str">
        <f>VLOOKUP(N438,Sheet3!$B$4:$C$10,2,1)</f>
        <v>51-60</v>
      </c>
      <c r="AN438" s="12" t="str">
        <f>VLOOKUP(Z438,Sheet3!$F$4:$G$10,2,1)</f>
        <v>11-20</v>
      </c>
      <c r="AO438" s="5" t="str">
        <f>VLOOKUP(AA438,Sheet3!$I$3:$J$16,2,1)</f>
        <v>140000-160000</v>
      </c>
      <c r="AP438" s="5" t="str">
        <f>VLOOKUP(AB438,Sheet3!$L$4:$M$14,2,1)</f>
        <v>&lt; 5%</v>
      </c>
    </row>
    <row r="439">
      <c r="A439" s="6">
        <v>944811.0</v>
      </c>
      <c r="B439" s="1" t="s">
        <v>109</v>
      </c>
      <c r="C439" s="1" t="s">
        <v>4797</v>
      </c>
      <c r="D439" s="1" t="s">
        <v>416</v>
      </c>
      <c r="E439" s="1" t="s">
        <v>2127</v>
      </c>
      <c r="F439" s="1" t="s">
        <v>46</v>
      </c>
      <c r="G439" s="1" t="s">
        <v>4798</v>
      </c>
      <c r="H439" s="1" t="s">
        <v>4643</v>
      </c>
      <c r="I439" s="1" t="s">
        <v>4799</v>
      </c>
      <c r="J439" s="1" t="s">
        <v>4800</v>
      </c>
      <c r="K439" s="1" t="s">
        <v>4718</v>
      </c>
      <c r="L439" s="9">
        <v>28958.0</v>
      </c>
      <c r="M439" s="8">
        <v>0.40850694444444446</v>
      </c>
      <c r="N439" s="6">
        <v>38.32</v>
      </c>
      <c r="O439" s="6">
        <v>47.0</v>
      </c>
      <c r="P439" s="9">
        <v>38592.0</v>
      </c>
      <c r="Q439" s="1" t="s">
        <v>308</v>
      </c>
      <c r="R439" s="1" t="s">
        <v>53</v>
      </c>
      <c r="S439" s="6">
        <v>2005.0</v>
      </c>
      <c r="T439" s="6">
        <v>8.0</v>
      </c>
      <c r="U439" s="1" t="s">
        <v>433</v>
      </c>
      <c r="V439" s="1" t="s">
        <v>434</v>
      </c>
      <c r="W439" s="6">
        <v>28.0</v>
      </c>
      <c r="X439" s="1" t="s">
        <v>534</v>
      </c>
      <c r="Y439" s="1" t="s">
        <v>535</v>
      </c>
      <c r="Z439" s="6">
        <v>11.92</v>
      </c>
      <c r="AA439" s="6">
        <v>193461.0</v>
      </c>
      <c r="AB439" s="10">
        <v>0.08</v>
      </c>
      <c r="AC439" s="1" t="s">
        <v>4801</v>
      </c>
      <c r="AD439" s="1" t="s">
        <v>4802</v>
      </c>
      <c r="AE439" s="1" t="s">
        <v>4803</v>
      </c>
      <c r="AF439" s="1" t="s">
        <v>4804</v>
      </c>
      <c r="AG439" s="1" t="s">
        <v>4803</v>
      </c>
      <c r="AH439" s="1" t="s">
        <v>1561</v>
      </c>
      <c r="AI439" s="6">
        <v>53074.0</v>
      </c>
      <c r="AJ439" s="1" t="s">
        <v>86</v>
      </c>
      <c r="AK439" s="1" t="s">
        <v>3144</v>
      </c>
      <c r="AL439" s="1" t="s">
        <v>4805</v>
      </c>
      <c r="AM439" s="11" t="str">
        <f>VLOOKUP(N439,Sheet3!$B$4:$C$10,2,1)</f>
        <v>31-40</v>
      </c>
      <c r="AN439" s="12" t="str">
        <f>VLOOKUP(Z439,Sheet3!$F$4:$G$10,2,1)</f>
        <v>11-20</v>
      </c>
      <c r="AO439" s="5" t="str">
        <f>VLOOKUP(AA439,Sheet3!$I$3:$J$16,2,1)</f>
        <v>180000-200000</v>
      </c>
      <c r="AP439" s="5" t="str">
        <f>VLOOKUP(AB439,Sheet3!$L$4:$M$14,2,1)</f>
        <v>5% - 10%</v>
      </c>
    </row>
    <row r="440">
      <c r="A440" s="6">
        <v>975770.0</v>
      </c>
      <c r="B440" s="1" t="s">
        <v>66</v>
      </c>
      <c r="C440" s="1" t="s">
        <v>4050</v>
      </c>
      <c r="D440" s="1" t="s">
        <v>46</v>
      </c>
      <c r="E440" s="1" t="s">
        <v>3918</v>
      </c>
      <c r="F440" s="1" t="s">
        <v>70</v>
      </c>
      <c r="G440" s="1" t="s">
        <v>4806</v>
      </c>
      <c r="H440" s="1" t="s">
        <v>4643</v>
      </c>
      <c r="I440" s="1" t="s">
        <v>4807</v>
      </c>
      <c r="J440" s="1" t="s">
        <v>4808</v>
      </c>
      <c r="K440" s="1" t="s">
        <v>4809</v>
      </c>
      <c r="L440" s="14">
        <v>26492.0</v>
      </c>
      <c r="M440" s="8">
        <v>0.9041435185185185</v>
      </c>
      <c r="N440" s="6">
        <v>45.07</v>
      </c>
      <c r="O440" s="6">
        <v>75.0</v>
      </c>
      <c r="P440" s="14">
        <v>34973.0</v>
      </c>
      <c r="Q440" s="1" t="s">
        <v>52</v>
      </c>
      <c r="R440" s="1" t="s">
        <v>53</v>
      </c>
      <c r="S440" s="6">
        <v>1995.0</v>
      </c>
      <c r="T440" s="6">
        <v>10.0</v>
      </c>
      <c r="U440" s="1" t="s">
        <v>133</v>
      </c>
      <c r="V440" s="1" t="s">
        <v>134</v>
      </c>
      <c r="W440" s="6">
        <v>1.0</v>
      </c>
      <c r="X440" s="1" t="s">
        <v>534</v>
      </c>
      <c r="Y440" s="1" t="s">
        <v>535</v>
      </c>
      <c r="Z440" s="6">
        <v>21.84</v>
      </c>
      <c r="AA440" s="6">
        <v>161705.0</v>
      </c>
      <c r="AB440" s="10">
        <v>0.22</v>
      </c>
      <c r="AC440" s="1" t="s">
        <v>4810</v>
      </c>
      <c r="AD440" s="1" t="s">
        <v>4811</v>
      </c>
      <c r="AE440" s="1" t="s">
        <v>1664</v>
      </c>
      <c r="AF440" s="1" t="s">
        <v>394</v>
      </c>
      <c r="AG440" s="1" t="s">
        <v>1664</v>
      </c>
      <c r="AH440" s="1" t="s">
        <v>525</v>
      </c>
      <c r="AI440" s="6">
        <v>72823.0</v>
      </c>
      <c r="AJ440" s="1" t="s">
        <v>106</v>
      </c>
      <c r="AK440" s="1" t="s">
        <v>4812</v>
      </c>
      <c r="AL440" s="1" t="s">
        <v>4813</v>
      </c>
      <c r="AM440" s="11" t="str">
        <f>VLOOKUP(N440,Sheet3!$B$4:$C$10,2,1)</f>
        <v>41-50</v>
      </c>
      <c r="AN440" s="13" t="str">
        <f>VLOOKUP(Z440,Sheet3!$F$4:$G$10,2,1)</f>
        <v>21-30</v>
      </c>
      <c r="AO440" s="5" t="str">
        <f>VLOOKUP(AA440,Sheet3!$I$3:$J$16,2,1)</f>
        <v>160000-180000</v>
      </c>
      <c r="AP440" s="5" t="str">
        <f>VLOOKUP(AB440,Sheet3!$L$4:$M$14,2,1)</f>
        <v>21% - 25%</v>
      </c>
    </row>
    <row r="441">
      <c r="A441" s="6">
        <v>590955.0</v>
      </c>
      <c r="B441" s="1" t="s">
        <v>66</v>
      </c>
      <c r="C441" s="1" t="s">
        <v>1888</v>
      </c>
      <c r="D441" s="1" t="s">
        <v>389</v>
      </c>
      <c r="E441" s="1" t="s">
        <v>3736</v>
      </c>
      <c r="F441" s="1" t="s">
        <v>70</v>
      </c>
      <c r="G441" s="1" t="s">
        <v>4814</v>
      </c>
      <c r="H441" s="1" t="s">
        <v>4643</v>
      </c>
      <c r="I441" s="1" t="s">
        <v>4815</v>
      </c>
      <c r="J441" s="1" t="s">
        <v>4816</v>
      </c>
      <c r="K441" s="1" t="s">
        <v>4817</v>
      </c>
      <c r="L441" s="14">
        <v>26421.0</v>
      </c>
      <c r="M441" s="8">
        <v>0.7468518518518519</v>
      </c>
      <c r="N441" s="6">
        <v>45.27</v>
      </c>
      <c r="O441" s="6">
        <v>79.0</v>
      </c>
      <c r="P441" s="9">
        <v>40415.0</v>
      </c>
      <c r="Q441" s="1" t="s">
        <v>308</v>
      </c>
      <c r="R441" s="1" t="s">
        <v>53</v>
      </c>
      <c r="S441" s="6">
        <v>2010.0</v>
      </c>
      <c r="T441" s="6">
        <v>8.0</v>
      </c>
      <c r="U441" s="1" t="s">
        <v>433</v>
      </c>
      <c r="V441" s="1" t="s">
        <v>434</v>
      </c>
      <c r="W441" s="6">
        <v>25.0</v>
      </c>
      <c r="X441" s="1" t="s">
        <v>278</v>
      </c>
      <c r="Y441" s="1" t="s">
        <v>279</v>
      </c>
      <c r="Z441" s="6">
        <v>6.93</v>
      </c>
      <c r="AA441" s="6">
        <v>139425.0</v>
      </c>
      <c r="AB441" s="10">
        <v>0.14</v>
      </c>
      <c r="AC441" s="1" t="s">
        <v>4818</v>
      </c>
      <c r="AD441" s="1" t="s">
        <v>4819</v>
      </c>
      <c r="AE441" s="1" t="s">
        <v>4820</v>
      </c>
      <c r="AF441" s="1" t="s">
        <v>635</v>
      </c>
      <c r="AG441" s="1" t="s">
        <v>4820</v>
      </c>
      <c r="AH441" s="1" t="s">
        <v>85</v>
      </c>
      <c r="AI441" s="6">
        <v>48140.0</v>
      </c>
      <c r="AJ441" s="1" t="s">
        <v>86</v>
      </c>
      <c r="AK441" s="1" t="s">
        <v>4821</v>
      </c>
      <c r="AL441" s="1" t="s">
        <v>4822</v>
      </c>
      <c r="AM441" s="11" t="str">
        <f>VLOOKUP(N441,Sheet3!$B$4:$C$10,2,1)</f>
        <v>41-50</v>
      </c>
      <c r="AN441" s="12" t="str">
        <f>VLOOKUP(Z441,Sheet3!$F$4:$G$10,2,1)</f>
        <v>5-10</v>
      </c>
      <c r="AO441" s="5" t="str">
        <f>VLOOKUP(AA441,Sheet3!$I$3:$J$16,2,1)</f>
        <v>120000-140000</v>
      </c>
      <c r="AP441" s="5" t="str">
        <f>VLOOKUP(AB441,Sheet3!$L$4:$M$14,2,1)</f>
        <v>11% - 15%</v>
      </c>
    </row>
    <row r="442">
      <c r="A442" s="6">
        <v>565658.0</v>
      </c>
      <c r="B442" s="1" t="s">
        <v>109</v>
      </c>
      <c r="C442" s="1" t="s">
        <v>4823</v>
      </c>
      <c r="D442" s="1" t="s">
        <v>46</v>
      </c>
      <c r="E442" s="1" t="s">
        <v>4568</v>
      </c>
      <c r="F442" s="1" t="s">
        <v>46</v>
      </c>
      <c r="G442" s="1" t="s">
        <v>4824</v>
      </c>
      <c r="H442" s="1" t="s">
        <v>4643</v>
      </c>
      <c r="I442" s="1" t="s">
        <v>4825</v>
      </c>
      <c r="J442" s="1" t="s">
        <v>4826</v>
      </c>
      <c r="K442" s="1" t="s">
        <v>4827</v>
      </c>
      <c r="L442" s="14">
        <v>32695.0</v>
      </c>
      <c r="M442" s="8">
        <v>0.8966203703703703</v>
      </c>
      <c r="N442" s="6">
        <v>28.08</v>
      </c>
      <c r="O442" s="6">
        <v>56.0</v>
      </c>
      <c r="P442" s="9">
        <v>40622.0</v>
      </c>
      <c r="Q442" s="1" t="s">
        <v>96</v>
      </c>
      <c r="R442" s="1" t="s">
        <v>76</v>
      </c>
      <c r="S442" s="6">
        <v>2011.0</v>
      </c>
      <c r="T442" s="6">
        <v>3.0</v>
      </c>
      <c r="U442" s="1" t="s">
        <v>97</v>
      </c>
      <c r="V442" s="1" t="s">
        <v>98</v>
      </c>
      <c r="W442" s="6">
        <v>20.0</v>
      </c>
      <c r="X442" s="1" t="s">
        <v>534</v>
      </c>
      <c r="Y442" s="1" t="s">
        <v>535</v>
      </c>
      <c r="Z442" s="6">
        <v>6.36</v>
      </c>
      <c r="AA442" s="6">
        <v>188910.0</v>
      </c>
      <c r="AB442" s="10">
        <v>0.15</v>
      </c>
      <c r="AC442" s="1" t="s">
        <v>4828</v>
      </c>
      <c r="AD442" s="1" t="s">
        <v>4829</v>
      </c>
      <c r="AE442" s="1" t="s">
        <v>4830</v>
      </c>
      <c r="AF442" s="1" t="s">
        <v>4831</v>
      </c>
      <c r="AG442" s="1" t="s">
        <v>4830</v>
      </c>
      <c r="AH442" s="1" t="s">
        <v>882</v>
      </c>
      <c r="AI442" s="6">
        <v>30081.0</v>
      </c>
      <c r="AJ442" s="1" t="s">
        <v>106</v>
      </c>
      <c r="AK442" s="1" t="s">
        <v>4832</v>
      </c>
      <c r="AL442" s="1" t="s">
        <v>4833</v>
      </c>
      <c r="AM442" s="11" t="str">
        <f>VLOOKUP(N442,Sheet3!$B$4:$C$10,2,1)</f>
        <v>21-30</v>
      </c>
      <c r="AN442" s="12" t="str">
        <f>VLOOKUP(Z442,Sheet3!$F$4:$G$10,2,1)</f>
        <v>5-10</v>
      </c>
      <c r="AO442" s="5" t="str">
        <f>VLOOKUP(AA442,Sheet3!$I$3:$J$16,2,1)</f>
        <v>180000-200000</v>
      </c>
      <c r="AP442" s="5" t="str">
        <f>VLOOKUP(AB442,Sheet3!$L$4:$M$14,2,1)</f>
        <v>11% - 15%</v>
      </c>
    </row>
    <row r="443">
      <c r="A443" s="6">
        <v>569664.0</v>
      </c>
      <c r="B443" s="1" t="s">
        <v>66</v>
      </c>
      <c r="C443" s="1" t="s">
        <v>2813</v>
      </c>
      <c r="D443" s="1" t="s">
        <v>529</v>
      </c>
      <c r="E443" s="1" t="s">
        <v>397</v>
      </c>
      <c r="F443" s="1" t="s">
        <v>70</v>
      </c>
      <c r="G443" s="1" t="s">
        <v>4834</v>
      </c>
      <c r="H443" s="1" t="s">
        <v>4643</v>
      </c>
      <c r="I443" s="1" t="s">
        <v>4835</v>
      </c>
      <c r="J443" s="1" t="s">
        <v>4836</v>
      </c>
      <c r="K443" s="1" t="s">
        <v>2131</v>
      </c>
      <c r="L443" s="9">
        <v>30372.0</v>
      </c>
      <c r="M443" s="8">
        <v>0.9395138888888889</v>
      </c>
      <c r="N443" s="6">
        <v>34.44</v>
      </c>
      <c r="O443" s="6">
        <v>64.0</v>
      </c>
      <c r="P443" s="9">
        <v>39131.0</v>
      </c>
      <c r="Q443" s="1" t="s">
        <v>96</v>
      </c>
      <c r="R443" s="1" t="s">
        <v>76</v>
      </c>
      <c r="S443" s="6">
        <v>2007.0</v>
      </c>
      <c r="T443" s="6">
        <v>2.0</v>
      </c>
      <c r="U443" s="1" t="s">
        <v>117</v>
      </c>
      <c r="V443" s="1" t="s">
        <v>118</v>
      </c>
      <c r="W443" s="6">
        <v>18.0</v>
      </c>
      <c r="X443" s="1" t="s">
        <v>534</v>
      </c>
      <c r="Y443" s="1" t="s">
        <v>535</v>
      </c>
      <c r="Z443" s="6">
        <v>10.45</v>
      </c>
      <c r="AA443" s="6">
        <v>82516.0</v>
      </c>
      <c r="AB443" s="10">
        <v>0.18</v>
      </c>
      <c r="AC443" s="1" t="s">
        <v>4837</v>
      </c>
      <c r="AD443" s="1" t="s">
        <v>4838</v>
      </c>
      <c r="AE443" s="1" t="s">
        <v>4839</v>
      </c>
      <c r="AF443" s="1" t="s">
        <v>4840</v>
      </c>
      <c r="AG443" s="1" t="s">
        <v>4839</v>
      </c>
      <c r="AH443" s="1" t="s">
        <v>399</v>
      </c>
      <c r="AI443" s="6">
        <v>71424.0</v>
      </c>
      <c r="AJ443" s="1" t="s">
        <v>106</v>
      </c>
      <c r="AK443" s="1" t="s">
        <v>4841</v>
      </c>
      <c r="AL443" s="1" t="s">
        <v>4842</v>
      </c>
      <c r="AM443" s="11" t="str">
        <f>VLOOKUP(N443,Sheet3!$B$4:$C$10,2,1)</f>
        <v>31-40</v>
      </c>
      <c r="AN443" s="12" t="str">
        <f>VLOOKUP(Z443,Sheet3!$F$4:$G$10,2,1)</f>
        <v>5-10</v>
      </c>
      <c r="AO443" s="5" t="str">
        <f>VLOOKUP(AA443,Sheet3!$I$3:$J$16,2,1)</f>
        <v>80000-100000</v>
      </c>
      <c r="AP443" s="5" t="str">
        <f>VLOOKUP(AB443,Sheet3!$L$4:$M$14,2,1)</f>
        <v>16% - 20%</v>
      </c>
    </row>
    <row r="444">
      <c r="A444" s="6">
        <v>939970.0</v>
      </c>
      <c r="B444" s="1" t="s">
        <v>66</v>
      </c>
      <c r="C444" s="1" t="s">
        <v>4843</v>
      </c>
      <c r="D444" s="1" t="s">
        <v>443</v>
      </c>
      <c r="E444" s="1" t="s">
        <v>4844</v>
      </c>
      <c r="F444" s="1" t="s">
        <v>70</v>
      </c>
      <c r="G444" s="1" t="s">
        <v>4845</v>
      </c>
      <c r="H444" s="1" t="s">
        <v>4643</v>
      </c>
      <c r="I444" s="1" t="s">
        <v>4846</v>
      </c>
      <c r="J444" s="1" t="s">
        <v>4847</v>
      </c>
      <c r="K444" s="1" t="s">
        <v>653</v>
      </c>
      <c r="L444" s="9">
        <v>28443.0</v>
      </c>
      <c r="M444" s="8">
        <v>0.0842824074074074</v>
      </c>
      <c r="N444" s="6">
        <v>39.73</v>
      </c>
      <c r="O444" s="6">
        <v>90.0</v>
      </c>
      <c r="P444" s="9">
        <v>39985.0</v>
      </c>
      <c r="Q444" s="1" t="s">
        <v>75</v>
      </c>
      <c r="R444" s="1" t="s">
        <v>76</v>
      </c>
      <c r="S444" s="6">
        <v>2009.0</v>
      </c>
      <c r="T444" s="6">
        <v>6.0</v>
      </c>
      <c r="U444" s="1" t="s">
        <v>324</v>
      </c>
      <c r="V444" s="1" t="s">
        <v>325</v>
      </c>
      <c r="W444" s="6">
        <v>21.0</v>
      </c>
      <c r="X444" s="1" t="s">
        <v>534</v>
      </c>
      <c r="Y444" s="1" t="s">
        <v>535</v>
      </c>
      <c r="Z444" s="6">
        <v>8.11</v>
      </c>
      <c r="AA444" s="6">
        <v>145515.0</v>
      </c>
      <c r="AB444" s="10">
        <v>0.28</v>
      </c>
      <c r="AC444" s="1" t="s">
        <v>4848</v>
      </c>
      <c r="AD444" s="1" t="s">
        <v>4849</v>
      </c>
      <c r="AE444" s="1" t="s">
        <v>4850</v>
      </c>
      <c r="AF444" s="1" t="s">
        <v>4851</v>
      </c>
      <c r="AG444" s="1" t="s">
        <v>4850</v>
      </c>
      <c r="AH444" s="1" t="s">
        <v>1505</v>
      </c>
      <c r="AI444" s="6">
        <v>55578.0</v>
      </c>
      <c r="AJ444" s="1" t="s">
        <v>86</v>
      </c>
      <c r="AK444" s="1" t="s">
        <v>4852</v>
      </c>
      <c r="AL444" s="1" t="s">
        <v>4853</v>
      </c>
      <c r="AM444" s="11" t="str">
        <f>VLOOKUP(N444,Sheet3!$B$4:$C$10,2,1)</f>
        <v>31-40</v>
      </c>
      <c r="AN444" s="12" t="str">
        <f>VLOOKUP(Z444,Sheet3!$F$4:$G$10,2,1)</f>
        <v>5-10</v>
      </c>
      <c r="AO444" s="5" t="str">
        <f>VLOOKUP(AA444,Sheet3!$I$3:$J$16,2,1)</f>
        <v>140000-160000</v>
      </c>
      <c r="AP444" s="5" t="str">
        <f>VLOOKUP(AB444,Sheet3!$L$4:$M$14,2,1)</f>
        <v>26% - 30%</v>
      </c>
    </row>
    <row r="445">
      <c r="A445" s="6">
        <v>848744.0</v>
      </c>
      <c r="B445" s="1" t="s">
        <v>255</v>
      </c>
      <c r="C445" s="1" t="s">
        <v>4854</v>
      </c>
      <c r="D445" s="1" t="s">
        <v>360</v>
      </c>
      <c r="E445" s="1" t="s">
        <v>1439</v>
      </c>
      <c r="F445" s="1" t="s">
        <v>70</v>
      </c>
      <c r="G445" s="1" t="s">
        <v>4855</v>
      </c>
      <c r="H445" s="1" t="s">
        <v>4643</v>
      </c>
      <c r="I445" s="1" t="s">
        <v>4856</v>
      </c>
      <c r="J445" s="1" t="s">
        <v>4857</v>
      </c>
      <c r="K445" s="1" t="s">
        <v>168</v>
      </c>
      <c r="L445" s="14">
        <v>32425.0</v>
      </c>
      <c r="M445" s="8">
        <v>0.017916666666666668</v>
      </c>
      <c r="N445" s="6">
        <v>28.82</v>
      </c>
      <c r="O445" s="6">
        <v>52.0</v>
      </c>
      <c r="P445" s="14">
        <v>41279.0</v>
      </c>
      <c r="Q445" s="1" t="s">
        <v>96</v>
      </c>
      <c r="R445" s="1" t="s">
        <v>76</v>
      </c>
      <c r="S445" s="6">
        <v>2013.0</v>
      </c>
      <c r="T445" s="6">
        <v>1.0</v>
      </c>
      <c r="U445" s="1" t="s">
        <v>276</v>
      </c>
      <c r="V445" s="1" t="s">
        <v>277</v>
      </c>
      <c r="W445" s="6">
        <v>5.0</v>
      </c>
      <c r="X445" s="1" t="s">
        <v>56</v>
      </c>
      <c r="Y445" s="1" t="s">
        <v>57</v>
      </c>
      <c r="Z445" s="6">
        <v>4.56</v>
      </c>
      <c r="AA445" s="6">
        <v>155065.0</v>
      </c>
      <c r="AB445" s="10">
        <v>0.17</v>
      </c>
      <c r="AC445" s="1" t="s">
        <v>4858</v>
      </c>
      <c r="AD445" s="1" t="s">
        <v>4859</v>
      </c>
      <c r="AE445" s="1" t="s">
        <v>1007</v>
      </c>
      <c r="AF445" s="1" t="s">
        <v>4860</v>
      </c>
      <c r="AG445" s="1" t="s">
        <v>1007</v>
      </c>
      <c r="AH445" s="1" t="s">
        <v>223</v>
      </c>
      <c r="AI445" s="6">
        <v>18042.0</v>
      </c>
      <c r="AJ445" s="1" t="s">
        <v>224</v>
      </c>
      <c r="AK445" s="1" t="s">
        <v>4861</v>
      </c>
      <c r="AL445" s="1" t="s">
        <v>4862</v>
      </c>
      <c r="AM445" s="11" t="str">
        <f>VLOOKUP(N445,Sheet3!$B$4:$C$10,2,1)</f>
        <v>21-30</v>
      </c>
      <c r="AN445" s="13" t="str">
        <f>VLOOKUP(Z445,Sheet3!$F$4:$G$10,2,1)</f>
        <v>&lt; 5</v>
      </c>
      <c r="AO445" s="5" t="str">
        <f>VLOOKUP(AA445,Sheet3!$I$3:$J$16,2,1)</f>
        <v>140000-160000</v>
      </c>
      <c r="AP445" s="5" t="str">
        <f>VLOOKUP(AB445,Sheet3!$L$4:$M$14,2,1)</f>
        <v>16% - 20%</v>
      </c>
    </row>
    <row r="446">
      <c r="A446" s="6">
        <v>452230.0</v>
      </c>
      <c r="B446" s="1" t="s">
        <v>66</v>
      </c>
      <c r="C446" s="1" t="s">
        <v>4863</v>
      </c>
      <c r="D446" s="1" t="s">
        <v>360</v>
      </c>
      <c r="E446" s="1" t="s">
        <v>4864</v>
      </c>
      <c r="F446" s="1" t="s">
        <v>70</v>
      </c>
      <c r="G446" s="1" t="s">
        <v>4865</v>
      </c>
      <c r="H446" s="1" t="s">
        <v>4643</v>
      </c>
      <c r="I446" s="1" t="s">
        <v>4866</v>
      </c>
      <c r="J446" s="1" t="s">
        <v>4867</v>
      </c>
      <c r="K446" s="1" t="s">
        <v>3869</v>
      </c>
      <c r="L446" s="9">
        <v>25459.0</v>
      </c>
      <c r="M446" s="8">
        <v>0.041886574074074076</v>
      </c>
      <c r="N446" s="6">
        <v>47.9</v>
      </c>
      <c r="O446" s="6">
        <v>76.0</v>
      </c>
      <c r="P446" s="14">
        <v>36383.0</v>
      </c>
      <c r="Q446" s="1" t="s">
        <v>308</v>
      </c>
      <c r="R446" s="1" t="s">
        <v>53</v>
      </c>
      <c r="S446" s="6">
        <v>1999.0</v>
      </c>
      <c r="T446" s="6">
        <v>8.0</v>
      </c>
      <c r="U446" s="1" t="s">
        <v>433</v>
      </c>
      <c r="V446" s="1" t="s">
        <v>434</v>
      </c>
      <c r="W446" s="6">
        <v>11.0</v>
      </c>
      <c r="X446" s="1" t="s">
        <v>278</v>
      </c>
      <c r="Y446" s="1" t="s">
        <v>279</v>
      </c>
      <c r="Z446" s="6">
        <v>17.98</v>
      </c>
      <c r="AA446" s="6">
        <v>120778.0</v>
      </c>
      <c r="AB446" s="10">
        <v>0.17</v>
      </c>
      <c r="AC446" s="1" t="s">
        <v>4868</v>
      </c>
      <c r="AD446" s="1" t="s">
        <v>4869</v>
      </c>
      <c r="AE446" s="1" t="s">
        <v>4870</v>
      </c>
      <c r="AF446" s="1" t="s">
        <v>4871</v>
      </c>
      <c r="AG446" s="1" t="s">
        <v>4870</v>
      </c>
      <c r="AH446" s="1" t="s">
        <v>356</v>
      </c>
      <c r="AI446" s="6">
        <v>10069.0</v>
      </c>
      <c r="AJ446" s="1" t="s">
        <v>224</v>
      </c>
      <c r="AK446" s="1" t="s">
        <v>4872</v>
      </c>
      <c r="AL446" s="1" t="s">
        <v>4873</v>
      </c>
      <c r="AM446" s="11" t="str">
        <f>VLOOKUP(N446,Sheet3!$B$4:$C$10,2,1)</f>
        <v>41-50</v>
      </c>
      <c r="AN446" s="12" t="str">
        <f>VLOOKUP(Z446,Sheet3!$F$4:$G$10,2,1)</f>
        <v>11-20</v>
      </c>
      <c r="AO446" s="5" t="str">
        <f>VLOOKUP(AA446,Sheet3!$I$3:$J$16,2,1)</f>
        <v>120000-140000</v>
      </c>
      <c r="AP446" s="5" t="str">
        <f>VLOOKUP(AB446,Sheet3!$L$4:$M$14,2,1)</f>
        <v>16% - 20%</v>
      </c>
    </row>
    <row r="447">
      <c r="A447" s="6">
        <v>930129.0</v>
      </c>
      <c r="B447" s="1" t="s">
        <v>42</v>
      </c>
      <c r="C447" s="1" t="s">
        <v>1975</v>
      </c>
      <c r="D447" s="1" t="s">
        <v>68</v>
      </c>
      <c r="E447" s="1" t="s">
        <v>4091</v>
      </c>
      <c r="F447" s="1" t="s">
        <v>46</v>
      </c>
      <c r="G447" s="1" t="s">
        <v>4874</v>
      </c>
      <c r="H447" s="1" t="s">
        <v>4643</v>
      </c>
      <c r="I447" s="1" t="s">
        <v>4875</v>
      </c>
      <c r="J447" s="1" t="s">
        <v>4876</v>
      </c>
      <c r="K447" s="1" t="s">
        <v>1569</v>
      </c>
      <c r="L447" s="9">
        <v>25987.0</v>
      </c>
      <c r="M447" s="8">
        <v>0.40680555555555553</v>
      </c>
      <c r="N447" s="6">
        <v>46.46</v>
      </c>
      <c r="O447" s="6">
        <v>59.0</v>
      </c>
      <c r="P447" s="7">
        <v>38271.0</v>
      </c>
      <c r="Q447" s="1" t="s">
        <v>52</v>
      </c>
      <c r="R447" s="1" t="s">
        <v>53</v>
      </c>
      <c r="S447" s="6">
        <v>2004.0</v>
      </c>
      <c r="T447" s="6">
        <v>10.0</v>
      </c>
      <c r="U447" s="1" t="s">
        <v>133</v>
      </c>
      <c r="V447" s="1" t="s">
        <v>134</v>
      </c>
      <c r="W447" s="6">
        <v>11.0</v>
      </c>
      <c r="X447" s="1" t="s">
        <v>99</v>
      </c>
      <c r="Y447" s="1" t="s">
        <v>100</v>
      </c>
      <c r="Z447" s="6">
        <v>12.8</v>
      </c>
      <c r="AA447" s="6">
        <v>70544.0</v>
      </c>
      <c r="AB447" s="10">
        <v>0.21</v>
      </c>
      <c r="AC447" s="1" t="s">
        <v>4877</v>
      </c>
      <c r="AD447" s="1" t="s">
        <v>4878</v>
      </c>
      <c r="AE447" s="1" t="s">
        <v>4879</v>
      </c>
      <c r="AF447" s="1" t="s">
        <v>4880</v>
      </c>
      <c r="AG447" s="1" t="s">
        <v>4879</v>
      </c>
      <c r="AH447" s="1" t="s">
        <v>139</v>
      </c>
      <c r="AI447" s="6">
        <v>99791.0</v>
      </c>
      <c r="AJ447" s="1" t="s">
        <v>63</v>
      </c>
      <c r="AK447" s="1" t="s">
        <v>4881</v>
      </c>
      <c r="AL447" s="1" t="s">
        <v>4882</v>
      </c>
      <c r="AM447" s="11" t="str">
        <f>VLOOKUP(N447,Sheet3!$B$4:$C$10,2,1)</f>
        <v>41-50</v>
      </c>
      <c r="AN447" s="12" t="str">
        <f>VLOOKUP(Z447,Sheet3!$F$4:$G$10,2,1)</f>
        <v>11-20</v>
      </c>
      <c r="AO447" s="5" t="str">
        <f>VLOOKUP(AA447,Sheet3!$I$3:$J$16,2,1)</f>
        <v>60000-80000</v>
      </c>
      <c r="AP447" s="5" t="str">
        <f>VLOOKUP(AB447,Sheet3!$L$4:$M$14,2,1)</f>
        <v>21% - 25%</v>
      </c>
    </row>
    <row r="448">
      <c r="A448" s="6">
        <v>909139.0</v>
      </c>
      <c r="B448" s="1" t="s">
        <v>42</v>
      </c>
      <c r="C448" s="1" t="s">
        <v>4883</v>
      </c>
      <c r="D448" s="1" t="s">
        <v>242</v>
      </c>
      <c r="E448" s="1" t="s">
        <v>3982</v>
      </c>
      <c r="F448" s="1" t="s">
        <v>46</v>
      </c>
      <c r="G448" s="1" t="s">
        <v>4884</v>
      </c>
      <c r="H448" s="1" t="s">
        <v>4643</v>
      </c>
      <c r="I448" s="1" t="s">
        <v>4885</v>
      </c>
      <c r="J448" s="1" t="s">
        <v>4886</v>
      </c>
      <c r="K448" s="1" t="s">
        <v>4887</v>
      </c>
      <c r="L448" s="14">
        <v>23137.0</v>
      </c>
      <c r="M448" s="8">
        <v>0.4830439814814815</v>
      </c>
      <c r="N448" s="6">
        <v>54.27</v>
      </c>
      <c r="O448" s="6">
        <v>52.0</v>
      </c>
      <c r="P448" s="9">
        <v>40955.0</v>
      </c>
      <c r="Q448" s="1" t="s">
        <v>96</v>
      </c>
      <c r="R448" s="1" t="s">
        <v>76</v>
      </c>
      <c r="S448" s="6">
        <v>2012.0</v>
      </c>
      <c r="T448" s="6">
        <v>2.0</v>
      </c>
      <c r="U448" s="1" t="s">
        <v>117</v>
      </c>
      <c r="V448" s="1" t="s">
        <v>118</v>
      </c>
      <c r="W448" s="6">
        <v>16.0</v>
      </c>
      <c r="X448" s="1" t="s">
        <v>150</v>
      </c>
      <c r="Y448" s="1" t="s">
        <v>151</v>
      </c>
      <c r="Z448" s="6">
        <v>5.45</v>
      </c>
      <c r="AA448" s="6">
        <v>70531.0</v>
      </c>
      <c r="AB448" s="10">
        <v>0.29</v>
      </c>
      <c r="AC448" s="1" t="s">
        <v>4888</v>
      </c>
      <c r="AD448" s="1" t="s">
        <v>4889</v>
      </c>
      <c r="AE448" s="1" t="s">
        <v>4890</v>
      </c>
      <c r="AF448" s="1" t="s">
        <v>4891</v>
      </c>
      <c r="AG448" s="1" t="s">
        <v>4890</v>
      </c>
      <c r="AH448" s="1" t="s">
        <v>105</v>
      </c>
      <c r="AI448" s="6">
        <v>41763.0</v>
      </c>
      <c r="AJ448" s="1" t="s">
        <v>106</v>
      </c>
      <c r="AK448" s="1" t="s">
        <v>4892</v>
      </c>
      <c r="AL448" s="1" t="s">
        <v>4893</v>
      </c>
      <c r="AM448" s="11" t="str">
        <f>VLOOKUP(N448,Sheet3!$B$4:$C$10,2,1)</f>
        <v>51-60</v>
      </c>
      <c r="AN448" s="12" t="str">
        <f>VLOOKUP(Z448,Sheet3!$F$4:$G$10,2,1)</f>
        <v>5-10</v>
      </c>
      <c r="AO448" s="5" t="str">
        <f>VLOOKUP(AA448,Sheet3!$I$3:$J$16,2,1)</f>
        <v>60000-80000</v>
      </c>
      <c r="AP448" s="5" t="str">
        <f>VLOOKUP(AB448,Sheet3!$L$4:$M$14,2,1)</f>
        <v>26% - 30%</v>
      </c>
    </row>
    <row r="449">
      <c r="A449" s="6">
        <v>678436.0</v>
      </c>
      <c r="B449" s="1" t="s">
        <v>125</v>
      </c>
      <c r="C449" s="1" t="s">
        <v>4894</v>
      </c>
      <c r="D449" s="1" t="s">
        <v>70</v>
      </c>
      <c r="E449" s="1" t="s">
        <v>4895</v>
      </c>
      <c r="F449" s="1" t="s">
        <v>46</v>
      </c>
      <c r="G449" s="1" t="s">
        <v>4896</v>
      </c>
      <c r="H449" s="1" t="s">
        <v>4643</v>
      </c>
      <c r="I449" s="1" t="s">
        <v>4897</v>
      </c>
      <c r="J449" s="1" t="s">
        <v>4898</v>
      </c>
      <c r="K449" s="1" t="s">
        <v>4899</v>
      </c>
      <c r="L449" s="9">
        <v>21608.0</v>
      </c>
      <c r="M449" s="8">
        <v>0.33447916666666666</v>
      </c>
      <c r="N449" s="6">
        <v>58.45</v>
      </c>
      <c r="O449" s="6">
        <v>54.0</v>
      </c>
      <c r="P449" s="9">
        <v>30009.0</v>
      </c>
      <c r="Q449" s="1" t="s">
        <v>96</v>
      </c>
      <c r="R449" s="1" t="s">
        <v>76</v>
      </c>
      <c r="S449" s="6">
        <v>1982.0</v>
      </c>
      <c r="T449" s="6">
        <v>2.0</v>
      </c>
      <c r="U449" s="1" t="s">
        <v>117</v>
      </c>
      <c r="V449" s="1" t="s">
        <v>118</v>
      </c>
      <c r="W449" s="6">
        <v>27.0</v>
      </c>
      <c r="X449" s="1" t="s">
        <v>56</v>
      </c>
      <c r="Y449" s="1" t="s">
        <v>57</v>
      </c>
      <c r="Z449" s="6">
        <v>35.44</v>
      </c>
      <c r="AA449" s="6">
        <v>112711.0</v>
      </c>
      <c r="AB449" s="10">
        <v>0.23</v>
      </c>
      <c r="AC449" s="1" t="s">
        <v>4900</v>
      </c>
      <c r="AD449" s="1" t="s">
        <v>4901</v>
      </c>
      <c r="AE449" s="1" t="s">
        <v>4902</v>
      </c>
      <c r="AF449" s="1" t="s">
        <v>2719</v>
      </c>
      <c r="AG449" s="1" t="s">
        <v>4902</v>
      </c>
      <c r="AH449" s="1" t="s">
        <v>475</v>
      </c>
      <c r="AI449" s="6">
        <v>59348.0</v>
      </c>
      <c r="AJ449" s="1" t="s">
        <v>63</v>
      </c>
      <c r="AK449" s="1" t="s">
        <v>4903</v>
      </c>
      <c r="AL449" s="1" t="s">
        <v>4904</v>
      </c>
      <c r="AM449" s="11" t="str">
        <f>VLOOKUP(N449,Sheet3!$B$4:$C$10,2,1)</f>
        <v>51-60</v>
      </c>
      <c r="AN449" s="13" t="str">
        <f>VLOOKUP(Z449,Sheet3!$F$4:$G$10,2,1)</f>
        <v>31-40</v>
      </c>
      <c r="AO449" s="5" t="str">
        <f>VLOOKUP(AA449,Sheet3!$I$3:$J$16,2,1)</f>
        <v>100000-120000</v>
      </c>
      <c r="AP449" s="5" t="str">
        <f>VLOOKUP(AB449,Sheet3!$L$4:$M$14,2,1)</f>
        <v>21% - 25%</v>
      </c>
    </row>
    <row r="450">
      <c r="A450" s="6">
        <v>196011.0</v>
      </c>
      <c r="B450" s="1" t="s">
        <v>42</v>
      </c>
      <c r="C450" s="1" t="s">
        <v>4905</v>
      </c>
      <c r="D450" s="1" t="s">
        <v>111</v>
      </c>
      <c r="E450" s="1" t="s">
        <v>4906</v>
      </c>
      <c r="F450" s="1" t="s">
        <v>46</v>
      </c>
      <c r="G450" s="1" t="s">
        <v>4907</v>
      </c>
      <c r="H450" s="1" t="s">
        <v>4643</v>
      </c>
      <c r="I450" s="1" t="s">
        <v>4908</v>
      </c>
      <c r="J450" s="1" t="s">
        <v>4909</v>
      </c>
      <c r="K450" s="1" t="s">
        <v>4910</v>
      </c>
      <c r="L450" s="14">
        <v>32782.0</v>
      </c>
      <c r="M450" s="8">
        <v>0.35836805555555556</v>
      </c>
      <c r="N450" s="6">
        <v>27.84</v>
      </c>
      <c r="O450" s="6">
        <v>52.0</v>
      </c>
      <c r="P450" s="9">
        <v>40471.0</v>
      </c>
      <c r="Q450" s="1" t="s">
        <v>52</v>
      </c>
      <c r="R450" s="1" t="s">
        <v>53</v>
      </c>
      <c r="S450" s="6">
        <v>2010.0</v>
      </c>
      <c r="T450" s="6">
        <v>10.0</v>
      </c>
      <c r="U450" s="1" t="s">
        <v>133</v>
      </c>
      <c r="V450" s="1" t="s">
        <v>134</v>
      </c>
      <c r="W450" s="6">
        <v>20.0</v>
      </c>
      <c r="X450" s="1" t="s">
        <v>278</v>
      </c>
      <c r="Y450" s="1" t="s">
        <v>279</v>
      </c>
      <c r="Z450" s="6">
        <v>6.78</v>
      </c>
      <c r="AA450" s="6">
        <v>129756.0</v>
      </c>
      <c r="AB450" s="10">
        <v>0.09</v>
      </c>
      <c r="AC450" s="1" t="s">
        <v>4911</v>
      </c>
      <c r="AD450" s="1" t="s">
        <v>4912</v>
      </c>
      <c r="AE450" s="1" t="s">
        <v>4913</v>
      </c>
      <c r="AF450" s="1" t="s">
        <v>657</v>
      </c>
      <c r="AG450" s="1" t="s">
        <v>4913</v>
      </c>
      <c r="AH450" s="1" t="s">
        <v>857</v>
      </c>
      <c r="AI450" s="6">
        <v>64024.0</v>
      </c>
      <c r="AJ450" s="1" t="s">
        <v>86</v>
      </c>
      <c r="AK450" s="1" t="s">
        <v>4914</v>
      </c>
      <c r="AL450" s="1" t="s">
        <v>4915</v>
      </c>
      <c r="AM450" s="11" t="str">
        <f>VLOOKUP(N450,Sheet3!$B$4:$C$10,2,1)</f>
        <v>21-30</v>
      </c>
      <c r="AN450" s="12" t="str">
        <f>VLOOKUP(Z450,Sheet3!$F$4:$G$10,2,1)</f>
        <v>5-10</v>
      </c>
      <c r="AO450" s="5" t="str">
        <f>VLOOKUP(AA450,Sheet3!$I$3:$J$16,2,1)</f>
        <v>120000-140000</v>
      </c>
      <c r="AP450" s="5" t="str">
        <f>VLOOKUP(AB450,Sheet3!$L$4:$M$14,2,1)</f>
        <v>5% - 10%</v>
      </c>
    </row>
    <row r="451">
      <c r="A451" s="6">
        <v>666886.0</v>
      </c>
      <c r="B451" s="1" t="s">
        <v>109</v>
      </c>
      <c r="C451" s="1" t="s">
        <v>4916</v>
      </c>
      <c r="D451" s="1" t="s">
        <v>186</v>
      </c>
      <c r="E451" s="1" t="s">
        <v>4917</v>
      </c>
      <c r="F451" s="1" t="s">
        <v>46</v>
      </c>
      <c r="G451" s="1" t="s">
        <v>4918</v>
      </c>
      <c r="H451" s="1" t="s">
        <v>4643</v>
      </c>
      <c r="I451" s="1" t="s">
        <v>4919</v>
      </c>
      <c r="J451" s="1" t="s">
        <v>4920</v>
      </c>
      <c r="K451" s="1" t="s">
        <v>2165</v>
      </c>
      <c r="L451" s="9">
        <v>23178.0</v>
      </c>
      <c r="M451" s="8">
        <v>0.3061111111111111</v>
      </c>
      <c r="N451" s="6">
        <v>54.15</v>
      </c>
      <c r="O451" s="6">
        <v>45.0</v>
      </c>
      <c r="P451" s="9">
        <v>31807.0</v>
      </c>
      <c r="Q451" s="1" t="s">
        <v>96</v>
      </c>
      <c r="R451" s="1" t="s">
        <v>76</v>
      </c>
      <c r="S451" s="6">
        <v>1987.0</v>
      </c>
      <c r="T451" s="6">
        <v>1.0</v>
      </c>
      <c r="U451" s="1" t="s">
        <v>276</v>
      </c>
      <c r="V451" s="1" t="s">
        <v>277</v>
      </c>
      <c r="W451" s="6">
        <v>30.0</v>
      </c>
      <c r="X451" s="1" t="s">
        <v>263</v>
      </c>
      <c r="Y451" s="1" t="s">
        <v>264</v>
      </c>
      <c r="Z451" s="6">
        <v>30.51</v>
      </c>
      <c r="AA451" s="6">
        <v>117868.0</v>
      </c>
      <c r="AB451" s="10">
        <v>0.24</v>
      </c>
      <c r="AC451" s="1" t="s">
        <v>4921</v>
      </c>
      <c r="AD451" s="1" t="s">
        <v>4922</v>
      </c>
      <c r="AE451" s="1" t="s">
        <v>4923</v>
      </c>
      <c r="AF451" s="1" t="s">
        <v>4077</v>
      </c>
      <c r="AG451" s="1" t="s">
        <v>4923</v>
      </c>
      <c r="AH451" s="1" t="s">
        <v>85</v>
      </c>
      <c r="AI451" s="6">
        <v>48325.0</v>
      </c>
      <c r="AJ451" s="1" t="s">
        <v>86</v>
      </c>
      <c r="AK451" s="1" t="s">
        <v>4924</v>
      </c>
      <c r="AL451" s="1" t="s">
        <v>4925</v>
      </c>
      <c r="AM451" s="11" t="str">
        <f>VLOOKUP(N451,Sheet3!$B$4:$C$10,2,1)</f>
        <v>51-60</v>
      </c>
      <c r="AN451" s="13" t="str">
        <f>VLOOKUP(Z451,Sheet3!$F$4:$G$10,2,1)</f>
        <v>21-30</v>
      </c>
      <c r="AO451" s="5" t="str">
        <f>VLOOKUP(AA451,Sheet3!$I$3:$J$16,2,1)</f>
        <v>100000-120000</v>
      </c>
      <c r="AP451" s="5" t="str">
        <f>VLOOKUP(AB451,Sheet3!$L$4:$M$14,2,1)</f>
        <v>21% - 25%</v>
      </c>
    </row>
    <row r="452">
      <c r="A452" s="6">
        <v>572348.0</v>
      </c>
      <c r="B452" s="1" t="s">
        <v>42</v>
      </c>
      <c r="C452" s="1" t="s">
        <v>4926</v>
      </c>
      <c r="D452" s="1" t="s">
        <v>127</v>
      </c>
      <c r="E452" s="1" t="s">
        <v>3038</v>
      </c>
      <c r="F452" s="1" t="s">
        <v>46</v>
      </c>
      <c r="G452" s="1" t="s">
        <v>4927</v>
      </c>
      <c r="H452" s="1" t="s">
        <v>4643</v>
      </c>
      <c r="I452" s="1" t="s">
        <v>4928</v>
      </c>
      <c r="J452" s="1" t="s">
        <v>4929</v>
      </c>
      <c r="K452" s="1" t="s">
        <v>4234</v>
      </c>
      <c r="L452" s="9">
        <v>34242.0</v>
      </c>
      <c r="M452" s="8">
        <v>0.0026157407407407405</v>
      </c>
      <c r="N452" s="6">
        <v>23.84</v>
      </c>
      <c r="O452" s="6">
        <v>58.0</v>
      </c>
      <c r="P452" s="9">
        <v>42334.0</v>
      </c>
      <c r="Q452" s="1" t="s">
        <v>52</v>
      </c>
      <c r="R452" s="1" t="s">
        <v>53</v>
      </c>
      <c r="S452" s="6">
        <v>2015.0</v>
      </c>
      <c r="T452" s="6">
        <v>11.0</v>
      </c>
      <c r="U452" s="1" t="s">
        <v>148</v>
      </c>
      <c r="V452" s="1" t="s">
        <v>149</v>
      </c>
      <c r="W452" s="6">
        <v>26.0</v>
      </c>
      <c r="X452" s="1" t="s">
        <v>150</v>
      </c>
      <c r="Y452" s="1" t="s">
        <v>151</v>
      </c>
      <c r="Z452" s="6">
        <v>1.67</v>
      </c>
      <c r="AA452" s="6">
        <v>65787.0</v>
      </c>
      <c r="AB452" s="10">
        <v>0.05</v>
      </c>
      <c r="AC452" s="1" t="s">
        <v>4930</v>
      </c>
      <c r="AD452" s="1" t="s">
        <v>4931</v>
      </c>
      <c r="AE452" s="1" t="s">
        <v>4932</v>
      </c>
      <c r="AF452" s="1" t="s">
        <v>4677</v>
      </c>
      <c r="AG452" s="1" t="s">
        <v>4932</v>
      </c>
      <c r="AH452" s="1" t="s">
        <v>906</v>
      </c>
      <c r="AI452" s="6">
        <v>7087.0</v>
      </c>
      <c r="AJ452" s="1" t="s">
        <v>224</v>
      </c>
      <c r="AK452" s="1" t="s">
        <v>4933</v>
      </c>
      <c r="AL452" s="1" t="s">
        <v>4934</v>
      </c>
      <c r="AM452" s="11" t="str">
        <f>VLOOKUP(N452,Sheet3!$B$4:$C$10,2,1)</f>
        <v>21-30</v>
      </c>
      <c r="AN452" s="13" t="str">
        <f>VLOOKUP(Z452,Sheet3!$F$4:$G$10,2,1)</f>
        <v>&lt; 5</v>
      </c>
      <c r="AO452" s="5" t="str">
        <f>VLOOKUP(AA452,Sheet3!$I$3:$J$16,2,1)</f>
        <v>60000-80000</v>
      </c>
      <c r="AP452" s="5" t="str">
        <f>VLOOKUP(AB452,Sheet3!$L$4:$M$14,2,1)</f>
        <v>5% - 10%</v>
      </c>
    </row>
    <row r="453">
      <c r="A453" s="6">
        <v>846144.0</v>
      </c>
      <c r="B453" s="1" t="s">
        <v>109</v>
      </c>
      <c r="C453" s="1" t="s">
        <v>4935</v>
      </c>
      <c r="D453" s="1" t="s">
        <v>334</v>
      </c>
      <c r="E453" s="1" t="s">
        <v>989</v>
      </c>
      <c r="F453" s="1" t="s">
        <v>46</v>
      </c>
      <c r="G453" s="1" t="s">
        <v>4936</v>
      </c>
      <c r="H453" s="1" t="s">
        <v>4643</v>
      </c>
      <c r="I453" s="1" t="s">
        <v>4937</v>
      </c>
      <c r="J453" s="1" t="s">
        <v>4938</v>
      </c>
      <c r="K453" s="1" t="s">
        <v>922</v>
      </c>
      <c r="L453" s="14">
        <v>21923.0</v>
      </c>
      <c r="M453" s="8">
        <v>0.7719097222222222</v>
      </c>
      <c r="N453" s="6">
        <v>57.59</v>
      </c>
      <c r="O453" s="6">
        <v>48.0</v>
      </c>
      <c r="P453" s="9">
        <v>32742.0</v>
      </c>
      <c r="Q453" s="1" t="s">
        <v>308</v>
      </c>
      <c r="R453" s="1" t="s">
        <v>53</v>
      </c>
      <c r="S453" s="6">
        <v>1989.0</v>
      </c>
      <c r="T453" s="6">
        <v>8.0</v>
      </c>
      <c r="U453" s="1" t="s">
        <v>433</v>
      </c>
      <c r="V453" s="1" t="s">
        <v>434</v>
      </c>
      <c r="W453" s="6">
        <v>22.0</v>
      </c>
      <c r="X453" s="1" t="s">
        <v>79</v>
      </c>
      <c r="Y453" s="1" t="s">
        <v>80</v>
      </c>
      <c r="Z453" s="6">
        <v>27.95</v>
      </c>
      <c r="AA453" s="6">
        <v>75261.0</v>
      </c>
      <c r="AB453" s="10">
        <v>0.26</v>
      </c>
      <c r="AC453" s="1" t="s">
        <v>4939</v>
      </c>
      <c r="AD453" s="1" t="s">
        <v>4940</v>
      </c>
      <c r="AE453" s="1" t="s">
        <v>371</v>
      </c>
      <c r="AF453" s="1" t="s">
        <v>4941</v>
      </c>
      <c r="AG453" s="1" t="s">
        <v>371</v>
      </c>
      <c r="AH453" s="1" t="s">
        <v>4942</v>
      </c>
      <c r="AI453" s="6">
        <v>20416.0</v>
      </c>
      <c r="AJ453" s="1" t="s">
        <v>106</v>
      </c>
      <c r="AK453" s="1" t="s">
        <v>4943</v>
      </c>
      <c r="AL453" s="1" t="s">
        <v>4944</v>
      </c>
      <c r="AM453" s="11" t="str">
        <f>VLOOKUP(N453,Sheet3!$B$4:$C$10,2,1)</f>
        <v>51-60</v>
      </c>
      <c r="AN453" s="13" t="str">
        <f>VLOOKUP(Z453,Sheet3!$F$4:$G$10,2,1)</f>
        <v>21-30</v>
      </c>
      <c r="AO453" s="5" t="str">
        <f>VLOOKUP(AA453,Sheet3!$I$3:$J$16,2,1)</f>
        <v>60000-80000</v>
      </c>
      <c r="AP453" s="5" t="str">
        <f>VLOOKUP(AB453,Sheet3!$L$4:$M$14,2,1)</f>
        <v>26% - 30%</v>
      </c>
    </row>
    <row r="454">
      <c r="A454" s="6">
        <v>665326.0</v>
      </c>
      <c r="B454" s="1" t="s">
        <v>255</v>
      </c>
      <c r="C454" s="1" t="s">
        <v>4945</v>
      </c>
      <c r="D454" s="1" t="s">
        <v>318</v>
      </c>
      <c r="E454" s="1" t="s">
        <v>885</v>
      </c>
      <c r="F454" s="1" t="s">
        <v>70</v>
      </c>
      <c r="G454" s="1" t="s">
        <v>4946</v>
      </c>
      <c r="H454" s="1" t="s">
        <v>4643</v>
      </c>
      <c r="I454" s="1" t="s">
        <v>4947</v>
      </c>
      <c r="J454" s="1" t="s">
        <v>4948</v>
      </c>
      <c r="K454" s="1" t="s">
        <v>4949</v>
      </c>
      <c r="L454" s="7">
        <v>21501.0</v>
      </c>
      <c r="M454" s="8">
        <v>0.101875</v>
      </c>
      <c r="N454" s="6">
        <v>58.75</v>
      </c>
      <c r="O454" s="6">
        <v>78.0</v>
      </c>
      <c r="P454" s="9">
        <v>37762.0</v>
      </c>
      <c r="Q454" s="1" t="s">
        <v>75</v>
      </c>
      <c r="R454" s="1" t="s">
        <v>76</v>
      </c>
      <c r="S454" s="6">
        <v>2003.0</v>
      </c>
      <c r="T454" s="6">
        <v>5.0</v>
      </c>
      <c r="U454" s="1" t="s">
        <v>294</v>
      </c>
      <c r="V454" s="1" t="s">
        <v>294</v>
      </c>
      <c r="W454" s="6">
        <v>21.0</v>
      </c>
      <c r="X454" s="1" t="s">
        <v>278</v>
      </c>
      <c r="Y454" s="1" t="s">
        <v>279</v>
      </c>
      <c r="Z454" s="6">
        <v>14.2</v>
      </c>
      <c r="AA454" s="6">
        <v>117143.0</v>
      </c>
      <c r="AB454" s="10">
        <v>0.28</v>
      </c>
      <c r="AC454" s="1" t="s">
        <v>4950</v>
      </c>
      <c r="AD454" s="1" t="s">
        <v>4951</v>
      </c>
      <c r="AE454" s="1" t="s">
        <v>3274</v>
      </c>
      <c r="AF454" s="1" t="s">
        <v>657</v>
      </c>
      <c r="AG454" s="1" t="s">
        <v>3274</v>
      </c>
      <c r="AH454" s="1" t="s">
        <v>857</v>
      </c>
      <c r="AI454" s="6">
        <v>64165.0</v>
      </c>
      <c r="AJ454" s="1" t="s">
        <v>86</v>
      </c>
      <c r="AK454" s="1" t="s">
        <v>4952</v>
      </c>
      <c r="AL454" s="1" t="s">
        <v>4953</v>
      </c>
      <c r="AM454" s="11" t="str">
        <f>VLOOKUP(N454,Sheet3!$B$4:$C$10,2,1)</f>
        <v>51-60</v>
      </c>
      <c r="AN454" s="12" t="str">
        <f>VLOOKUP(Z454,Sheet3!$F$4:$G$10,2,1)</f>
        <v>11-20</v>
      </c>
      <c r="AO454" s="5" t="str">
        <f>VLOOKUP(AA454,Sheet3!$I$3:$J$16,2,1)</f>
        <v>100000-120000</v>
      </c>
      <c r="AP454" s="5" t="str">
        <f>VLOOKUP(AB454,Sheet3!$L$4:$M$14,2,1)</f>
        <v>26% - 30%</v>
      </c>
    </row>
    <row r="455">
      <c r="A455" s="6">
        <v>119399.0</v>
      </c>
      <c r="B455" s="1" t="s">
        <v>227</v>
      </c>
      <c r="C455" s="1" t="s">
        <v>4403</v>
      </c>
      <c r="D455" s="1" t="s">
        <v>111</v>
      </c>
      <c r="E455" s="1" t="s">
        <v>4954</v>
      </c>
      <c r="F455" s="1" t="s">
        <v>70</v>
      </c>
      <c r="G455" s="1" t="s">
        <v>4955</v>
      </c>
      <c r="H455" s="1" t="s">
        <v>4643</v>
      </c>
      <c r="I455" s="1" t="s">
        <v>4956</v>
      </c>
      <c r="J455" s="1" t="s">
        <v>4957</v>
      </c>
      <c r="K455" s="1" t="s">
        <v>4958</v>
      </c>
      <c r="L455" s="9">
        <v>22426.0</v>
      </c>
      <c r="M455" s="8">
        <v>0.6131828703703703</v>
      </c>
      <c r="N455" s="6">
        <v>56.21</v>
      </c>
      <c r="O455" s="6">
        <v>85.0</v>
      </c>
      <c r="P455" s="9">
        <v>34842.0</v>
      </c>
      <c r="Q455" s="1" t="s">
        <v>75</v>
      </c>
      <c r="R455" s="1" t="s">
        <v>76</v>
      </c>
      <c r="S455" s="6">
        <v>1995.0</v>
      </c>
      <c r="T455" s="6">
        <v>5.0</v>
      </c>
      <c r="U455" s="1" t="s">
        <v>294</v>
      </c>
      <c r="V455" s="1" t="s">
        <v>294</v>
      </c>
      <c r="W455" s="6">
        <v>23.0</v>
      </c>
      <c r="X455" s="1" t="s">
        <v>79</v>
      </c>
      <c r="Y455" s="1" t="s">
        <v>80</v>
      </c>
      <c r="Z455" s="6">
        <v>22.2</v>
      </c>
      <c r="AA455" s="6">
        <v>90590.0</v>
      </c>
      <c r="AB455" s="10">
        <v>0.13</v>
      </c>
      <c r="AC455" s="1" t="s">
        <v>4959</v>
      </c>
      <c r="AD455" s="1" t="s">
        <v>4960</v>
      </c>
      <c r="AE455" s="1" t="s">
        <v>1007</v>
      </c>
      <c r="AF455" s="1" t="s">
        <v>4961</v>
      </c>
      <c r="AG455" s="1" t="s">
        <v>1007</v>
      </c>
      <c r="AH455" s="1" t="s">
        <v>1505</v>
      </c>
      <c r="AI455" s="6">
        <v>56025.0</v>
      </c>
      <c r="AJ455" s="1" t="s">
        <v>86</v>
      </c>
      <c r="AK455" s="1" t="s">
        <v>4962</v>
      </c>
      <c r="AL455" s="1" t="s">
        <v>4963</v>
      </c>
      <c r="AM455" s="11" t="str">
        <f>VLOOKUP(N455,Sheet3!$B$4:$C$10,2,1)</f>
        <v>51-60</v>
      </c>
      <c r="AN455" s="13" t="str">
        <f>VLOOKUP(Z455,Sheet3!$F$4:$G$10,2,1)</f>
        <v>21-30</v>
      </c>
      <c r="AO455" s="5" t="str">
        <f>VLOOKUP(AA455,Sheet3!$I$3:$J$16,2,1)</f>
        <v>80000-100000</v>
      </c>
      <c r="AP455" s="5" t="str">
        <f>VLOOKUP(AB455,Sheet3!$L$4:$M$14,2,1)</f>
        <v>11% - 15%</v>
      </c>
    </row>
    <row r="456">
      <c r="A456" s="6">
        <v>744539.0</v>
      </c>
      <c r="B456" s="1" t="s">
        <v>109</v>
      </c>
      <c r="C456" s="1" t="s">
        <v>4964</v>
      </c>
      <c r="D456" s="1" t="s">
        <v>186</v>
      </c>
      <c r="E456" s="1" t="s">
        <v>2491</v>
      </c>
      <c r="F456" s="1" t="s">
        <v>46</v>
      </c>
      <c r="G456" s="1" t="s">
        <v>4965</v>
      </c>
      <c r="H456" s="1" t="s">
        <v>4643</v>
      </c>
      <c r="I456" s="1" t="s">
        <v>4966</v>
      </c>
      <c r="J456" s="1" t="s">
        <v>4967</v>
      </c>
      <c r="K456" s="1" t="s">
        <v>4968</v>
      </c>
      <c r="L456" s="9">
        <v>23369.0</v>
      </c>
      <c r="M456" s="8">
        <v>0.24298611111111112</v>
      </c>
      <c r="N456" s="6">
        <v>53.63</v>
      </c>
      <c r="O456" s="6">
        <v>53.0</v>
      </c>
      <c r="P456" s="14">
        <v>41585.0</v>
      </c>
      <c r="Q456" s="1" t="s">
        <v>52</v>
      </c>
      <c r="R456" s="1" t="s">
        <v>53</v>
      </c>
      <c r="S456" s="6">
        <v>2013.0</v>
      </c>
      <c r="T456" s="6">
        <v>11.0</v>
      </c>
      <c r="U456" s="1" t="s">
        <v>148</v>
      </c>
      <c r="V456" s="1" t="s">
        <v>149</v>
      </c>
      <c r="W456" s="6">
        <v>7.0</v>
      </c>
      <c r="X456" s="1" t="s">
        <v>150</v>
      </c>
      <c r="Y456" s="1" t="s">
        <v>151</v>
      </c>
      <c r="Z456" s="6">
        <v>3.72</v>
      </c>
      <c r="AA456" s="6">
        <v>62973.0</v>
      </c>
      <c r="AB456" s="10">
        <v>0.0</v>
      </c>
      <c r="AC456" s="1" t="s">
        <v>4969</v>
      </c>
      <c r="AD456" s="1" t="s">
        <v>4970</v>
      </c>
      <c r="AE456" s="1" t="s">
        <v>4971</v>
      </c>
      <c r="AF456" s="1" t="s">
        <v>4512</v>
      </c>
      <c r="AG456" s="1" t="s">
        <v>4971</v>
      </c>
      <c r="AH456" s="1" t="s">
        <v>1413</v>
      </c>
      <c r="AI456" s="6">
        <v>80904.0</v>
      </c>
      <c r="AJ456" s="1" t="s">
        <v>63</v>
      </c>
      <c r="AK456" s="1" t="s">
        <v>4972</v>
      </c>
      <c r="AL456" s="1" t="s">
        <v>4973</v>
      </c>
      <c r="AM456" s="11" t="str">
        <f>VLOOKUP(N456,Sheet3!$B$4:$C$10,2,1)</f>
        <v>51-60</v>
      </c>
      <c r="AN456" s="13" t="str">
        <f>VLOOKUP(Z456,Sheet3!$F$4:$G$10,2,1)</f>
        <v>&lt; 5</v>
      </c>
      <c r="AO456" s="5" t="str">
        <f>VLOOKUP(AA456,Sheet3!$I$3:$J$16,2,1)</f>
        <v>60000-80000</v>
      </c>
      <c r="AP456" s="5" t="str">
        <f>VLOOKUP(AB456,Sheet3!$L$4:$M$14,2,1)</f>
        <v>&lt; 5%</v>
      </c>
    </row>
    <row r="457">
      <c r="A457" s="6">
        <v>518154.0</v>
      </c>
      <c r="B457" s="1" t="s">
        <v>89</v>
      </c>
      <c r="C457" s="1" t="s">
        <v>3883</v>
      </c>
      <c r="D457" s="1" t="s">
        <v>360</v>
      </c>
      <c r="E457" s="1" t="s">
        <v>3177</v>
      </c>
      <c r="F457" s="1" t="s">
        <v>46</v>
      </c>
      <c r="G457" s="1" t="s">
        <v>4974</v>
      </c>
      <c r="H457" s="1" t="s">
        <v>4643</v>
      </c>
      <c r="I457" s="1" t="s">
        <v>4975</v>
      </c>
      <c r="J457" s="1" t="s">
        <v>4976</v>
      </c>
      <c r="K457" s="1" t="s">
        <v>4977</v>
      </c>
      <c r="L457" s="9">
        <v>29510.0</v>
      </c>
      <c r="M457" s="8">
        <v>0.8315046296296297</v>
      </c>
      <c r="N457" s="6">
        <v>36.81</v>
      </c>
      <c r="O457" s="6">
        <v>45.0</v>
      </c>
      <c r="P457" s="9">
        <v>38770.0</v>
      </c>
      <c r="Q457" s="1" t="s">
        <v>96</v>
      </c>
      <c r="R457" s="1" t="s">
        <v>76</v>
      </c>
      <c r="S457" s="6">
        <v>2006.0</v>
      </c>
      <c r="T457" s="6">
        <v>2.0</v>
      </c>
      <c r="U457" s="1" t="s">
        <v>117</v>
      </c>
      <c r="V457" s="1" t="s">
        <v>118</v>
      </c>
      <c r="W457" s="6">
        <v>22.0</v>
      </c>
      <c r="X457" s="1" t="s">
        <v>278</v>
      </c>
      <c r="Y457" s="1" t="s">
        <v>279</v>
      </c>
      <c r="Z457" s="6">
        <v>11.44</v>
      </c>
      <c r="AA457" s="6">
        <v>57649.0</v>
      </c>
      <c r="AB457" s="10">
        <v>0.14</v>
      </c>
      <c r="AC457" s="1" t="s">
        <v>4978</v>
      </c>
      <c r="AD457" s="1" t="s">
        <v>4979</v>
      </c>
      <c r="AE457" s="1" t="s">
        <v>4980</v>
      </c>
      <c r="AF457" s="1" t="s">
        <v>4980</v>
      </c>
      <c r="AG457" s="1" t="s">
        <v>4980</v>
      </c>
      <c r="AH457" s="1" t="s">
        <v>356</v>
      </c>
      <c r="AI457" s="6">
        <v>10455.0</v>
      </c>
      <c r="AJ457" s="1" t="s">
        <v>224</v>
      </c>
      <c r="AK457" s="1" t="s">
        <v>4981</v>
      </c>
      <c r="AL457" s="1" t="s">
        <v>4982</v>
      </c>
      <c r="AM457" s="11" t="str">
        <f>VLOOKUP(N457,Sheet3!$B$4:$C$10,2,1)</f>
        <v>31-40</v>
      </c>
      <c r="AN457" s="12" t="str">
        <f>VLOOKUP(Z457,Sheet3!$F$4:$G$10,2,1)</f>
        <v>11-20</v>
      </c>
      <c r="AO457" s="5" t="str">
        <f>VLOOKUP(AA457,Sheet3!$I$3:$J$16,2,1)</f>
        <v>40000-60000</v>
      </c>
      <c r="AP457" s="5" t="str">
        <f>VLOOKUP(AB457,Sheet3!$L$4:$M$14,2,1)</f>
        <v>11% - 15%</v>
      </c>
    </row>
    <row r="458">
      <c r="A458" s="6">
        <v>416872.0</v>
      </c>
      <c r="B458" s="1" t="s">
        <v>66</v>
      </c>
      <c r="C458" s="1" t="s">
        <v>2448</v>
      </c>
      <c r="D458" s="1" t="s">
        <v>403</v>
      </c>
      <c r="E458" s="1" t="s">
        <v>160</v>
      </c>
      <c r="F458" s="1" t="s">
        <v>70</v>
      </c>
      <c r="G458" s="1" t="s">
        <v>4983</v>
      </c>
      <c r="H458" s="1" t="s">
        <v>4643</v>
      </c>
      <c r="I458" s="1" t="s">
        <v>4984</v>
      </c>
      <c r="J458" s="1" t="s">
        <v>4985</v>
      </c>
      <c r="K458" s="1" t="s">
        <v>3515</v>
      </c>
      <c r="L458" s="7">
        <v>28074.0</v>
      </c>
      <c r="M458" s="8">
        <v>0.1200925925925926</v>
      </c>
      <c r="N458" s="6">
        <v>40.74</v>
      </c>
      <c r="O458" s="6">
        <v>65.0</v>
      </c>
      <c r="P458" s="9">
        <v>42881.0</v>
      </c>
      <c r="Q458" s="1" t="s">
        <v>75</v>
      </c>
      <c r="R458" s="1" t="s">
        <v>76</v>
      </c>
      <c r="S458" s="6">
        <v>2017.0</v>
      </c>
      <c r="T458" s="6">
        <v>5.0</v>
      </c>
      <c r="U458" s="1" t="s">
        <v>294</v>
      </c>
      <c r="V458" s="1" t="s">
        <v>294</v>
      </c>
      <c r="W458" s="6">
        <v>26.0</v>
      </c>
      <c r="X458" s="1" t="s">
        <v>263</v>
      </c>
      <c r="Y458" s="1" t="s">
        <v>264</v>
      </c>
      <c r="Z458" s="6">
        <v>0.17</v>
      </c>
      <c r="AA458" s="6">
        <v>128144.0</v>
      </c>
      <c r="AB458" s="10">
        <v>0.04</v>
      </c>
      <c r="AC458" s="1" t="s">
        <v>4986</v>
      </c>
      <c r="AD458" s="1" t="s">
        <v>4987</v>
      </c>
      <c r="AE458" s="1" t="s">
        <v>4988</v>
      </c>
      <c r="AF458" s="1" t="s">
        <v>2105</v>
      </c>
      <c r="AG458" s="1" t="s">
        <v>4988</v>
      </c>
      <c r="AH458" s="1" t="s">
        <v>857</v>
      </c>
      <c r="AI458" s="6">
        <v>64801.0</v>
      </c>
      <c r="AJ458" s="1" t="s">
        <v>86</v>
      </c>
      <c r="AK458" s="1" t="s">
        <v>4989</v>
      </c>
      <c r="AL458" s="1" t="s">
        <v>4990</v>
      </c>
      <c r="AM458" s="11" t="str">
        <f>VLOOKUP(N458,Sheet3!$B$4:$C$10,2,1)</f>
        <v>31-40</v>
      </c>
      <c r="AN458" s="13" t="str">
        <f>VLOOKUP(Z458,Sheet3!$F$4:$G$10,2,1)</f>
        <v>&lt; 5</v>
      </c>
      <c r="AO458" s="5" t="str">
        <f>VLOOKUP(AA458,Sheet3!$I$3:$J$16,2,1)</f>
        <v>120000-140000</v>
      </c>
      <c r="AP458" s="5" t="str">
        <f>VLOOKUP(AB458,Sheet3!$L$4:$M$14,2,1)</f>
        <v>&lt; 5%</v>
      </c>
    </row>
    <row r="459">
      <c r="A459" s="6">
        <v>339806.0</v>
      </c>
      <c r="B459" s="1" t="s">
        <v>42</v>
      </c>
      <c r="C459" s="1" t="s">
        <v>3680</v>
      </c>
      <c r="D459" s="1" t="s">
        <v>68</v>
      </c>
      <c r="E459" s="1" t="s">
        <v>1153</v>
      </c>
      <c r="F459" s="1" t="s">
        <v>46</v>
      </c>
      <c r="G459" s="1" t="s">
        <v>4991</v>
      </c>
      <c r="H459" s="1" t="s">
        <v>4643</v>
      </c>
      <c r="I459" s="1" t="s">
        <v>4992</v>
      </c>
      <c r="J459" s="1" t="s">
        <v>4993</v>
      </c>
      <c r="K459" s="1" t="s">
        <v>4599</v>
      </c>
      <c r="L459" s="9">
        <v>24431.0</v>
      </c>
      <c r="M459" s="8">
        <v>0.055219907407407405</v>
      </c>
      <c r="N459" s="6">
        <v>50.72</v>
      </c>
      <c r="O459" s="6">
        <v>47.0</v>
      </c>
      <c r="P459" s="9">
        <v>39895.0</v>
      </c>
      <c r="Q459" s="1" t="s">
        <v>96</v>
      </c>
      <c r="R459" s="1" t="s">
        <v>76</v>
      </c>
      <c r="S459" s="6">
        <v>2009.0</v>
      </c>
      <c r="T459" s="6">
        <v>3.0</v>
      </c>
      <c r="U459" s="1" t="s">
        <v>97</v>
      </c>
      <c r="V459" s="1" t="s">
        <v>98</v>
      </c>
      <c r="W459" s="6">
        <v>23.0</v>
      </c>
      <c r="X459" s="1" t="s">
        <v>99</v>
      </c>
      <c r="Y459" s="1" t="s">
        <v>100</v>
      </c>
      <c r="Z459" s="6">
        <v>8.35</v>
      </c>
      <c r="AA459" s="6">
        <v>63095.0</v>
      </c>
      <c r="AB459" s="10">
        <v>0.27</v>
      </c>
      <c r="AC459" s="1" t="s">
        <v>4994</v>
      </c>
      <c r="AD459" s="1" t="s">
        <v>4995</v>
      </c>
      <c r="AE459" s="1" t="s">
        <v>4996</v>
      </c>
      <c r="AF459" s="1" t="s">
        <v>649</v>
      </c>
      <c r="AG459" s="1" t="s">
        <v>4996</v>
      </c>
      <c r="AH459" s="1" t="s">
        <v>356</v>
      </c>
      <c r="AI459" s="6">
        <v>13640.0</v>
      </c>
      <c r="AJ459" s="1" t="s">
        <v>224</v>
      </c>
      <c r="AK459" s="1" t="s">
        <v>4997</v>
      </c>
      <c r="AL459" s="1" t="s">
        <v>4998</v>
      </c>
      <c r="AM459" s="11" t="str">
        <f>VLOOKUP(N459,Sheet3!$B$4:$C$10,2,1)</f>
        <v>41-50</v>
      </c>
      <c r="AN459" s="12" t="str">
        <f>VLOOKUP(Z459,Sheet3!$F$4:$G$10,2,1)</f>
        <v>5-10</v>
      </c>
      <c r="AO459" s="5" t="str">
        <f>VLOOKUP(AA459,Sheet3!$I$3:$J$16,2,1)</f>
        <v>60000-80000</v>
      </c>
      <c r="AP459" s="5" t="str">
        <f>VLOOKUP(AB459,Sheet3!$L$4:$M$14,2,1)</f>
        <v>26% - 30%</v>
      </c>
    </row>
    <row r="460">
      <c r="A460" s="6">
        <v>991522.0</v>
      </c>
      <c r="B460" s="1" t="s">
        <v>125</v>
      </c>
      <c r="C460" s="1" t="s">
        <v>660</v>
      </c>
      <c r="D460" s="1" t="s">
        <v>443</v>
      </c>
      <c r="E460" s="1" t="s">
        <v>1301</v>
      </c>
      <c r="F460" s="1" t="s">
        <v>70</v>
      </c>
      <c r="G460" s="1" t="s">
        <v>4999</v>
      </c>
      <c r="H460" s="1" t="s">
        <v>4643</v>
      </c>
      <c r="I460" s="1" t="s">
        <v>5000</v>
      </c>
      <c r="J460" s="1" t="s">
        <v>5001</v>
      </c>
      <c r="K460" s="1" t="s">
        <v>2605</v>
      </c>
      <c r="L460" s="9">
        <v>25307.0</v>
      </c>
      <c r="M460" s="8">
        <v>0.30681712962962965</v>
      </c>
      <c r="N460" s="6">
        <v>48.32</v>
      </c>
      <c r="O460" s="6">
        <v>86.0</v>
      </c>
      <c r="P460" s="9">
        <v>37213.0</v>
      </c>
      <c r="Q460" s="1" t="s">
        <v>52</v>
      </c>
      <c r="R460" s="1" t="s">
        <v>53</v>
      </c>
      <c r="S460" s="6">
        <v>2001.0</v>
      </c>
      <c r="T460" s="6">
        <v>11.0</v>
      </c>
      <c r="U460" s="1" t="s">
        <v>148</v>
      </c>
      <c r="V460" s="1" t="s">
        <v>149</v>
      </c>
      <c r="W460" s="6">
        <v>18.0</v>
      </c>
      <c r="X460" s="1" t="s">
        <v>534</v>
      </c>
      <c r="Y460" s="1" t="s">
        <v>535</v>
      </c>
      <c r="Z460" s="6">
        <v>15.7</v>
      </c>
      <c r="AA460" s="6">
        <v>168935.0</v>
      </c>
      <c r="AB460" s="10">
        <v>0.21</v>
      </c>
      <c r="AC460" s="1" t="s">
        <v>5002</v>
      </c>
      <c r="AD460" s="1" t="s">
        <v>5003</v>
      </c>
      <c r="AE460" s="1" t="s">
        <v>5004</v>
      </c>
      <c r="AF460" s="1" t="s">
        <v>5005</v>
      </c>
      <c r="AG460" s="1" t="s">
        <v>5004</v>
      </c>
      <c r="AH460" s="1" t="s">
        <v>284</v>
      </c>
      <c r="AI460" s="6">
        <v>52646.0</v>
      </c>
      <c r="AJ460" s="1" t="s">
        <v>86</v>
      </c>
      <c r="AK460" s="1" t="s">
        <v>5006</v>
      </c>
      <c r="AL460" s="1" t="s">
        <v>5007</v>
      </c>
      <c r="AM460" s="11" t="str">
        <f>VLOOKUP(N460,Sheet3!$B$4:$C$10,2,1)</f>
        <v>41-50</v>
      </c>
      <c r="AN460" s="12" t="str">
        <f>VLOOKUP(Z460,Sheet3!$F$4:$G$10,2,1)</f>
        <v>11-20</v>
      </c>
      <c r="AO460" s="5" t="str">
        <f>VLOOKUP(AA460,Sheet3!$I$3:$J$16,2,1)</f>
        <v>160000-180000</v>
      </c>
      <c r="AP460" s="5" t="str">
        <f>VLOOKUP(AB460,Sheet3!$L$4:$M$14,2,1)</f>
        <v>21% - 25%</v>
      </c>
    </row>
    <row r="461">
      <c r="A461" s="6">
        <v>830373.0</v>
      </c>
      <c r="B461" s="1" t="s">
        <v>66</v>
      </c>
      <c r="C461" s="1" t="s">
        <v>4863</v>
      </c>
      <c r="D461" s="1" t="s">
        <v>389</v>
      </c>
      <c r="E461" s="1" t="s">
        <v>3793</v>
      </c>
      <c r="F461" s="1" t="s">
        <v>70</v>
      </c>
      <c r="G461" s="1" t="s">
        <v>5008</v>
      </c>
      <c r="H461" s="1" t="s">
        <v>4643</v>
      </c>
      <c r="I461" s="1" t="s">
        <v>5009</v>
      </c>
      <c r="J461" s="1" t="s">
        <v>5010</v>
      </c>
      <c r="K461" s="1" t="s">
        <v>371</v>
      </c>
      <c r="L461" s="9">
        <v>30058.0</v>
      </c>
      <c r="M461" s="8">
        <v>0.27445601851851853</v>
      </c>
      <c r="N461" s="6">
        <v>35.3</v>
      </c>
      <c r="O461" s="6">
        <v>75.0</v>
      </c>
      <c r="P461" s="9">
        <v>41330.0</v>
      </c>
      <c r="Q461" s="1" t="s">
        <v>96</v>
      </c>
      <c r="R461" s="1" t="s">
        <v>76</v>
      </c>
      <c r="S461" s="6">
        <v>2013.0</v>
      </c>
      <c r="T461" s="6">
        <v>2.0</v>
      </c>
      <c r="U461" s="1" t="s">
        <v>117</v>
      </c>
      <c r="V461" s="1" t="s">
        <v>118</v>
      </c>
      <c r="W461" s="6">
        <v>25.0</v>
      </c>
      <c r="X461" s="1" t="s">
        <v>99</v>
      </c>
      <c r="Y461" s="1" t="s">
        <v>100</v>
      </c>
      <c r="Z461" s="6">
        <v>4.42</v>
      </c>
      <c r="AA461" s="6">
        <v>189337.0</v>
      </c>
      <c r="AB461" s="10">
        <v>0.18</v>
      </c>
      <c r="AC461" s="1" t="s">
        <v>5011</v>
      </c>
      <c r="AD461" s="1" t="s">
        <v>5012</v>
      </c>
      <c r="AE461" s="1" t="s">
        <v>5013</v>
      </c>
      <c r="AF461" s="1" t="s">
        <v>5014</v>
      </c>
      <c r="AG461" s="1" t="s">
        <v>5013</v>
      </c>
      <c r="AH461" s="1" t="s">
        <v>475</v>
      </c>
      <c r="AI461" s="6">
        <v>59932.0</v>
      </c>
      <c r="AJ461" s="1" t="s">
        <v>63</v>
      </c>
      <c r="AK461" s="1" t="s">
        <v>5015</v>
      </c>
      <c r="AL461" s="1" t="s">
        <v>5016</v>
      </c>
      <c r="AM461" s="11" t="str">
        <f>VLOOKUP(N461,Sheet3!$B$4:$C$10,2,1)</f>
        <v>31-40</v>
      </c>
      <c r="AN461" s="13" t="str">
        <f>VLOOKUP(Z461,Sheet3!$F$4:$G$10,2,1)</f>
        <v>&lt; 5</v>
      </c>
      <c r="AO461" s="5" t="str">
        <f>VLOOKUP(AA461,Sheet3!$I$3:$J$16,2,1)</f>
        <v>180000-200000</v>
      </c>
      <c r="AP461" s="5" t="str">
        <f>VLOOKUP(AB461,Sheet3!$L$4:$M$14,2,1)</f>
        <v>16% - 20%</v>
      </c>
    </row>
    <row r="462">
      <c r="A462" s="6">
        <v>987377.0</v>
      </c>
      <c r="B462" s="1" t="s">
        <v>125</v>
      </c>
      <c r="C462" s="1" t="s">
        <v>1176</v>
      </c>
      <c r="D462" s="1" t="s">
        <v>186</v>
      </c>
      <c r="E462" s="1" t="s">
        <v>3132</v>
      </c>
      <c r="F462" s="1" t="s">
        <v>70</v>
      </c>
      <c r="G462" s="1" t="s">
        <v>5017</v>
      </c>
      <c r="H462" s="1" t="s">
        <v>4643</v>
      </c>
      <c r="I462" s="1" t="s">
        <v>5018</v>
      </c>
      <c r="J462" s="1" t="s">
        <v>5019</v>
      </c>
      <c r="K462" s="1" t="s">
        <v>665</v>
      </c>
      <c r="L462" s="9">
        <v>23342.0</v>
      </c>
      <c r="M462" s="8">
        <v>0.1607523148148148</v>
      </c>
      <c r="N462" s="6">
        <v>53.7</v>
      </c>
      <c r="O462" s="6">
        <v>59.0</v>
      </c>
      <c r="P462" s="9">
        <v>40039.0</v>
      </c>
      <c r="Q462" s="1" t="s">
        <v>308</v>
      </c>
      <c r="R462" s="1" t="s">
        <v>53</v>
      </c>
      <c r="S462" s="6">
        <v>2009.0</v>
      </c>
      <c r="T462" s="6">
        <v>8.0</v>
      </c>
      <c r="U462" s="1" t="s">
        <v>433</v>
      </c>
      <c r="V462" s="1" t="s">
        <v>434</v>
      </c>
      <c r="W462" s="6">
        <v>14.0</v>
      </c>
      <c r="X462" s="1" t="s">
        <v>263</v>
      </c>
      <c r="Y462" s="1" t="s">
        <v>264</v>
      </c>
      <c r="Z462" s="6">
        <v>7.96</v>
      </c>
      <c r="AA462" s="6">
        <v>184370.0</v>
      </c>
      <c r="AB462" s="10">
        <v>0.15</v>
      </c>
      <c r="AC462" s="1" t="s">
        <v>5020</v>
      </c>
      <c r="AD462" s="1" t="s">
        <v>5021</v>
      </c>
      <c r="AE462" s="1" t="s">
        <v>5022</v>
      </c>
      <c r="AF462" s="1" t="s">
        <v>5023</v>
      </c>
      <c r="AG462" s="1" t="s">
        <v>5022</v>
      </c>
      <c r="AH462" s="1" t="s">
        <v>1505</v>
      </c>
      <c r="AI462" s="6">
        <v>55973.0</v>
      </c>
      <c r="AJ462" s="1" t="s">
        <v>86</v>
      </c>
      <c r="AK462" s="1" t="s">
        <v>5024</v>
      </c>
      <c r="AL462" s="1" t="s">
        <v>5025</v>
      </c>
      <c r="AM462" s="11" t="str">
        <f>VLOOKUP(N462,Sheet3!$B$4:$C$10,2,1)</f>
        <v>51-60</v>
      </c>
      <c r="AN462" s="12" t="str">
        <f>VLOOKUP(Z462,Sheet3!$F$4:$G$10,2,1)</f>
        <v>5-10</v>
      </c>
      <c r="AO462" s="5" t="str">
        <f>VLOOKUP(AA462,Sheet3!$I$3:$J$16,2,1)</f>
        <v>180000-200000</v>
      </c>
      <c r="AP462" s="5" t="str">
        <f>VLOOKUP(AB462,Sheet3!$L$4:$M$14,2,1)</f>
        <v>11% - 15%</v>
      </c>
    </row>
    <row r="463">
      <c r="A463" s="6">
        <v>551251.0</v>
      </c>
      <c r="B463" s="1" t="s">
        <v>66</v>
      </c>
      <c r="C463" s="1" t="s">
        <v>5026</v>
      </c>
      <c r="D463" s="1" t="s">
        <v>242</v>
      </c>
      <c r="E463" s="1" t="s">
        <v>1967</v>
      </c>
      <c r="F463" s="1" t="s">
        <v>70</v>
      </c>
      <c r="G463" s="1" t="s">
        <v>5027</v>
      </c>
      <c r="H463" s="1" t="s">
        <v>4643</v>
      </c>
      <c r="I463" s="1" t="s">
        <v>5028</v>
      </c>
      <c r="J463" s="1" t="s">
        <v>5029</v>
      </c>
      <c r="K463" s="1" t="s">
        <v>5030</v>
      </c>
      <c r="L463" s="9">
        <v>23002.0</v>
      </c>
      <c r="M463" s="8">
        <v>0.5901736111111111</v>
      </c>
      <c r="N463" s="6">
        <v>54.64</v>
      </c>
      <c r="O463" s="6">
        <v>79.0</v>
      </c>
      <c r="P463" s="9">
        <v>42120.0</v>
      </c>
      <c r="Q463" s="1" t="s">
        <v>75</v>
      </c>
      <c r="R463" s="1" t="s">
        <v>76</v>
      </c>
      <c r="S463" s="6">
        <v>2015.0</v>
      </c>
      <c r="T463" s="6">
        <v>4.0</v>
      </c>
      <c r="U463" s="1" t="s">
        <v>77</v>
      </c>
      <c r="V463" s="1" t="s">
        <v>78</v>
      </c>
      <c r="W463" s="6">
        <v>26.0</v>
      </c>
      <c r="X463" s="1" t="s">
        <v>534</v>
      </c>
      <c r="Y463" s="1" t="s">
        <v>535</v>
      </c>
      <c r="Z463" s="6">
        <v>2.26</v>
      </c>
      <c r="AA463" s="6">
        <v>180550.0</v>
      </c>
      <c r="AB463" s="10">
        <v>0.23</v>
      </c>
      <c r="AC463" s="1" t="s">
        <v>5031</v>
      </c>
      <c r="AD463" s="1" t="s">
        <v>5032</v>
      </c>
      <c r="AE463" s="1" t="s">
        <v>5033</v>
      </c>
      <c r="AF463" s="1" t="s">
        <v>5034</v>
      </c>
      <c r="AG463" s="1" t="s">
        <v>5033</v>
      </c>
      <c r="AH463" s="1" t="s">
        <v>1561</v>
      </c>
      <c r="AI463" s="6">
        <v>54240.0</v>
      </c>
      <c r="AJ463" s="1" t="s">
        <v>86</v>
      </c>
      <c r="AK463" s="1" t="s">
        <v>5035</v>
      </c>
      <c r="AL463" s="1" t="s">
        <v>5036</v>
      </c>
      <c r="AM463" s="11" t="str">
        <f>VLOOKUP(N463,Sheet3!$B$4:$C$10,2,1)</f>
        <v>51-60</v>
      </c>
      <c r="AN463" s="13" t="str">
        <f>VLOOKUP(Z463,Sheet3!$F$4:$G$10,2,1)</f>
        <v>&lt; 5</v>
      </c>
      <c r="AO463" s="5" t="str">
        <f>VLOOKUP(AA463,Sheet3!$I$3:$J$16,2,1)</f>
        <v>180000-200000</v>
      </c>
      <c r="AP463" s="5" t="str">
        <f>VLOOKUP(AB463,Sheet3!$L$4:$M$14,2,1)</f>
        <v>21% - 25%</v>
      </c>
    </row>
    <row r="464">
      <c r="A464" s="6">
        <v>143864.0</v>
      </c>
      <c r="B464" s="1" t="s">
        <v>42</v>
      </c>
      <c r="C464" s="1" t="s">
        <v>5037</v>
      </c>
      <c r="D464" s="1" t="s">
        <v>554</v>
      </c>
      <c r="E464" s="1" t="s">
        <v>2633</v>
      </c>
      <c r="F464" s="1" t="s">
        <v>46</v>
      </c>
      <c r="G464" s="1" t="s">
        <v>5038</v>
      </c>
      <c r="H464" s="1" t="s">
        <v>4643</v>
      </c>
      <c r="I464" s="1" t="s">
        <v>5039</v>
      </c>
      <c r="J464" s="1" t="s">
        <v>5040</v>
      </c>
      <c r="K464" s="1" t="s">
        <v>5041</v>
      </c>
      <c r="L464" s="9">
        <v>27022.0</v>
      </c>
      <c r="M464" s="8">
        <v>0.5685532407407408</v>
      </c>
      <c r="N464" s="6">
        <v>43.62</v>
      </c>
      <c r="O464" s="6">
        <v>58.0</v>
      </c>
      <c r="P464" s="9">
        <v>36975.0</v>
      </c>
      <c r="Q464" s="1" t="s">
        <v>96</v>
      </c>
      <c r="R464" s="1" t="s">
        <v>76</v>
      </c>
      <c r="S464" s="6">
        <v>2001.0</v>
      </c>
      <c r="T464" s="6">
        <v>3.0</v>
      </c>
      <c r="U464" s="1" t="s">
        <v>97</v>
      </c>
      <c r="V464" s="1" t="s">
        <v>98</v>
      </c>
      <c r="W464" s="6">
        <v>25.0</v>
      </c>
      <c r="X464" s="1" t="s">
        <v>534</v>
      </c>
      <c r="Y464" s="1" t="s">
        <v>535</v>
      </c>
      <c r="Z464" s="6">
        <v>16.35</v>
      </c>
      <c r="AA464" s="6">
        <v>118172.0</v>
      </c>
      <c r="AB464" s="10">
        <v>0.13</v>
      </c>
      <c r="AC464" s="1" t="s">
        <v>5042</v>
      </c>
      <c r="AD464" s="1" t="s">
        <v>5043</v>
      </c>
      <c r="AE464" s="1" t="s">
        <v>371</v>
      </c>
      <c r="AF464" s="1" t="s">
        <v>371</v>
      </c>
      <c r="AG464" s="1" t="s">
        <v>371</v>
      </c>
      <c r="AH464" s="1" t="s">
        <v>4942</v>
      </c>
      <c r="AI464" s="6">
        <v>20023.0</v>
      </c>
      <c r="AJ464" s="1" t="s">
        <v>106</v>
      </c>
      <c r="AK464" s="1" t="s">
        <v>5044</v>
      </c>
      <c r="AL464" s="1" t="s">
        <v>5045</v>
      </c>
      <c r="AM464" s="11" t="str">
        <f>VLOOKUP(N464,Sheet3!$B$4:$C$10,2,1)</f>
        <v>41-50</v>
      </c>
      <c r="AN464" s="12" t="str">
        <f>VLOOKUP(Z464,Sheet3!$F$4:$G$10,2,1)</f>
        <v>11-20</v>
      </c>
      <c r="AO464" s="5" t="str">
        <f>VLOOKUP(AA464,Sheet3!$I$3:$J$16,2,1)</f>
        <v>100000-120000</v>
      </c>
      <c r="AP464" s="5" t="str">
        <f>VLOOKUP(AB464,Sheet3!$L$4:$M$14,2,1)</f>
        <v>11% - 15%</v>
      </c>
    </row>
    <row r="465">
      <c r="A465" s="6">
        <v>679990.0</v>
      </c>
      <c r="B465" s="1" t="s">
        <v>66</v>
      </c>
      <c r="C465" s="1" t="s">
        <v>5046</v>
      </c>
      <c r="D465" s="1" t="s">
        <v>443</v>
      </c>
      <c r="E465" s="1" t="s">
        <v>2267</v>
      </c>
      <c r="F465" s="1" t="s">
        <v>70</v>
      </c>
      <c r="G465" s="1" t="s">
        <v>5047</v>
      </c>
      <c r="H465" s="1" t="s">
        <v>4643</v>
      </c>
      <c r="I465" s="1" t="s">
        <v>5048</v>
      </c>
      <c r="J465" s="1" t="s">
        <v>5049</v>
      </c>
      <c r="K465" s="1" t="s">
        <v>5050</v>
      </c>
      <c r="L465" s="9">
        <v>34389.0</v>
      </c>
      <c r="M465" s="8">
        <v>0.0901388888888889</v>
      </c>
      <c r="N465" s="6">
        <v>23.44</v>
      </c>
      <c r="O465" s="6">
        <v>51.0</v>
      </c>
      <c r="P465" s="14">
        <v>42676.0</v>
      </c>
      <c r="Q465" s="1" t="s">
        <v>52</v>
      </c>
      <c r="R465" s="1" t="s">
        <v>53</v>
      </c>
      <c r="S465" s="6">
        <v>2016.0</v>
      </c>
      <c r="T465" s="6">
        <v>11.0</v>
      </c>
      <c r="U465" s="1" t="s">
        <v>148</v>
      </c>
      <c r="V465" s="1" t="s">
        <v>149</v>
      </c>
      <c r="W465" s="6">
        <v>2.0</v>
      </c>
      <c r="X465" s="1" t="s">
        <v>278</v>
      </c>
      <c r="Y465" s="1" t="s">
        <v>279</v>
      </c>
      <c r="Z465" s="6">
        <v>0.73</v>
      </c>
      <c r="AA465" s="6">
        <v>116818.0</v>
      </c>
      <c r="AB465" s="10">
        <v>0.12</v>
      </c>
      <c r="AC465" s="1" t="s">
        <v>5051</v>
      </c>
      <c r="AD465" s="1" t="s">
        <v>5052</v>
      </c>
      <c r="AE465" s="1" t="s">
        <v>5053</v>
      </c>
      <c r="AF465" s="1" t="s">
        <v>487</v>
      </c>
      <c r="AG465" s="1" t="s">
        <v>5053</v>
      </c>
      <c r="AH465" s="1" t="s">
        <v>196</v>
      </c>
      <c r="AI465" s="6">
        <v>38544.0</v>
      </c>
      <c r="AJ465" s="1" t="s">
        <v>106</v>
      </c>
      <c r="AK465" s="1" t="s">
        <v>5054</v>
      </c>
      <c r="AL465" s="1" t="s">
        <v>5055</v>
      </c>
      <c r="AM465" s="11" t="str">
        <f>VLOOKUP(N465,Sheet3!$B$4:$C$10,2,1)</f>
        <v>21-30</v>
      </c>
      <c r="AN465" s="13" t="str">
        <f>VLOOKUP(Z465,Sheet3!$F$4:$G$10,2,1)</f>
        <v>&lt; 5</v>
      </c>
      <c r="AO465" s="5" t="str">
        <f>VLOOKUP(AA465,Sheet3!$I$3:$J$16,2,1)</f>
        <v>100000-120000</v>
      </c>
      <c r="AP465" s="5" t="str">
        <f>VLOOKUP(AB465,Sheet3!$L$4:$M$14,2,1)</f>
        <v>11% - 15%</v>
      </c>
    </row>
    <row r="466">
      <c r="A466" s="6">
        <v>851939.0</v>
      </c>
      <c r="B466" s="1" t="s">
        <v>89</v>
      </c>
      <c r="C466" s="1" t="s">
        <v>5056</v>
      </c>
      <c r="D466" s="1" t="s">
        <v>403</v>
      </c>
      <c r="E466" s="1" t="s">
        <v>147</v>
      </c>
      <c r="F466" s="1" t="s">
        <v>46</v>
      </c>
      <c r="G466" s="1" t="s">
        <v>5057</v>
      </c>
      <c r="H466" s="1" t="s">
        <v>4643</v>
      </c>
      <c r="I466" s="1" t="s">
        <v>5058</v>
      </c>
      <c r="J466" s="1" t="s">
        <v>5059</v>
      </c>
      <c r="K466" s="1" t="s">
        <v>4383</v>
      </c>
      <c r="L466" s="9">
        <v>33530.0</v>
      </c>
      <c r="M466" s="8">
        <v>0.23828703703703705</v>
      </c>
      <c r="N466" s="6">
        <v>25.79</v>
      </c>
      <c r="O466" s="6">
        <v>43.0</v>
      </c>
      <c r="P466" s="9">
        <v>42758.0</v>
      </c>
      <c r="Q466" s="1" t="s">
        <v>96</v>
      </c>
      <c r="R466" s="1" t="s">
        <v>76</v>
      </c>
      <c r="S466" s="6">
        <v>2017.0</v>
      </c>
      <c r="T466" s="6">
        <v>1.0</v>
      </c>
      <c r="U466" s="1" t="s">
        <v>276</v>
      </c>
      <c r="V466" s="1" t="s">
        <v>277</v>
      </c>
      <c r="W466" s="6">
        <v>23.0</v>
      </c>
      <c r="X466" s="1" t="s">
        <v>99</v>
      </c>
      <c r="Y466" s="1" t="s">
        <v>100</v>
      </c>
      <c r="Z466" s="6">
        <v>0.51</v>
      </c>
      <c r="AA466" s="6">
        <v>156339.0</v>
      </c>
      <c r="AB466" s="10">
        <v>0.04</v>
      </c>
      <c r="AC466" s="1" t="s">
        <v>5060</v>
      </c>
      <c r="AD466" s="1" t="s">
        <v>5061</v>
      </c>
      <c r="AE466" s="1" t="s">
        <v>5062</v>
      </c>
      <c r="AF466" s="1" t="s">
        <v>2105</v>
      </c>
      <c r="AG466" s="1" t="s">
        <v>5062</v>
      </c>
      <c r="AH466" s="1" t="s">
        <v>284</v>
      </c>
      <c r="AI466" s="6">
        <v>50137.0</v>
      </c>
      <c r="AJ466" s="1" t="s">
        <v>86</v>
      </c>
      <c r="AK466" s="1" t="s">
        <v>5063</v>
      </c>
      <c r="AL466" s="1" t="s">
        <v>5064</v>
      </c>
      <c r="AM466" s="11" t="str">
        <f>VLOOKUP(N466,Sheet3!$B$4:$C$10,2,1)</f>
        <v>21-30</v>
      </c>
      <c r="AN466" s="13" t="str">
        <f>VLOOKUP(Z466,Sheet3!$F$4:$G$10,2,1)</f>
        <v>&lt; 5</v>
      </c>
      <c r="AO466" s="5" t="str">
        <f>VLOOKUP(AA466,Sheet3!$I$3:$J$16,2,1)</f>
        <v>140000-160000</v>
      </c>
      <c r="AP466" s="5" t="str">
        <f>VLOOKUP(AB466,Sheet3!$L$4:$M$14,2,1)</f>
        <v>&lt; 5%</v>
      </c>
    </row>
    <row r="467">
      <c r="A467" s="6">
        <v>272885.0</v>
      </c>
      <c r="B467" s="1" t="s">
        <v>42</v>
      </c>
      <c r="C467" s="1" t="s">
        <v>5065</v>
      </c>
      <c r="D467" s="1" t="s">
        <v>554</v>
      </c>
      <c r="E467" s="1" t="s">
        <v>901</v>
      </c>
      <c r="F467" s="1" t="s">
        <v>46</v>
      </c>
      <c r="G467" s="1" t="s">
        <v>5066</v>
      </c>
      <c r="H467" s="1" t="s">
        <v>4643</v>
      </c>
      <c r="I467" s="1" t="s">
        <v>5067</v>
      </c>
      <c r="J467" s="1" t="s">
        <v>5068</v>
      </c>
      <c r="K467" s="1" t="s">
        <v>1787</v>
      </c>
      <c r="L467" s="14">
        <v>26401.0</v>
      </c>
      <c r="M467" s="8">
        <v>0.6515046296296296</v>
      </c>
      <c r="N467" s="6">
        <v>45.32</v>
      </c>
      <c r="O467" s="6">
        <v>42.0</v>
      </c>
      <c r="P467" s="9">
        <v>40899.0</v>
      </c>
      <c r="Q467" s="1" t="s">
        <v>52</v>
      </c>
      <c r="R467" s="1" t="s">
        <v>53</v>
      </c>
      <c r="S467" s="6">
        <v>2011.0</v>
      </c>
      <c r="T467" s="6">
        <v>12.0</v>
      </c>
      <c r="U467" s="1" t="s">
        <v>54</v>
      </c>
      <c r="V467" s="1" t="s">
        <v>55</v>
      </c>
      <c r="W467" s="6">
        <v>22.0</v>
      </c>
      <c r="X467" s="1" t="s">
        <v>150</v>
      </c>
      <c r="Y467" s="1" t="s">
        <v>151</v>
      </c>
      <c r="Z467" s="6">
        <v>5.6</v>
      </c>
      <c r="AA467" s="6">
        <v>81401.0</v>
      </c>
      <c r="AB467" s="10">
        <v>0.28</v>
      </c>
      <c r="AC467" s="1" t="s">
        <v>5069</v>
      </c>
      <c r="AD467" s="1" t="s">
        <v>5070</v>
      </c>
      <c r="AE467" s="1" t="s">
        <v>5071</v>
      </c>
      <c r="AF467" s="1" t="s">
        <v>5072</v>
      </c>
      <c r="AG467" s="1" t="s">
        <v>5071</v>
      </c>
      <c r="AH467" s="1" t="s">
        <v>475</v>
      </c>
      <c r="AI467" s="6">
        <v>59648.0</v>
      </c>
      <c r="AJ467" s="1" t="s">
        <v>63</v>
      </c>
      <c r="AK467" s="1" t="s">
        <v>5073</v>
      </c>
      <c r="AL467" s="1" t="s">
        <v>5074</v>
      </c>
      <c r="AM467" s="11" t="str">
        <f>VLOOKUP(N467,Sheet3!$B$4:$C$10,2,1)</f>
        <v>41-50</v>
      </c>
      <c r="AN467" s="12" t="str">
        <f>VLOOKUP(Z467,Sheet3!$F$4:$G$10,2,1)</f>
        <v>5-10</v>
      </c>
      <c r="AO467" s="5" t="str">
        <f>VLOOKUP(AA467,Sheet3!$I$3:$J$16,2,1)</f>
        <v>80000-100000</v>
      </c>
      <c r="AP467" s="5" t="str">
        <f>VLOOKUP(AB467,Sheet3!$L$4:$M$14,2,1)</f>
        <v>26% - 30%</v>
      </c>
    </row>
    <row r="468">
      <c r="A468" s="6">
        <v>588553.0</v>
      </c>
      <c r="B468" s="1" t="s">
        <v>42</v>
      </c>
      <c r="C468" s="1" t="s">
        <v>5075</v>
      </c>
      <c r="D468" s="1" t="s">
        <v>466</v>
      </c>
      <c r="E468" s="1" t="s">
        <v>4605</v>
      </c>
      <c r="F468" s="1" t="s">
        <v>46</v>
      </c>
      <c r="G468" s="1" t="s">
        <v>5076</v>
      </c>
      <c r="H468" s="1" t="s">
        <v>4643</v>
      </c>
      <c r="I468" s="1" t="s">
        <v>5077</v>
      </c>
      <c r="J468" s="1" t="s">
        <v>5078</v>
      </c>
      <c r="K468" s="1" t="s">
        <v>3571</v>
      </c>
      <c r="L468" s="14">
        <v>31720.0</v>
      </c>
      <c r="M468" s="8">
        <v>0.08583333333333333</v>
      </c>
      <c r="N468" s="6">
        <v>30.75</v>
      </c>
      <c r="O468" s="6">
        <v>41.0</v>
      </c>
      <c r="P468" s="14">
        <v>40332.0</v>
      </c>
      <c r="Q468" s="1" t="s">
        <v>75</v>
      </c>
      <c r="R468" s="1" t="s">
        <v>76</v>
      </c>
      <c r="S468" s="6">
        <v>2010.0</v>
      </c>
      <c r="T468" s="6">
        <v>6.0</v>
      </c>
      <c r="U468" s="1" t="s">
        <v>324</v>
      </c>
      <c r="V468" s="1" t="s">
        <v>325</v>
      </c>
      <c r="W468" s="6">
        <v>3.0</v>
      </c>
      <c r="X468" s="1" t="s">
        <v>150</v>
      </c>
      <c r="Y468" s="1" t="s">
        <v>151</v>
      </c>
      <c r="Z468" s="6">
        <v>7.16</v>
      </c>
      <c r="AA468" s="6">
        <v>45345.0</v>
      </c>
      <c r="AB468" s="10">
        <v>0.24</v>
      </c>
      <c r="AC468" s="1" t="s">
        <v>5079</v>
      </c>
      <c r="AD468" s="1" t="s">
        <v>5080</v>
      </c>
      <c r="AE468" s="1" t="s">
        <v>5081</v>
      </c>
      <c r="AF468" s="1" t="s">
        <v>5082</v>
      </c>
      <c r="AG468" s="1" t="s">
        <v>5081</v>
      </c>
      <c r="AH468" s="1" t="s">
        <v>439</v>
      </c>
      <c r="AI468" s="6">
        <v>4029.0</v>
      </c>
      <c r="AJ468" s="1" t="s">
        <v>224</v>
      </c>
      <c r="AK468" s="1" t="s">
        <v>5083</v>
      </c>
      <c r="AL468" s="1" t="s">
        <v>5084</v>
      </c>
      <c r="AM468" s="11" t="str">
        <f>VLOOKUP(N468,Sheet3!$B$4:$C$10,2,1)</f>
        <v>21-30</v>
      </c>
      <c r="AN468" s="12" t="str">
        <f>VLOOKUP(Z468,Sheet3!$F$4:$G$10,2,1)</f>
        <v>5-10</v>
      </c>
      <c r="AO468" s="5" t="str">
        <f>VLOOKUP(AA468,Sheet3!$I$3:$J$16,2,1)</f>
        <v>40000-60000</v>
      </c>
      <c r="AP468" s="5" t="str">
        <f>VLOOKUP(AB468,Sheet3!$L$4:$M$14,2,1)</f>
        <v>21% - 25%</v>
      </c>
    </row>
    <row r="469">
      <c r="A469" s="6">
        <v>739367.0</v>
      </c>
      <c r="B469" s="1" t="s">
        <v>89</v>
      </c>
      <c r="C469" s="1" t="s">
        <v>5085</v>
      </c>
      <c r="D469" s="1" t="s">
        <v>554</v>
      </c>
      <c r="E469" s="1" t="s">
        <v>2968</v>
      </c>
      <c r="F469" s="1" t="s">
        <v>46</v>
      </c>
      <c r="G469" s="1" t="s">
        <v>5086</v>
      </c>
      <c r="H469" s="1" t="s">
        <v>4643</v>
      </c>
      <c r="I469" s="1" t="s">
        <v>5087</v>
      </c>
      <c r="J469" s="1" t="s">
        <v>5088</v>
      </c>
      <c r="K469" s="1" t="s">
        <v>1378</v>
      </c>
      <c r="L469" s="9">
        <v>28636.0</v>
      </c>
      <c r="M469" s="8">
        <v>0.723599537037037</v>
      </c>
      <c r="N469" s="6">
        <v>39.2</v>
      </c>
      <c r="O469" s="6">
        <v>46.0</v>
      </c>
      <c r="P469" s="14">
        <v>41097.0</v>
      </c>
      <c r="Q469" s="1" t="s">
        <v>308</v>
      </c>
      <c r="R469" s="1" t="s">
        <v>53</v>
      </c>
      <c r="S469" s="6">
        <v>2012.0</v>
      </c>
      <c r="T469" s="6">
        <v>7.0</v>
      </c>
      <c r="U469" s="1" t="s">
        <v>366</v>
      </c>
      <c r="V469" s="1" t="s">
        <v>367</v>
      </c>
      <c r="W469" s="6">
        <v>7.0</v>
      </c>
      <c r="X469" s="1" t="s">
        <v>56</v>
      </c>
      <c r="Y469" s="1" t="s">
        <v>57</v>
      </c>
      <c r="Z469" s="6">
        <v>5.06</v>
      </c>
      <c r="AA469" s="6">
        <v>46119.0</v>
      </c>
      <c r="AB469" s="10">
        <v>0.04</v>
      </c>
      <c r="AC469" s="1" t="s">
        <v>5089</v>
      </c>
      <c r="AD469" s="1" t="s">
        <v>5090</v>
      </c>
      <c r="AE469" s="1" t="s">
        <v>5091</v>
      </c>
      <c r="AF469" s="1" t="s">
        <v>5092</v>
      </c>
      <c r="AG469" s="1" t="s">
        <v>5091</v>
      </c>
      <c r="AH469" s="1" t="s">
        <v>156</v>
      </c>
      <c r="AI469" s="6">
        <v>24370.0</v>
      </c>
      <c r="AJ469" s="1" t="s">
        <v>106</v>
      </c>
      <c r="AK469" s="1" t="s">
        <v>5093</v>
      </c>
      <c r="AL469" s="1" t="s">
        <v>5094</v>
      </c>
      <c r="AM469" s="11" t="str">
        <f>VLOOKUP(N469,Sheet3!$B$4:$C$10,2,1)</f>
        <v>31-40</v>
      </c>
      <c r="AN469" s="12" t="str">
        <f>VLOOKUP(Z469,Sheet3!$F$4:$G$10,2,1)</f>
        <v>5-10</v>
      </c>
      <c r="AO469" s="5" t="str">
        <f>VLOOKUP(AA469,Sheet3!$I$3:$J$16,2,1)</f>
        <v>40000-60000</v>
      </c>
      <c r="AP469" s="5" t="str">
        <f>VLOOKUP(AB469,Sheet3!$L$4:$M$14,2,1)</f>
        <v>&lt; 5%</v>
      </c>
    </row>
    <row r="470">
      <c r="A470" s="6">
        <v>271247.0</v>
      </c>
      <c r="B470" s="1" t="s">
        <v>109</v>
      </c>
      <c r="C470" s="1" t="s">
        <v>730</v>
      </c>
      <c r="D470" s="1" t="s">
        <v>288</v>
      </c>
      <c r="E470" s="1" t="s">
        <v>856</v>
      </c>
      <c r="F470" s="1" t="s">
        <v>46</v>
      </c>
      <c r="G470" s="1" t="s">
        <v>5095</v>
      </c>
      <c r="H470" s="1" t="s">
        <v>4643</v>
      </c>
      <c r="I470" s="1" t="s">
        <v>5096</v>
      </c>
      <c r="J470" s="1" t="s">
        <v>5097</v>
      </c>
      <c r="K470" s="1" t="s">
        <v>5098</v>
      </c>
      <c r="L470" s="14">
        <v>33483.0</v>
      </c>
      <c r="M470" s="8">
        <v>0.08331018518518518</v>
      </c>
      <c r="N470" s="6">
        <v>25.92</v>
      </c>
      <c r="O470" s="6">
        <v>46.0</v>
      </c>
      <c r="P470" s="9">
        <v>41512.0</v>
      </c>
      <c r="Q470" s="1" t="s">
        <v>308</v>
      </c>
      <c r="R470" s="1" t="s">
        <v>53</v>
      </c>
      <c r="S470" s="6">
        <v>2013.0</v>
      </c>
      <c r="T470" s="6">
        <v>8.0</v>
      </c>
      <c r="U470" s="1" t="s">
        <v>433</v>
      </c>
      <c r="V470" s="1" t="s">
        <v>434</v>
      </c>
      <c r="W470" s="6">
        <v>26.0</v>
      </c>
      <c r="X470" s="1" t="s">
        <v>99</v>
      </c>
      <c r="Y470" s="1" t="s">
        <v>100</v>
      </c>
      <c r="Z470" s="6">
        <v>3.92</v>
      </c>
      <c r="AA470" s="6">
        <v>155974.0</v>
      </c>
      <c r="AB470" s="10">
        <v>0.25</v>
      </c>
      <c r="AC470" s="1" t="s">
        <v>5099</v>
      </c>
      <c r="AD470" s="1" t="s">
        <v>5100</v>
      </c>
      <c r="AE470" s="1" t="s">
        <v>237</v>
      </c>
      <c r="AF470" s="1" t="s">
        <v>237</v>
      </c>
      <c r="AG470" s="1" t="s">
        <v>237</v>
      </c>
      <c r="AH470" s="1" t="s">
        <v>238</v>
      </c>
      <c r="AI470" s="6">
        <v>90080.0</v>
      </c>
      <c r="AJ470" s="1" t="s">
        <v>63</v>
      </c>
      <c r="AK470" s="1" t="s">
        <v>5101</v>
      </c>
      <c r="AL470" s="1" t="s">
        <v>5102</v>
      </c>
      <c r="AM470" s="11" t="str">
        <f>VLOOKUP(N470,Sheet3!$B$4:$C$10,2,1)</f>
        <v>21-30</v>
      </c>
      <c r="AN470" s="13" t="str">
        <f>VLOOKUP(Z470,Sheet3!$F$4:$G$10,2,1)</f>
        <v>&lt; 5</v>
      </c>
      <c r="AO470" s="5" t="str">
        <f>VLOOKUP(AA470,Sheet3!$I$3:$J$16,2,1)</f>
        <v>140000-160000</v>
      </c>
      <c r="AP470" s="5" t="str">
        <f>VLOOKUP(AB470,Sheet3!$L$4:$M$14,2,1)</f>
        <v>21% - 25%</v>
      </c>
    </row>
    <row r="471">
      <c r="A471" s="6">
        <v>778200.0</v>
      </c>
      <c r="B471" s="1" t="s">
        <v>66</v>
      </c>
      <c r="C471" s="1" t="s">
        <v>5103</v>
      </c>
      <c r="D471" s="1" t="s">
        <v>360</v>
      </c>
      <c r="E471" s="1" t="s">
        <v>3188</v>
      </c>
      <c r="F471" s="1" t="s">
        <v>70</v>
      </c>
      <c r="G471" s="1" t="s">
        <v>5104</v>
      </c>
      <c r="H471" s="1" t="s">
        <v>4643</v>
      </c>
      <c r="I471" s="1" t="s">
        <v>5105</v>
      </c>
      <c r="J471" s="1" t="s">
        <v>5106</v>
      </c>
      <c r="K471" s="1" t="s">
        <v>5107</v>
      </c>
      <c r="L471" s="14">
        <v>21764.0</v>
      </c>
      <c r="M471" s="8">
        <v>0.029861111111111113</v>
      </c>
      <c r="N471" s="6">
        <v>58.03</v>
      </c>
      <c r="O471" s="6">
        <v>50.0</v>
      </c>
      <c r="P471" s="9">
        <v>35385.0</v>
      </c>
      <c r="Q471" s="1" t="s">
        <v>52</v>
      </c>
      <c r="R471" s="1" t="s">
        <v>53</v>
      </c>
      <c r="S471" s="6">
        <v>1996.0</v>
      </c>
      <c r="T471" s="6">
        <v>11.0</v>
      </c>
      <c r="U471" s="1" t="s">
        <v>148</v>
      </c>
      <c r="V471" s="1" t="s">
        <v>149</v>
      </c>
      <c r="W471" s="6">
        <v>16.0</v>
      </c>
      <c r="X471" s="1" t="s">
        <v>56</v>
      </c>
      <c r="Y471" s="1" t="s">
        <v>57</v>
      </c>
      <c r="Z471" s="6">
        <v>20.71</v>
      </c>
      <c r="AA471" s="6">
        <v>119877.0</v>
      </c>
      <c r="AB471" s="10">
        <v>0.17</v>
      </c>
      <c r="AC471" s="1" t="s">
        <v>5108</v>
      </c>
      <c r="AD471" s="1" t="s">
        <v>5109</v>
      </c>
      <c r="AE471" s="1" t="s">
        <v>5110</v>
      </c>
      <c r="AF471" s="1" t="s">
        <v>229</v>
      </c>
      <c r="AG471" s="1" t="s">
        <v>5110</v>
      </c>
      <c r="AH471" s="1" t="s">
        <v>563</v>
      </c>
      <c r="AI471" s="6">
        <v>26267.0</v>
      </c>
      <c r="AJ471" s="1" t="s">
        <v>106</v>
      </c>
      <c r="AK471" s="1" t="s">
        <v>5111</v>
      </c>
      <c r="AL471" s="1" t="s">
        <v>5112</v>
      </c>
      <c r="AM471" s="11" t="str">
        <f>VLOOKUP(N471,Sheet3!$B$4:$C$10,2,1)</f>
        <v>51-60</v>
      </c>
      <c r="AN471" s="12" t="str">
        <f>VLOOKUP(Z471,Sheet3!$F$4:$G$10,2,1)</f>
        <v>11-20</v>
      </c>
      <c r="AO471" s="5" t="str">
        <f>VLOOKUP(AA471,Sheet3!$I$3:$J$16,2,1)</f>
        <v>100000-120000</v>
      </c>
      <c r="AP471" s="5" t="str">
        <f>VLOOKUP(AB471,Sheet3!$L$4:$M$14,2,1)</f>
        <v>16% - 20%</v>
      </c>
    </row>
    <row r="472">
      <c r="A472" s="6">
        <v>338449.0</v>
      </c>
      <c r="B472" s="1" t="s">
        <v>227</v>
      </c>
      <c r="C472" s="1" t="s">
        <v>3548</v>
      </c>
      <c r="D472" s="1" t="s">
        <v>127</v>
      </c>
      <c r="E472" s="1" t="s">
        <v>5113</v>
      </c>
      <c r="F472" s="1" t="s">
        <v>70</v>
      </c>
      <c r="G472" s="1" t="s">
        <v>5114</v>
      </c>
      <c r="H472" s="1" t="s">
        <v>4643</v>
      </c>
      <c r="I472" s="1" t="s">
        <v>5115</v>
      </c>
      <c r="J472" s="1" t="s">
        <v>5116</v>
      </c>
      <c r="K472" s="1" t="s">
        <v>1855</v>
      </c>
      <c r="L472" s="9">
        <v>23252.0</v>
      </c>
      <c r="M472" s="8">
        <v>0.10157407407407408</v>
      </c>
      <c r="N472" s="6">
        <v>53.95</v>
      </c>
      <c r="O472" s="6">
        <v>59.0</v>
      </c>
      <c r="P472" s="9">
        <v>34467.0</v>
      </c>
      <c r="Q472" s="1" t="s">
        <v>75</v>
      </c>
      <c r="R472" s="1" t="s">
        <v>76</v>
      </c>
      <c r="S472" s="6">
        <v>1994.0</v>
      </c>
      <c r="T472" s="6">
        <v>5.0</v>
      </c>
      <c r="U472" s="1" t="s">
        <v>294</v>
      </c>
      <c r="V472" s="1" t="s">
        <v>294</v>
      </c>
      <c r="W472" s="6">
        <v>13.0</v>
      </c>
      <c r="X472" s="1" t="s">
        <v>263</v>
      </c>
      <c r="Y472" s="1" t="s">
        <v>264</v>
      </c>
      <c r="Z472" s="6">
        <v>23.22</v>
      </c>
      <c r="AA472" s="6">
        <v>177768.0</v>
      </c>
      <c r="AB472" s="10">
        <v>0.03</v>
      </c>
      <c r="AC472" s="1" t="s">
        <v>5117</v>
      </c>
      <c r="AD472" s="1" t="s">
        <v>5118</v>
      </c>
      <c r="AE472" s="1" t="s">
        <v>5119</v>
      </c>
      <c r="AF472" s="1" t="s">
        <v>4541</v>
      </c>
      <c r="AG472" s="1" t="s">
        <v>5119</v>
      </c>
      <c r="AH472" s="1" t="s">
        <v>1605</v>
      </c>
      <c r="AI472" s="6">
        <v>58123.0</v>
      </c>
      <c r="AJ472" s="1" t="s">
        <v>86</v>
      </c>
      <c r="AK472" s="1" t="s">
        <v>5120</v>
      </c>
      <c r="AL472" s="1" t="s">
        <v>5121</v>
      </c>
      <c r="AM472" s="11" t="str">
        <f>VLOOKUP(N472,Sheet3!$B$4:$C$10,2,1)</f>
        <v>51-60</v>
      </c>
      <c r="AN472" s="13" t="str">
        <f>VLOOKUP(Z472,Sheet3!$F$4:$G$10,2,1)</f>
        <v>21-30</v>
      </c>
      <c r="AO472" s="5" t="str">
        <f>VLOOKUP(AA472,Sheet3!$I$3:$J$16,2,1)</f>
        <v>160000-180000</v>
      </c>
      <c r="AP472" s="5" t="str">
        <f>VLOOKUP(AB472,Sheet3!$L$4:$M$14,2,1)</f>
        <v>&lt; 5%</v>
      </c>
    </row>
    <row r="473">
      <c r="A473" s="6">
        <v>581042.0</v>
      </c>
      <c r="B473" s="1" t="s">
        <v>66</v>
      </c>
      <c r="C473" s="1" t="s">
        <v>4258</v>
      </c>
      <c r="D473" s="1" t="s">
        <v>1663</v>
      </c>
      <c r="E473" s="1" t="s">
        <v>1911</v>
      </c>
      <c r="F473" s="1" t="s">
        <v>70</v>
      </c>
      <c r="G473" s="1" t="s">
        <v>5122</v>
      </c>
      <c r="H473" s="1" t="s">
        <v>4643</v>
      </c>
      <c r="I473" s="1" t="s">
        <v>5123</v>
      </c>
      <c r="J473" s="1" t="s">
        <v>5124</v>
      </c>
      <c r="K473" s="1" t="s">
        <v>2978</v>
      </c>
      <c r="L473" s="9">
        <v>24066.0</v>
      </c>
      <c r="M473" s="8">
        <v>0.14967592592592593</v>
      </c>
      <c r="N473" s="6">
        <v>51.72</v>
      </c>
      <c r="O473" s="6">
        <v>70.0</v>
      </c>
      <c r="P473" s="14">
        <v>41672.0</v>
      </c>
      <c r="Q473" s="1" t="s">
        <v>96</v>
      </c>
      <c r="R473" s="1" t="s">
        <v>76</v>
      </c>
      <c r="S473" s="6">
        <v>2014.0</v>
      </c>
      <c r="T473" s="6">
        <v>2.0</v>
      </c>
      <c r="U473" s="1" t="s">
        <v>117</v>
      </c>
      <c r="V473" s="1" t="s">
        <v>118</v>
      </c>
      <c r="W473" s="6">
        <v>2.0</v>
      </c>
      <c r="X473" s="1" t="s">
        <v>534</v>
      </c>
      <c r="Y473" s="1" t="s">
        <v>535</v>
      </c>
      <c r="Z473" s="6">
        <v>3.48</v>
      </c>
      <c r="AA473" s="6">
        <v>65297.0</v>
      </c>
      <c r="AB473" s="10">
        <v>0.16</v>
      </c>
      <c r="AC473" s="1" t="s">
        <v>5125</v>
      </c>
      <c r="AD473" s="1" t="s">
        <v>5126</v>
      </c>
      <c r="AE473" s="1" t="s">
        <v>5127</v>
      </c>
      <c r="AF473" s="1" t="s">
        <v>5128</v>
      </c>
      <c r="AG473" s="1" t="s">
        <v>5127</v>
      </c>
      <c r="AH473" s="1" t="s">
        <v>156</v>
      </c>
      <c r="AI473" s="6">
        <v>22936.0</v>
      </c>
      <c r="AJ473" s="1" t="s">
        <v>106</v>
      </c>
      <c r="AK473" s="1" t="s">
        <v>5129</v>
      </c>
      <c r="AL473" s="1" t="s">
        <v>5130</v>
      </c>
      <c r="AM473" s="11" t="str">
        <f>VLOOKUP(N473,Sheet3!$B$4:$C$10,2,1)</f>
        <v>51-60</v>
      </c>
      <c r="AN473" s="13" t="str">
        <f>VLOOKUP(Z473,Sheet3!$F$4:$G$10,2,1)</f>
        <v>&lt; 5</v>
      </c>
      <c r="AO473" s="5" t="str">
        <f>VLOOKUP(AA473,Sheet3!$I$3:$J$16,2,1)</f>
        <v>60000-80000</v>
      </c>
      <c r="AP473" s="5" t="str">
        <f>VLOOKUP(AB473,Sheet3!$L$4:$M$14,2,1)</f>
        <v>16% - 20%</v>
      </c>
    </row>
    <row r="474">
      <c r="A474" s="6">
        <v>138800.0</v>
      </c>
      <c r="B474" s="1" t="s">
        <v>227</v>
      </c>
      <c r="C474" s="1" t="s">
        <v>5131</v>
      </c>
      <c r="D474" s="1" t="s">
        <v>861</v>
      </c>
      <c r="E474" s="1" t="s">
        <v>5132</v>
      </c>
      <c r="F474" s="1" t="s">
        <v>70</v>
      </c>
      <c r="G474" s="1" t="s">
        <v>5133</v>
      </c>
      <c r="H474" s="1" t="s">
        <v>4643</v>
      </c>
      <c r="I474" s="1" t="s">
        <v>5134</v>
      </c>
      <c r="J474" s="1" t="s">
        <v>5135</v>
      </c>
      <c r="K474" s="1" t="s">
        <v>5136</v>
      </c>
      <c r="L474" s="14">
        <v>24959.0</v>
      </c>
      <c r="M474" s="8">
        <v>0.4012384259259259</v>
      </c>
      <c r="N474" s="6">
        <v>49.27</v>
      </c>
      <c r="O474" s="6">
        <v>51.0</v>
      </c>
      <c r="P474" s="9">
        <v>41023.0</v>
      </c>
      <c r="Q474" s="1" t="s">
        <v>75</v>
      </c>
      <c r="R474" s="1" t="s">
        <v>76</v>
      </c>
      <c r="S474" s="6">
        <v>2012.0</v>
      </c>
      <c r="T474" s="6">
        <v>4.0</v>
      </c>
      <c r="U474" s="1" t="s">
        <v>77</v>
      </c>
      <c r="V474" s="1" t="s">
        <v>78</v>
      </c>
      <c r="W474" s="6">
        <v>24.0</v>
      </c>
      <c r="X474" s="1" t="s">
        <v>79</v>
      </c>
      <c r="Y474" s="1" t="s">
        <v>80</v>
      </c>
      <c r="Z474" s="6">
        <v>5.26</v>
      </c>
      <c r="AA474" s="6">
        <v>169107.0</v>
      </c>
      <c r="AB474" s="10">
        <v>0.28</v>
      </c>
      <c r="AC474" s="1" t="s">
        <v>5137</v>
      </c>
      <c r="AD474" s="1" t="s">
        <v>5138</v>
      </c>
      <c r="AE474" s="1" t="s">
        <v>5139</v>
      </c>
      <c r="AF474" s="1" t="s">
        <v>5140</v>
      </c>
      <c r="AG474" s="1" t="s">
        <v>5139</v>
      </c>
      <c r="AH474" s="1" t="s">
        <v>1527</v>
      </c>
      <c r="AI474" s="6">
        <v>35577.0</v>
      </c>
      <c r="AJ474" s="1" t="s">
        <v>106</v>
      </c>
      <c r="AK474" s="1" t="s">
        <v>5141</v>
      </c>
      <c r="AL474" s="1" t="s">
        <v>5142</v>
      </c>
      <c r="AM474" s="11" t="str">
        <f>VLOOKUP(N474,Sheet3!$B$4:$C$10,2,1)</f>
        <v>41-50</v>
      </c>
      <c r="AN474" s="12" t="str">
        <f>VLOOKUP(Z474,Sheet3!$F$4:$G$10,2,1)</f>
        <v>5-10</v>
      </c>
      <c r="AO474" s="5" t="str">
        <f>VLOOKUP(AA474,Sheet3!$I$3:$J$16,2,1)</f>
        <v>160000-180000</v>
      </c>
      <c r="AP474" s="5" t="str">
        <f>VLOOKUP(AB474,Sheet3!$L$4:$M$14,2,1)</f>
        <v>26% - 30%</v>
      </c>
    </row>
    <row r="475">
      <c r="A475" s="6">
        <v>553362.0</v>
      </c>
      <c r="B475" s="1" t="s">
        <v>66</v>
      </c>
      <c r="C475" s="1" t="s">
        <v>2487</v>
      </c>
      <c r="D475" s="1" t="s">
        <v>529</v>
      </c>
      <c r="E475" s="1" t="s">
        <v>3038</v>
      </c>
      <c r="F475" s="1" t="s">
        <v>70</v>
      </c>
      <c r="G475" s="1" t="s">
        <v>5143</v>
      </c>
      <c r="H475" s="1" t="s">
        <v>4643</v>
      </c>
      <c r="I475" s="1" t="s">
        <v>5144</v>
      </c>
      <c r="J475" s="1" t="s">
        <v>5145</v>
      </c>
      <c r="K475" s="1" t="s">
        <v>1629</v>
      </c>
      <c r="L475" s="9">
        <v>24918.0</v>
      </c>
      <c r="M475" s="8">
        <v>0.13625</v>
      </c>
      <c r="N475" s="6">
        <v>49.39</v>
      </c>
      <c r="O475" s="6">
        <v>54.0</v>
      </c>
      <c r="P475" s="14">
        <v>33729.0</v>
      </c>
      <c r="Q475" s="1" t="s">
        <v>75</v>
      </c>
      <c r="R475" s="1" t="s">
        <v>76</v>
      </c>
      <c r="S475" s="6">
        <v>1992.0</v>
      </c>
      <c r="T475" s="6">
        <v>5.0</v>
      </c>
      <c r="U475" s="1" t="s">
        <v>294</v>
      </c>
      <c r="V475" s="1" t="s">
        <v>294</v>
      </c>
      <c r="W475" s="6">
        <v>5.0</v>
      </c>
      <c r="X475" s="1" t="s">
        <v>79</v>
      </c>
      <c r="Y475" s="1" t="s">
        <v>80</v>
      </c>
      <c r="Z475" s="6">
        <v>25.25</v>
      </c>
      <c r="AA475" s="6">
        <v>68488.0</v>
      </c>
      <c r="AB475" s="10">
        <v>0.23</v>
      </c>
      <c r="AC475" s="1" t="s">
        <v>5146</v>
      </c>
      <c r="AD475" s="1" t="s">
        <v>5147</v>
      </c>
      <c r="AE475" s="1" t="s">
        <v>5148</v>
      </c>
      <c r="AF475" s="1" t="s">
        <v>5149</v>
      </c>
      <c r="AG475" s="1" t="s">
        <v>5148</v>
      </c>
      <c r="AH475" s="1" t="s">
        <v>857</v>
      </c>
      <c r="AI475" s="6">
        <v>63848.0</v>
      </c>
      <c r="AJ475" s="1" t="s">
        <v>86</v>
      </c>
      <c r="AK475" s="1" t="s">
        <v>5150</v>
      </c>
      <c r="AL475" s="1" t="s">
        <v>5151</v>
      </c>
      <c r="AM475" s="11" t="str">
        <f>VLOOKUP(N475,Sheet3!$B$4:$C$10,2,1)</f>
        <v>41-50</v>
      </c>
      <c r="AN475" s="13" t="str">
        <f>VLOOKUP(Z475,Sheet3!$F$4:$G$10,2,1)</f>
        <v>21-30</v>
      </c>
      <c r="AO475" s="5" t="str">
        <f>VLOOKUP(AA475,Sheet3!$I$3:$J$16,2,1)</f>
        <v>60000-80000</v>
      </c>
      <c r="AP475" s="5" t="str">
        <f>VLOOKUP(AB475,Sheet3!$L$4:$M$14,2,1)</f>
        <v>21% - 25%</v>
      </c>
    </row>
    <row r="476">
      <c r="A476" s="6">
        <v>435055.0</v>
      </c>
      <c r="B476" s="1" t="s">
        <v>66</v>
      </c>
      <c r="C476" s="1" t="s">
        <v>2707</v>
      </c>
      <c r="D476" s="1" t="s">
        <v>44</v>
      </c>
      <c r="E476" s="1" t="s">
        <v>5152</v>
      </c>
      <c r="F476" s="1" t="s">
        <v>70</v>
      </c>
      <c r="G476" s="1" t="s">
        <v>5153</v>
      </c>
      <c r="H476" s="1" t="s">
        <v>4643</v>
      </c>
      <c r="I476" s="1" t="s">
        <v>5154</v>
      </c>
      <c r="J476" s="1" t="s">
        <v>5155</v>
      </c>
      <c r="K476" s="1" t="s">
        <v>2117</v>
      </c>
      <c r="L476" s="9">
        <v>30182.0</v>
      </c>
      <c r="M476" s="8">
        <v>0.6363425925925926</v>
      </c>
      <c r="N476" s="6">
        <v>34.96</v>
      </c>
      <c r="O476" s="6">
        <v>66.0</v>
      </c>
      <c r="P476" s="9">
        <v>42155.0</v>
      </c>
      <c r="Q476" s="1" t="s">
        <v>75</v>
      </c>
      <c r="R476" s="1" t="s">
        <v>76</v>
      </c>
      <c r="S476" s="6">
        <v>2015.0</v>
      </c>
      <c r="T476" s="6">
        <v>5.0</v>
      </c>
      <c r="U476" s="1" t="s">
        <v>294</v>
      </c>
      <c r="V476" s="1" t="s">
        <v>294</v>
      </c>
      <c r="W476" s="6">
        <v>31.0</v>
      </c>
      <c r="X476" s="1" t="s">
        <v>534</v>
      </c>
      <c r="Y476" s="1" t="s">
        <v>535</v>
      </c>
      <c r="Z476" s="6">
        <v>2.16</v>
      </c>
      <c r="AA476" s="6">
        <v>87911.0</v>
      </c>
      <c r="AB476" s="10">
        <v>0.13</v>
      </c>
      <c r="AC476" s="1" t="s">
        <v>5156</v>
      </c>
      <c r="AD476" s="1" t="s">
        <v>5157</v>
      </c>
      <c r="AE476" s="1" t="s">
        <v>5158</v>
      </c>
      <c r="AF476" s="1" t="s">
        <v>4077</v>
      </c>
      <c r="AG476" s="1" t="s">
        <v>5158</v>
      </c>
      <c r="AH476" s="1" t="s">
        <v>85</v>
      </c>
      <c r="AI476" s="6">
        <v>48462.0</v>
      </c>
      <c r="AJ476" s="1" t="s">
        <v>86</v>
      </c>
      <c r="AK476" s="1" t="s">
        <v>5159</v>
      </c>
      <c r="AL476" s="1" t="s">
        <v>5160</v>
      </c>
      <c r="AM476" s="11" t="str">
        <f>VLOOKUP(N476,Sheet3!$B$4:$C$10,2,1)</f>
        <v>31-40</v>
      </c>
      <c r="AN476" s="13" t="str">
        <f>VLOOKUP(Z476,Sheet3!$F$4:$G$10,2,1)</f>
        <v>&lt; 5</v>
      </c>
      <c r="AO476" s="5" t="str">
        <f>VLOOKUP(AA476,Sheet3!$I$3:$J$16,2,1)</f>
        <v>80000-100000</v>
      </c>
      <c r="AP476" s="5" t="str">
        <f>VLOOKUP(AB476,Sheet3!$L$4:$M$14,2,1)</f>
        <v>11% - 15%</v>
      </c>
    </row>
    <row r="477">
      <c r="A477" s="6">
        <v>469392.0</v>
      </c>
      <c r="B477" s="1" t="s">
        <v>109</v>
      </c>
      <c r="C477" s="1" t="s">
        <v>5161</v>
      </c>
      <c r="D477" s="1" t="s">
        <v>683</v>
      </c>
      <c r="E477" s="1" t="s">
        <v>3807</v>
      </c>
      <c r="F477" s="1" t="s">
        <v>46</v>
      </c>
      <c r="G477" s="1" t="s">
        <v>5162</v>
      </c>
      <c r="H477" s="1" t="s">
        <v>4643</v>
      </c>
      <c r="I477" s="1" t="s">
        <v>5163</v>
      </c>
      <c r="J477" s="1" t="s">
        <v>5164</v>
      </c>
      <c r="K477" s="1" t="s">
        <v>1082</v>
      </c>
      <c r="L477" s="14">
        <v>21494.0</v>
      </c>
      <c r="M477" s="8">
        <v>0.9953125</v>
      </c>
      <c r="N477" s="6">
        <v>58.77</v>
      </c>
      <c r="O477" s="6">
        <v>59.0</v>
      </c>
      <c r="P477" s="9">
        <v>36340.0</v>
      </c>
      <c r="Q477" s="1" t="s">
        <v>75</v>
      </c>
      <c r="R477" s="1" t="s">
        <v>76</v>
      </c>
      <c r="S477" s="6">
        <v>1999.0</v>
      </c>
      <c r="T477" s="6">
        <v>6.0</v>
      </c>
      <c r="U477" s="1" t="s">
        <v>324</v>
      </c>
      <c r="V477" s="1" t="s">
        <v>325</v>
      </c>
      <c r="W477" s="6">
        <v>29.0</v>
      </c>
      <c r="X477" s="1" t="s">
        <v>79</v>
      </c>
      <c r="Y477" s="1" t="s">
        <v>80</v>
      </c>
      <c r="Z477" s="6">
        <v>18.09</v>
      </c>
      <c r="AA477" s="6">
        <v>146938.0</v>
      </c>
      <c r="AB477" s="10">
        <v>0.06</v>
      </c>
      <c r="AC477" s="1" t="s">
        <v>5165</v>
      </c>
      <c r="AD477" s="1" t="s">
        <v>5166</v>
      </c>
      <c r="AE477" s="1" t="s">
        <v>5167</v>
      </c>
      <c r="AF477" s="1" t="s">
        <v>5168</v>
      </c>
      <c r="AG477" s="1" t="s">
        <v>5167</v>
      </c>
      <c r="AH477" s="1" t="s">
        <v>139</v>
      </c>
      <c r="AI477" s="6">
        <v>99661.0</v>
      </c>
      <c r="AJ477" s="1" t="s">
        <v>63</v>
      </c>
      <c r="AK477" s="1" t="s">
        <v>5169</v>
      </c>
      <c r="AL477" s="1" t="s">
        <v>5170</v>
      </c>
      <c r="AM477" s="11" t="str">
        <f>VLOOKUP(N477,Sheet3!$B$4:$C$10,2,1)</f>
        <v>51-60</v>
      </c>
      <c r="AN477" s="12" t="str">
        <f>VLOOKUP(Z477,Sheet3!$F$4:$G$10,2,1)</f>
        <v>11-20</v>
      </c>
      <c r="AO477" s="5" t="str">
        <f>VLOOKUP(AA477,Sheet3!$I$3:$J$16,2,1)</f>
        <v>140000-160000</v>
      </c>
      <c r="AP477" s="5" t="str">
        <f>VLOOKUP(AB477,Sheet3!$L$4:$M$14,2,1)</f>
        <v>5% - 10%</v>
      </c>
    </row>
    <row r="478">
      <c r="A478" s="6">
        <v>161467.0</v>
      </c>
      <c r="B478" s="1" t="s">
        <v>66</v>
      </c>
      <c r="C478" s="1" t="s">
        <v>5171</v>
      </c>
      <c r="D478" s="1" t="s">
        <v>1300</v>
      </c>
      <c r="E478" s="1" t="s">
        <v>5172</v>
      </c>
      <c r="F478" s="1" t="s">
        <v>70</v>
      </c>
      <c r="G478" s="1" t="s">
        <v>5173</v>
      </c>
      <c r="H478" s="1" t="s">
        <v>4643</v>
      </c>
      <c r="I478" s="1" t="s">
        <v>5174</v>
      </c>
      <c r="J478" s="1" t="s">
        <v>5175</v>
      </c>
      <c r="K478" s="1" t="s">
        <v>2448</v>
      </c>
      <c r="L478" s="9">
        <v>29514.0</v>
      </c>
      <c r="M478" s="8">
        <v>0.18398148148148147</v>
      </c>
      <c r="N478" s="6">
        <v>36.79</v>
      </c>
      <c r="O478" s="6">
        <v>89.0</v>
      </c>
      <c r="P478" s="14">
        <v>41125.0</v>
      </c>
      <c r="Q478" s="1" t="s">
        <v>308</v>
      </c>
      <c r="R478" s="1" t="s">
        <v>53</v>
      </c>
      <c r="S478" s="6">
        <v>2012.0</v>
      </c>
      <c r="T478" s="6">
        <v>8.0</v>
      </c>
      <c r="U478" s="1" t="s">
        <v>433</v>
      </c>
      <c r="V478" s="1" t="s">
        <v>434</v>
      </c>
      <c r="W478" s="6">
        <v>4.0</v>
      </c>
      <c r="X478" s="1" t="s">
        <v>56</v>
      </c>
      <c r="Y478" s="1" t="s">
        <v>57</v>
      </c>
      <c r="Z478" s="6">
        <v>4.98</v>
      </c>
      <c r="AA478" s="6">
        <v>47971.0</v>
      </c>
      <c r="AB478" s="10">
        <v>0.02</v>
      </c>
      <c r="AC478" s="1" t="s">
        <v>5176</v>
      </c>
      <c r="AD478" s="1" t="s">
        <v>5177</v>
      </c>
      <c r="AE478" s="1" t="s">
        <v>5178</v>
      </c>
      <c r="AF478" s="1" t="s">
        <v>5179</v>
      </c>
      <c r="AG478" s="1" t="s">
        <v>5178</v>
      </c>
      <c r="AH478" s="1" t="s">
        <v>1561</v>
      </c>
      <c r="AI478" s="6">
        <v>53181.0</v>
      </c>
      <c r="AJ478" s="1" t="s">
        <v>86</v>
      </c>
      <c r="AK478" s="1" t="s">
        <v>5180</v>
      </c>
      <c r="AL478" s="1" t="s">
        <v>5181</v>
      </c>
      <c r="AM478" s="11" t="str">
        <f>VLOOKUP(N478,Sheet3!$B$4:$C$10,2,1)</f>
        <v>31-40</v>
      </c>
      <c r="AN478" s="13" t="str">
        <f>VLOOKUP(Z478,Sheet3!$F$4:$G$10,2,1)</f>
        <v>&lt; 5</v>
      </c>
      <c r="AO478" s="5" t="str">
        <f>VLOOKUP(AA478,Sheet3!$I$3:$J$16,2,1)</f>
        <v>40000-60000</v>
      </c>
      <c r="AP478" s="5" t="str">
        <f>VLOOKUP(AB478,Sheet3!$L$4:$M$14,2,1)</f>
        <v>&lt; 5%</v>
      </c>
    </row>
    <row r="479">
      <c r="A479" s="6">
        <v>755543.0</v>
      </c>
      <c r="B479" s="1" t="s">
        <v>89</v>
      </c>
      <c r="C479" s="1" t="s">
        <v>5182</v>
      </c>
      <c r="D479" s="1" t="s">
        <v>318</v>
      </c>
      <c r="E479" s="1" t="s">
        <v>3982</v>
      </c>
      <c r="F479" s="1" t="s">
        <v>46</v>
      </c>
      <c r="G479" s="1" t="s">
        <v>5183</v>
      </c>
      <c r="H479" s="1" t="s">
        <v>4643</v>
      </c>
      <c r="I479" s="1" t="s">
        <v>5184</v>
      </c>
      <c r="J479" s="1" t="s">
        <v>5185</v>
      </c>
      <c r="K479" s="1" t="s">
        <v>5186</v>
      </c>
      <c r="L479" s="9">
        <v>30558.0</v>
      </c>
      <c r="M479" s="8">
        <v>0.027835648148148148</v>
      </c>
      <c r="N479" s="6">
        <v>33.93</v>
      </c>
      <c r="O479" s="6">
        <v>46.0</v>
      </c>
      <c r="P479" s="7">
        <v>40098.0</v>
      </c>
      <c r="Q479" s="1" t="s">
        <v>52</v>
      </c>
      <c r="R479" s="1" t="s">
        <v>53</v>
      </c>
      <c r="S479" s="6">
        <v>2009.0</v>
      </c>
      <c r="T479" s="6">
        <v>10.0</v>
      </c>
      <c r="U479" s="1" t="s">
        <v>133</v>
      </c>
      <c r="V479" s="1" t="s">
        <v>134</v>
      </c>
      <c r="W479" s="6">
        <v>12.0</v>
      </c>
      <c r="X479" s="1" t="s">
        <v>99</v>
      </c>
      <c r="Y479" s="1" t="s">
        <v>100</v>
      </c>
      <c r="Z479" s="6">
        <v>7.8</v>
      </c>
      <c r="AA479" s="6">
        <v>100525.0</v>
      </c>
      <c r="AB479" s="10">
        <v>0.26</v>
      </c>
      <c r="AC479" s="1" t="s">
        <v>5187</v>
      </c>
      <c r="AD479" s="1" t="s">
        <v>5188</v>
      </c>
      <c r="AE479" s="1" t="s">
        <v>5189</v>
      </c>
      <c r="AF479" s="1" t="s">
        <v>343</v>
      </c>
      <c r="AG479" s="1" t="s">
        <v>5189</v>
      </c>
      <c r="AH479" s="1" t="s">
        <v>330</v>
      </c>
      <c r="AI479" s="6">
        <v>21071.0</v>
      </c>
      <c r="AJ479" s="1" t="s">
        <v>106</v>
      </c>
      <c r="AK479" s="1" t="s">
        <v>5190</v>
      </c>
      <c r="AL479" s="1" t="s">
        <v>5191</v>
      </c>
      <c r="AM479" s="11" t="str">
        <f>VLOOKUP(N479,Sheet3!$B$4:$C$10,2,1)</f>
        <v>31-40</v>
      </c>
      <c r="AN479" s="12" t="str">
        <f>VLOOKUP(Z479,Sheet3!$F$4:$G$10,2,1)</f>
        <v>5-10</v>
      </c>
      <c r="AO479" s="5" t="str">
        <f>VLOOKUP(AA479,Sheet3!$I$3:$J$16,2,1)</f>
        <v>100000-120000</v>
      </c>
      <c r="AP479" s="5" t="str">
        <f>VLOOKUP(AB479,Sheet3!$L$4:$M$14,2,1)</f>
        <v>26% - 30%</v>
      </c>
    </row>
    <row r="480">
      <c r="A480" s="6">
        <v>129077.0</v>
      </c>
      <c r="B480" s="1" t="s">
        <v>66</v>
      </c>
      <c r="C480" s="1" t="s">
        <v>5192</v>
      </c>
      <c r="D480" s="1" t="s">
        <v>68</v>
      </c>
      <c r="E480" s="1" t="s">
        <v>2085</v>
      </c>
      <c r="F480" s="1" t="s">
        <v>70</v>
      </c>
      <c r="G480" s="1" t="s">
        <v>5193</v>
      </c>
      <c r="H480" s="1" t="s">
        <v>4643</v>
      </c>
      <c r="I480" s="1" t="s">
        <v>5194</v>
      </c>
      <c r="J480" s="1" t="s">
        <v>5195</v>
      </c>
      <c r="K480" s="1" t="s">
        <v>1923</v>
      </c>
      <c r="L480" s="14">
        <v>33246.0</v>
      </c>
      <c r="M480" s="8">
        <v>0.39003472222222224</v>
      </c>
      <c r="N480" s="6">
        <v>26.57</v>
      </c>
      <c r="O480" s="6">
        <v>83.0</v>
      </c>
      <c r="P480" s="9">
        <v>41877.0</v>
      </c>
      <c r="Q480" s="1" t="s">
        <v>308</v>
      </c>
      <c r="R480" s="1" t="s">
        <v>53</v>
      </c>
      <c r="S480" s="6">
        <v>2014.0</v>
      </c>
      <c r="T480" s="6">
        <v>8.0</v>
      </c>
      <c r="U480" s="1" t="s">
        <v>433</v>
      </c>
      <c r="V480" s="1" t="s">
        <v>434</v>
      </c>
      <c r="W480" s="6">
        <v>26.0</v>
      </c>
      <c r="X480" s="1" t="s">
        <v>79</v>
      </c>
      <c r="Y480" s="1" t="s">
        <v>80</v>
      </c>
      <c r="Z480" s="6">
        <v>2.92</v>
      </c>
      <c r="AA480" s="6">
        <v>65901.0</v>
      </c>
      <c r="AB480" s="10">
        <v>0.18</v>
      </c>
      <c r="AC480" s="1" t="s">
        <v>5196</v>
      </c>
      <c r="AD480" s="1" t="s">
        <v>5197</v>
      </c>
      <c r="AE480" s="1" t="s">
        <v>5198</v>
      </c>
      <c r="AF480" s="1" t="s">
        <v>5199</v>
      </c>
      <c r="AG480" s="1" t="s">
        <v>5198</v>
      </c>
      <c r="AH480" s="1" t="s">
        <v>1972</v>
      </c>
      <c r="AI480" s="6">
        <v>84640.0</v>
      </c>
      <c r="AJ480" s="1" t="s">
        <v>63</v>
      </c>
      <c r="AK480" s="1" t="s">
        <v>5200</v>
      </c>
      <c r="AL480" s="1" t="s">
        <v>5201</v>
      </c>
      <c r="AM480" s="11" t="str">
        <f>VLOOKUP(N480,Sheet3!$B$4:$C$10,2,1)</f>
        <v>21-30</v>
      </c>
      <c r="AN480" s="13" t="str">
        <f>VLOOKUP(Z480,Sheet3!$F$4:$G$10,2,1)</f>
        <v>&lt; 5</v>
      </c>
      <c r="AO480" s="5" t="str">
        <f>VLOOKUP(AA480,Sheet3!$I$3:$J$16,2,1)</f>
        <v>60000-80000</v>
      </c>
      <c r="AP480" s="5" t="str">
        <f>VLOOKUP(AB480,Sheet3!$L$4:$M$14,2,1)</f>
        <v>16% - 20%</v>
      </c>
    </row>
    <row r="481">
      <c r="A481" s="6">
        <v>707856.0</v>
      </c>
      <c r="B481" s="1" t="s">
        <v>66</v>
      </c>
      <c r="C481" s="1" t="s">
        <v>5202</v>
      </c>
      <c r="D481" s="1" t="s">
        <v>242</v>
      </c>
      <c r="E481" s="1" t="s">
        <v>2406</v>
      </c>
      <c r="F481" s="1" t="s">
        <v>70</v>
      </c>
      <c r="G481" s="1" t="s">
        <v>5203</v>
      </c>
      <c r="H481" s="1" t="s">
        <v>4643</v>
      </c>
      <c r="I481" s="1" t="s">
        <v>5204</v>
      </c>
      <c r="J481" s="1" t="s">
        <v>5205</v>
      </c>
      <c r="K481" s="1" t="s">
        <v>619</v>
      </c>
      <c r="L481" s="14">
        <v>32631.0</v>
      </c>
      <c r="M481" s="8">
        <v>0.00982638888888889</v>
      </c>
      <c r="N481" s="6">
        <v>28.25</v>
      </c>
      <c r="O481" s="6">
        <v>58.0</v>
      </c>
      <c r="P481" s="9">
        <v>42035.0</v>
      </c>
      <c r="Q481" s="1" t="s">
        <v>96</v>
      </c>
      <c r="R481" s="1" t="s">
        <v>76</v>
      </c>
      <c r="S481" s="6">
        <v>2015.0</v>
      </c>
      <c r="T481" s="6">
        <v>1.0</v>
      </c>
      <c r="U481" s="1" t="s">
        <v>276</v>
      </c>
      <c r="V481" s="1" t="s">
        <v>277</v>
      </c>
      <c r="W481" s="6">
        <v>31.0</v>
      </c>
      <c r="X481" s="1" t="s">
        <v>56</v>
      </c>
      <c r="Y481" s="1" t="s">
        <v>57</v>
      </c>
      <c r="Z481" s="6">
        <v>2.49</v>
      </c>
      <c r="AA481" s="6">
        <v>190663.0</v>
      </c>
      <c r="AB481" s="10">
        <v>0.16</v>
      </c>
      <c r="AC481" s="1" t="s">
        <v>5206</v>
      </c>
      <c r="AD481" s="1" t="s">
        <v>5207</v>
      </c>
      <c r="AE481" s="1" t="s">
        <v>5208</v>
      </c>
      <c r="AF481" s="1" t="s">
        <v>4891</v>
      </c>
      <c r="AG481" s="1" t="s">
        <v>5208</v>
      </c>
      <c r="AH481" s="1" t="s">
        <v>105</v>
      </c>
      <c r="AI481" s="6">
        <v>41754.0</v>
      </c>
      <c r="AJ481" s="1" t="s">
        <v>106</v>
      </c>
      <c r="AK481" s="1" t="s">
        <v>5209</v>
      </c>
      <c r="AL481" s="1" t="s">
        <v>5210</v>
      </c>
      <c r="AM481" s="11" t="str">
        <f>VLOOKUP(N481,Sheet3!$B$4:$C$10,2,1)</f>
        <v>21-30</v>
      </c>
      <c r="AN481" s="13" t="str">
        <f>VLOOKUP(Z481,Sheet3!$F$4:$G$10,2,1)</f>
        <v>&lt; 5</v>
      </c>
      <c r="AO481" s="5" t="str">
        <f>VLOOKUP(AA481,Sheet3!$I$3:$J$16,2,1)</f>
        <v>180000-200000</v>
      </c>
      <c r="AP481" s="5" t="str">
        <f>VLOOKUP(AB481,Sheet3!$L$4:$M$14,2,1)</f>
        <v>16% - 20%</v>
      </c>
    </row>
    <row r="482">
      <c r="A482" s="6">
        <v>817818.0</v>
      </c>
      <c r="B482" s="1" t="s">
        <v>66</v>
      </c>
      <c r="C482" s="1" t="s">
        <v>2235</v>
      </c>
      <c r="D482" s="1" t="s">
        <v>200</v>
      </c>
      <c r="E482" s="1" t="s">
        <v>5211</v>
      </c>
      <c r="F482" s="1" t="s">
        <v>70</v>
      </c>
      <c r="G482" s="1" t="s">
        <v>5212</v>
      </c>
      <c r="H482" s="1" t="s">
        <v>4643</v>
      </c>
      <c r="I482" s="1" t="s">
        <v>5213</v>
      </c>
      <c r="J482" s="1" t="s">
        <v>5214</v>
      </c>
      <c r="K482" s="1" t="s">
        <v>191</v>
      </c>
      <c r="L482" s="9">
        <v>24438.0</v>
      </c>
      <c r="M482" s="8">
        <v>0.44252314814814814</v>
      </c>
      <c r="N482" s="6">
        <v>50.7</v>
      </c>
      <c r="O482" s="6">
        <v>90.0</v>
      </c>
      <c r="P482" s="9">
        <v>33190.0</v>
      </c>
      <c r="Q482" s="1" t="s">
        <v>52</v>
      </c>
      <c r="R482" s="1" t="s">
        <v>53</v>
      </c>
      <c r="S482" s="6">
        <v>1990.0</v>
      </c>
      <c r="T482" s="6">
        <v>11.0</v>
      </c>
      <c r="U482" s="1" t="s">
        <v>148</v>
      </c>
      <c r="V482" s="1" t="s">
        <v>149</v>
      </c>
      <c r="W482" s="6">
        <v>13.0</v>
      </c>
      <c r="X482" s="1" t="s">
        <v>79</v>
      </c>
      <c r="Y482" s="1" t="s">
        <v>80</v>
      </c>
      <c r="Z482" s="6">
        <v>26.72</v>
      </c>
      <c r="AA482" s="6">
        <v>183713.0</v>
      </c>
      <c r="AB482" s="10">
        <v>0.26</v>
      </c>
      <c r="AC482" s="1" t="s">
        <v>5215</v>
      </c>
      <c r="AD482" s="1" t="s">
        <v>5216</v>
      </c>
      <c r="AE482" s="1" t="s">
        <v>5217</v>
      </c>
      <c r="AF482" s="1" t="s">
        <v>5217</v>
      </c>
      <c r="AG482" s="1" t="s">
        <v>5217</v>
      </c>
      <c r="AH482" s="1" t="s">
        <v>385</v>
      </c>
      <c r="AI482" s="6">
        <v>98903.0</v>
      </c>
      <c r="AJ482" s="1" t="s">
        <v>63</v>
      </c>
      <c r="AK482" s="1" t="s">
        <v>5218</v>
      </c>
      <c r="AL482" s="1" t="s">
        <v>5219</v>
      </c>
      <c r="AM482" s="11" t="str">
        <f>VLOOKUP(N482,Sheet3!$B$4:$C$10,2,1)</f>
        <v>41-50</v>
      </c>
      <c r="AN482" s="13" t="str">
        <f>VLOOKUP(Z482,Sheet3!$F$4:$G$10,2,1)</f>
        <v>21-30</v>
      </c>
      <c r="AO482" s="5" t="str">
        <f>VLOOKUP(AA482,Sheet3!$I$3:$J$16,2,1)</f>
        <v>180000-200000</v>
      </c>
      <c r="AP482" s="5" t="str">
        <f>VLOOKUP(AB482,Sheet3!$L$4:$M$14,2,1)</f>
        <v>26% - 30%</v>
      </c>
    </row>
    <row r="483">
      <c r="A483" s="6">
        <v>226811.0</v>
      </c>
      <c r="B483" s="1" t="s">
        <v>125</v>
      </c>
      <c r="C483" s="1" t="s">
        <v>5220</v>
      </c>
      <c r="D483" s="1" t="s">
        <v>529</v>
      </c>
      <c r="E483" s="1" t="s">
        <v>1408</v>
      </c>
      <c r="F483" s="1" t="s">
        <v>70</v>
      </c>
      <c r="G483" s="1" t="s">
        <v>5221</v>
      </c>
      <c r="H483" s="1" t="s">
        <v>4643</v>
      </c>
      <c r="I483" s="1" t="s">
        <v>5222</v>
      </c>
      <c r="J483" s="1" t="s">
        <v>5223</v>
      </c>
      <c r="K483" s="1" t="s">
        <v>2240</v>
      </c>
      <c r="L483" s="14">
        <v>33604.0</v>
      </c>
      <c r="M483" s="8">
        <v>0.028402777777777777</v>
      </c>
      <c r="N483" s="6">
        <v>25.59</v>
      </c>
      <c r="O483" s="6">
        <v>83.0</v>
      </c>
      <c r="P483" s="9">
        <v>42728.0</v>
      </c>
      <c r="Q483" s="1" t="s">
        <v>52</v>
      </c>
      <c r="R483" s="1" t="s">
        <v>53</v>
      </c>
      <c r="S483" s="6">
        <v>2016.0</v>
      </c>
      <c r="T483" s="6">
        <v>12.0</v>
      </c>
      <c r="U483" s="1" t="s">
        <v>54</v>
      </c>
      <c r="V483" s="1" t="s">
        <v>55</v>
      </c>
      <c r="W483" s="6">
        <v>24.0</v>
      </c>
      <c r="X483" s="1" t="s">
        <v>56</v>
      </c>
      <c r="Y483" s="1" t="s">
        <v>57</v>
      </c>
      <c r="Z483" s="6">
        <v>0.59</v>
      </c>
      <c r="AA483" s="6">
        <v>52560.0</v>
      </c>
      <c r="AB483" s="10">
        <v>0.18</v>
      </c>
      <c r="AC483" s="1" t="s">
        <v>5224</v>
      </c>
      <c r="AD483" s="1" t="s">
        <v>5225</v>
      </c>
      <c r="AE483" s="1" t="s">
        <v>5226</v>
      </c>
      <c r="AF483" s="1" t="s">
        <v>5227</v>
      </c>
      <c r="AG483" s="1" t="s">
        <v>5226</v>
      </c>
      <c r="AH483" s="1" t="s">
        <v>105</v>
      </c>
      <c r="AI483" s="6">
        <v>40010.0</v>
      </c>
      <c r="AJ483" s="1" t="s">
        <v>106</v>
      </c>
      <c r="AK483" s="1" t="s">
        <v>5228</v>
      </c>
      <c r="AL483" s="1" t="s">
        <v>5229</v>
      </c>
      <c r="AM483" s="11" t="str">
        <f>VLOOKUP(N483,Sheet3!$B$4:$C$10,2,1)</f>
        <v>21-30</v>
      </c>
      <c r="AN483" s="13" t="str">
        <f>VLOOKUP(Z483,Sheet3!$F$4:$G$10,2,1)</f>
        <v>&lt; 5</v>
      </c>
      <c r="AO483" s="5" t="str">
        <f>VLOOKUP(AA483,Sheet3!$I$3:$J$16,2,1)</f>
        <v>40000-60000</v>
      </c>
      <c r="AP483" s="5" t="str">
        <f>VLOOKUP(AB483,Sheet3!$L$4:$M$14,2,1)</f>
        <v>16% - 20%</v>
      </c>
    </row>
    <row r="484">
      <c r="A484" s="6">
        <v>283199.0</v>
      </c>
      <c r="B484" s="1" t="s">
        <v>66</v>
      </c>
      <c r="C484" s="1" t="s">
        <v>365</v>
      </c>
      <c r="D484" s="1" t="s">
        <v>200</v>
      </c>
      <c r="E484" s="1" t="s">
        <v>3454</v>
      </c>
      <c r="F484" s="1" t="s">
        <v>70</v>
      </c>
      <c r="G484" s="1" t="s">
        <v>5230</v>
      </c>
      <c r="H484" s="1" t="s">
        <v>4643</v>
      </c>
      <c r="I484" s="1" t="s">
        <v>5231</v>
      </c>
      <c r="J484" s="1" t="s">
        <v>5232</v>
      </c>
      <c r="K484" s="1" t="s">
        <v>4906</v>
      </c>
      <c r="L484" s="9">
        <v>29423.0</v>
      </c>
      <c r="M484" s="8">
        <v>0.4804861111111111</v>
      </c>
      <c r="N484" s="6">
        <v>37.04</v>
      </c>
      <c r="O484" s="6">
        <v>89.0</v>
      </c>
      <c r="P484" s="9">
        <v>38976.0</v>
      </c>
      <c r="Q484" s="1" t="s">
        <v>308</v>
      </c>
      <c r="R484" s="1" t="s">
        <v>53</v>
      </c>
      <c r="S484" s="6">
        <v>2006.0</v>
      </c>
      <c r="T484" s="6">
        <v>9.0</v>
      </c>
      <c r="U484" s="1" t="s">
        <v>309</v>
      </c>
      <c r="V484" s="1" t="s">
        <v>310</v>
      </c>
      <c r="W484" s="6">
        <v>16.0</v>
      </c>
      <c r="X484" s="1" t="s">
        <v>56</v>
      </c>
      <c r="Y484" s="1" t="s">
        <v>57</v>
      </c>
      <c r="Z484" s="6">
        <v>10.87</v>
      </c>
      <c r="AA484" s="6">
        <v>132022.0</v>
      </c>
      <c r="AB484" s="10">
        <v>0.16</v>
      </c>
      <c r="AC484" s="1" t="s">
        <v>5233</v>
      </c>
      <c r="AD484" s="1" t="s">
        <v>5234</v>
      </c>
      <c r="AE484" s="1" t="s">
        <v>5235</v>
      </c>
      <c r="AF484" s="1" t="s">
        <v>611</v>
      </c>
      <c r="AG484" s="1" t="s">
        <v>5235</v>
      </c>
      <c r="AH484" s="1" t="s">
        <v>974</v>
      </c>
      <c r="AI484" s="6">
        <v>44705.0</v>
      </c>
      <c r="AJ484" s="1" t="s">
        <v>86</v>
      </c>
      <c r="AK484" s="1" t="s">
        <v>5236</v>
      </c>
      <c r="AL484" s="1" t="s">
        <v>5237</v>
      </c>
      <c r="AM484" s="11" t="str">
        <f>VLOOKUP(N484,Sheet3!$B$4:$C$10,2,1)</f>
        <v>31-40</v>
      </c>
      <c r="AN484" s="12" t="str">
        <f>VLOOKUP(Z484,Sheet3!$F$4:$G$10,2,1)</f>
        <v>5-10</v>
      </c>
      <c r="AO484" s="5" t="str">
        <f>VLOOKUP(AA484,Sheet3!$I$3:$J$16,2,1)</f>
        <v>120000-140000</v>
      </c>
      <c r="AP484" s="5" t="str">
        <f>VLOOKUP(AB484,Sheet3!$L$4:$M$14,2,1)</f>
        <v>16% - 20%</v>
      </c>
    </row>
    <row r="485">
      <c r="A485" s="6">
        <v>319493.0</v>
      </c>
      <c r="B485" s="1" t="s">
        <v>66</v>
      </c>
      <c r="C485" s="1" t="s">
        <v>5238</v>
      </c>
      <c r="D485" s="1" t="s">
        <v>529</v>
      </c>
      <c r="E485" s="1" t="s">
        <v>2106</v>
      </c>
      <c r="F485" s="1" t="s">
        <v>70</v>
      </c>
      <c r="G485" s="1" t="s">
        <v>5239</v>
      </c>
      <c r="H485" s="1" t="s">
        <v>4643</v>
      </c>
      <c r="I485" s="1" t="s">
        <v>5240</v>
      </c>
      <c r="J485" s="1" t="s">
        <v>5241</v>
      </c>
      <c r="K485" s="1" t="s">
        <v>5242</v>
      </c>
      <c r="L485" s="14">
        <v>30264.0</v>
      </c>
      <c r="M485" s="8">
        <v>0.874386574074074</v>
      </c>
      <c r="N485" s="6">
        <v>34.74</v>
      </c>
      <c r="O485" s="6">
        <v>53.0</v>
      </c>
      <c r="P485" s="14">
        <v>40583.0</v>
      </c>
      <c r="Q485" s="1" t="s">
        <v>96</v>
      </c>
      <c r="R485" s="1" t="s">
        <v>76</v>
      </c>
      <c r="S485" s="6">
        <v>2011.0</v>
      </c>
      <c r="T485" s="6">
        <v>2.0</v>
      </c>
      <c r="U485" s="1" t="s">
        <v>117</v>
      </c>
      <c r="V485" s="1" t="s">
        <v>118</v>
      </c>
      <c r="W485" s="6">
        <v>9.0</v>
      </c>
      <c r="X485" s="1" t="s">
        <v>278</v>
      </c>
      <c r="Y485" s="1" t="s">
        <v>279</v>
      </c>
      <c r="Z485" s="6">
        <v>6.47</v>
      </c>
      <c r="AA485" s="6">
        <v>105620.0</v>
      </c>
      <c r="AB485" s="10">
        <v>0.17</v>
      </c>
      <c r="AC485" s="1" t="s">
        <v>5243</v>
      </c>
      <c r="AD485" s="1" t="s">
        <v>5244</v>
      </c>
      <c r="AE485" s="1" t="s">
        <v>5245</v>
      </c>
      <c r="AF485" s="1" t="s">
        <v>5246</v>
      </c>
      <c r="AG485" s="1" t="s">
        <v>5245</v>
      </c>
      <c r="AH485" s="1" t="s">
        <v>2483</v>
      </c>
      <c r="AI485" s="6">
        <v>29590.0</v>
      </c>
      <c r="AJ485" s="1" t="s">
        <v>106</v>
      </c>
      <c r="AK485" s="1" t="s">
        <v>5247</v>
      </c>
      <c r="AL485" s="1" t="s">
        <v>5248</v>
      </c>
      <c r="AM485" s="11" t="str">
        <f>VLOOKUP(N485,Sheet3!$B$4:$C$10,2,1)</f>
        <v>31-40</v>
      </c>
      <c r="AN485" s="12" t="str">
        <f>VLOOKUP(Z485,Sheet3!$F$4:$G$10,2,1)</f>
        <v>5-10</v>
      </c>
      <c r="AO485" s="5" t="str">
        <f>VLOOKUP(AA485,Sheet3!$I$3:$J$16,2,1)</f>
        <v>100000-120000</v>
      </c>
      <c r="AP485" s="5" t="str">
        <f>VLOOKUP(AB485,Sheet3!$L$4:$M$14,2,1)</f>
        <v>16% - 20%</v>
      </c>
    </row>
    <row r="486">
      <c r="A486" s="6">
        <v>205347.0</v>
      </c>
      <c r="B486" s="1" t="s">
        <v>42</v>
      </c>
      <c r="C486" s="1" t="s">
        <v>5249</v>
      </c>
      <c r="D486" s="1" t="s">
        <v>68</v>
      </c>
      <c r="E486" s="1" t="s">
        <v>795</v>
      </c>
      <c r="F486" s="1" t="s">
        <v>46</v>
      </c>
      <c r="G486" s="1" t="s">
        <v>5250</v>
      </c>
      <c r="H486" s="1" t="s">
        <v>4643</v>
      </c>
      <c r="I486" s="1" t="s">
        <v>5251</v>
      </c>
      <c r="J486" s="1" t="s">
        <v>5252</v>
      </c>
      <c r="K486" s="1" t="s">
        <v>5253</v>
      </c>
      <c r="L486" s="9">
        <v>21055.0</v>
      </c>
      <c r="M486" s="8">
        <v>0.7494675925925925</v>
      </c>
      <c r="N486" s="6">
        <v>59.97</v>
      </c>
      <c r="O486" s="6">
        <v>44.0</v>
      </c>
      <c r="P486" s="14">
        <v>31209.0</v>
      </c>
      <c r="Q486" s="1" t="s">
        <v>75</v>
      </c>
      <c r="R486" s="1" t="s">
        <v>76</v>
      </c>
      <c r="S486" s="6">
        <v>1985.0</v>
      </c>
      <c r="T486" s="6">
        <v>6.0</v>
      </c>
      <c r="U486" s="1" t="s">
        <v>324</v>
      </c>
      <c r="V486" s="1" t="s">
        <v>325</v>
      </c>
      <c r="W486" s="6">
        <v>11.0</v>
      </c>
      <c r="X486" s="1" t="s">
        <v>79</v>
      </c>
      <c r="Y486" s="1" t="s">
        <v>80</v>
      </c>
      <c r="Z486" s="6">
        <v>32.15</v>
      </c>
      <c r="AA486" s="6">
        <v>138878.0</v>
      </c>
      <c r="AB486" s="10">
        <v>0.18</v>
      </c>
      <c r="AC486" s="1" t="s">
        <v>5254</v>
      </c>
      <c r="AD486" s="1" t="s">
        <v>5255</v>
      </c>
      <c r="AE486" s="1" t="s">
        <v>5256</v>
      </c>
      <c r="AF486" s="1" t="s">
        <v>5257</v>
      </c>
      <c r="AG486" s="1" t="s">
        <v>5256</v>
      </c>
      <c r="AH486" s="1" t="s">
        <v>223</v>
      </c>
      <c r="AI486" s="6">
        <v>18175.0</v>
      </c>
      <c r="AJ486" s="1" t="s">
        <v>224</v>
      </c>
      <c r="AK486" s="1" t="s">
        <v>5258</v>
      </c>
      <c r="AL486" s="1" t="s">
        <v>5259</v>
      </c>
      <c r="AM486" s="11" t="str">
        <f>VLOOKUP(N486,Sheet3!$B$4:$C$10,2,1)</f>
        <v>51-60</v>
      </c>
      <c r="AN486" s="13" t="str">
        <f>VLOOKUP(Z486,Sheet3!$F$4:$G$10,2,1)</f>
        <v>31-40</v>
      </c>
      <c r="AO486" s="5" t="str">
        <f>VLOOKUP(AA486,Sheet3!$I$3:$J$16,2,1)</f>
        <v>120000-140000</v>
      </c>
      <c r="AP486" s="5" t="str">
        <f>VLOOKUP(AB486,Sheet3!$L$4:$M$14,2,1)</f>
        <v>16% - 20%</v>
      </c>
    </row>
    <row r="487">
      <c r="A487" s="6">
        <v>508019.0</v>
      </c>
      <c r="B487" s="1" t="s">
        <v>42</v>
      </c>
      <c r="C487" s="1" t="s">
        <v>5260</v>
      </c>
      <c r="D487" s="1" t="s">
        <v>416</v>
      </c>
      <c r="E487" s="1" t="s">
        <v>5261</v>
      </c>
      <c r="F487" s="1" t="s">
        <v>46</v>
      </c>
      <c r="G487" s="1" t="s">
        <v>5262</v>
      </c>
      <c r="H487" s="1" t="s">
        <v>4643</v>
      </c>
      <c r="I487" s="1" t="s">
        <v>5263</v>
      </c>
      <c r="J487" s="1" t="s">
        <v>5264</v>
      </c>
      <c r="K487" s="1" t="s">
        <v>1374</v>
      </c>
      <c r="L487" s="14">
        <v>22079.0</v>
      </c>
      <c r="M487" s="8">
        <v>0.5190277777777778</v>
      </c>
      <c r="N487" s="6">
        <v>57.16</v>
      </c>
      <c r="O487" s="6">
        <v>42.0</v>
      </c>
      <c r="P487" s="14">
        <v>37083.0</v>
      </c>
      <c r="Q487" s="1" t="s">
        <v>308</v>
      </c>
      <c r="R487" s="1" t="s">
        <v>53</v>
      </c>
      <c r="S487" s="6">
        <v>2001.0</v>
      </c>
      <c r="T487" s="6">
        <v>7.0</v>
      </c>
      <c r="U487" s="1" t="s">
        <v>366</v>
      </c>
      <c r="V487" s="1" t="s">
        <v>367</v>
      </c>
      <c r="W487" s="6">
        <v>11.0</v>
      </c>
      <c r="X487" s="1" t="s">
        <v>278</v>
      </c>
      <c r="Y487" s="1" t="s">
        <v>279</v>
      </c>
      <c r="Z487" s="6">
        <v>16.06</v>
      </c>
      <c r="AA487" s="6">
        <v>166948.0</v>
      </c>
      <c r="AB487" s="10">
        <v>0.03</v>
      </c>
      <c r="AC487" s="1" t="s">
        <v>5265</v>
      </c>
      <c r="AD487" s="1" t="s">
        <v>5266</v>
      </c>
      <c r="AE487" s="1" t="s">
        <v>1148</v>
      </c>
      <c r="AF487" s="1" t="s">
        <v>5140</v>
      </c>
      <c r="AG487" s="1" t="s">
        <v>1148</v>
      </c>
      <c r="AH487" s="1" t="s">
        <v>1527</v>
      </c>
      <c r="AI487" s="6">
        <v>35572.0</v>
      </c>
      <c r="AJ487" s="1" t="s">
        <v>106</v>
      </c>
      <c r="AK487" s="1" t="s">
        <v>5267</v>
      </c>
      <c r="AL487" s="1" t="s">
        <v>5268</v>
      </c>
      <c r="AM487" s="11" t="str">
        <f>VLOOKUP(N487,Sheet3!$B$4:$C$10,2,1)</f>
        <v>51-60</v>
      </c>
      <c r="AN487" s="12" t="str">
        <f>VLOOKUP(Z487,Sheet3!$F$4:$G$10,2,1)</f>
        <v>11-20</v>
      </c>
      <c r="AO487" s="5" t="str">
        <f>VLOOKUP(AA487,Sheet3!$I$3:$J$16,2,1)</f>
        <v>160000-180000</v>
      </c>
      <c r="AP487" s="5" t="str">
        <f>VLOOKUP(AB487,Sheet3!$L$4:$M$14,2,1)</f>
        <v>&lt; 5%</v>
      </c>
    </row>
    <row r="488">
      <c r="A488" s="6">
        <v>774862.0</v>
      </c>
      <c r="B488" s="1" t="s">
        <v>42</v>
      </c>
      <c r="C488" s="1" t="s">
        <v>5269</v>
      </c>
      <c r="D488" s="1" t="s">
        <v>416</v>
      </c>
      <c r="E488" s="1" t="s">
        <v>5270</v>
      </c>
      <c r="F488" s="1" t="s">
        <v>46</v>
      </c>
      <c r="G488" s="1" t="s">
        <v>5271</v>
      </c>
      <c r="H488" s="1" t="s">
        <v>4643</v>
      </c>
      <c r="I488" s="1" t="s">
        <v>5272</v>
      </c>
      <c r="J488" s="1" t="s">
        <v>5273</v>
      </c>
      <c r="K488" s="1" t="s">
        <v>5274</v>
      </c>
      <c r="L488" s="14">
        <v>24807.0</v>
      </c>
      <c r="M488" s="8">
        <v>0.11346064814814814</v>
      </c>
      <c r="N488" s="6">
        <v>49.69</v>
      </c>
      <c r="O488" s="6">
        <v>53.0</v>
      </c>
      <c r="P488" s="14">
        <v>38779.0</v>
      </c>
      <c r="Q488" s="1" t="s">
        <v>96</v>
      </c>
      <c r="R488" s="1" t="s">
        <v>76</v>
      </c>
      <c r="S488" s="6">
        <v>2006.0</v>
      </c>
      <c r="T488" s="6">
        <v>3.0</v>
      </c>
      <c r="U488" s="1" t="s">
        <v>97</v>
      </c>
      <c r="V488" s="1" t="s">
        <v>98</v>
      </c>
      <c r="W488" s="6">
        <v>3.0</v>
      </c>
      <c r="X488" s="1" t="s">
        <v>263</v>
      </c>
      <c r="Y488" s="1" t="s">
        <v>264</v>
      </c>
      <c r="Z488" s="6">
        <v>11.41</v>
      </c>
      <c r="AA488" s="6">
        <v>49212.0</v>
      </c>
      <c r="AB488" s="10">
        <v>0.25</v>
      </c>
      <c r="AC488" s="1" t="s">
        <v>5275</v>
      </c>
      <c r="AD488" s="1" t="s">
        <v>5276</v>
      </c>
      <c r="AE488" s="1" t="s">
        <v>103</v>
      </c>
      <c r="AF488" s="1" t="s">
        <v>104</v>
      </c>
      <c r="AG488" s="1" t="s">
        <v>103</v>
      </c>
      <c r="AH488" s="1" t="s">
        <v>105</v>
      </c>
      <c r="AI488" s="6">
        <v>40513.0</v>
      </c>
      <c r="AJ488" s="1" t="s">
        <v>106</v>
      </c>
      <c r="AK488" s="1" t="s">
        <v>5277</v>
      </c>
      <c r="AL488" s="1" t="s">
        <v>5278</v>
      </c>
      <c r="AM488" s="11" t="str">
        <f>VLOOKUP(N488,Sheet3!$B$4:$C$10,2,1)</f>
        <v>41-50</v>
      </c>
      <c r="AN488" s="12" t="str">
        <f>VLOOKUP(Z488,Sheet3!$F$4:$G$10,2,1)</f>
        <v>11-20</v>
      </c>
      <c r="AO488" s="5" t="str">
        <f>VLOOKUP(AA488,Sheet3!$I$3:$J$16,2,1)</f>
        <v>40000-60000</v>
      </c>
      <c r="AP488" s="5" t="str">
        <f>VLOOKUP(AB488,Sheet3!$L$4:$M$14,2,1)</f>
        <v>21% - 25%</v>
      </c>
    </row>
    <row r="489">
      <c r="A489" s="6">
        <v>394200.0</v>
      </c>
      <c r="B489" s="1" t="s">
        <v>109</v>
      </c>
      <c r="C489" s="1" t="s">
        <v>5279</v>
      </c>
      <c r="D489" s="1" t="s">
        <v>554</v>
      </c>
      <c r="E489" s="1" t="s">
        <v>5280</v>
      </c>
      <c r="F489" s="1" t="s">
        <v>46</v>
      </c>
      <c r="G489" s="1" t="s">
        <v>5281</v>
      </c>
      <c r="H489" s="1" t="s">
        <v>4643</v>
      </c>
      <c r="I489" s="1" t="s">
        <v>5282</v>
      </c>
      <c r="J489" s="1" t="s">
        <v>5283</v>
      </c>
      <c r="K489" s="1" t="s">
        <v>4252</v>
      </c>
      <c r="L489" s="14">
        <v>26550.0</v>
      </c>
      <c r="M489" s="8">
        <v>0.8171064814814815</v>
      </c>
      <c r="N489" s="6">
        <v>44.92</v>
      </c>
      <c r="O489" s="6">
        <v>54.0</v>
      </c>
      <c r="P489" s="9">
        <v>34877.0</v>
      </c>
      <c r="Q489" s="1" t="s">
        <v>75</v>
      </c>
      <c r="R489" s="1" t="s">
        <v>76</v>
      </c>
      <c r="S489" s="6">
        <v>1995.0</v>
      </c>
      <c r="T489" s="6">
        <v>6.0</v>
      </c>
      <c r="U489" s="1" t="s">
        <v>324</v>
      </c>
      <c r="V489" s="1" t="s">
        <v>325</v>
      </c>
      <c r="W489" s="6">
        <v>27.0</v>
      </c>
      <c r="X489" s="1" t="s">
        <v>79</v>
      </c>
      <c r="Y489" s="1" t="s">
        <v>80</v>
      </c>
      <c r="Z489" s="6">
        <v>22.1</v>
      </c>
      <c r="AA489" s="6">
        <v>92993.0</v>
      </c>
      <c r="AB489" s="10">
        <v>0.09</v>
      </c>
      <c r="AC489" s="1" t="s">
        <v>5284</v>
      </c>
      <c r="AD489" s="1" t="s">
        <v>5285</v>
      </c>
      <c r="AE489" s="1" t="s">
        <v>4620</v>
      </c>
      <c r="AF489" s="1" t="s">
        <v>4620</v>
      </c>
      <c r="AG489" s="1" t="s">
        <v>4620</v>
      </c>
      <c r="AH489" s="1" t="s">
        <v>1561</v>
      </c>
      <c r="AI489" s="6">
        <v>53218.0</v>
      </c>
      <c r="AJ489" s="1" t="s">
        <v>86</v>
      </c>
      <c r="AK489" s="1" t="s">
        <v>5286</v>
      </c>
      <c r="AL489" s="1" t="s">
        <v>5287</v>
      </c>
      <c r="AM489" s="11" t="str">
        <f>VLOOKUP(N489,Sheet3!$B$4:$C$10,2,1)</f>
        <v>41-50</v>
      </c>
      <c r="AN489" s="13" t="str">
        <f>VLOOKUP(Z489,Sheet3!$F$4:$G$10,2,1)</f>
        <v>21-30</v>
      </c>
      <c r="AO489" s="5" t="str">
        <f>VLOOKUP(AA489,Sheet3!$I$3:$J$16,2,1)</f>
        <v>80000-100000</v>
      </c>
      <c r="AP489" s="5" t="str">
        <f>VLOOKUP(AB489,Sheet3!$L$4:$M$14,2,1)</f>
        <v>5% - 10%</v>
      </c>
    </row>
    <row r="490">
      <c r="A490" s="6">
        <v>887692.0</v>
      </c>
      <c r="B490" s="1" t="s">
        <v>66</v>
      </c>
      <c r="C490" s="1" t="s">
        <v>5270</v>
      </c>
      <c r="D490" s="1" t="s">
        <v>334</v>
      </c>
      <c r="E490" s="1" t="s">
        <v>5288</v>
      </c>
      <c r="F490" s="1" t="s">
        <v>70</v>
      </c>
      <c r="G490" s="1" t="s">
        <v>5289</v>
      </c>
      <c r="H490" s="1" t="s">
        <v>4643</v>
      </c>
      <c r="I490" s="1" t="s">
        <v>5290</v>
      </c>
      <c r="J490" s="1" t="s">
        <v>5291</v>
      </c>
      <c r="K490" s="1" t="s">
        <v>1278</v>
      </c>
      <c r="L490" s="14">
        <v>29131.0</v>
      </c>
      <c r="M490" s="8">
        <v>0.7844791666666666</v>
      </c>
      <c r="N490" s="6">
        <v>37.84</v>
      </c>
      <c r="O490" s="6">
        <v>51.0</v>
      </c>
      <c r="P490" s="9">
        <v>38951.0</v>
      </c>
      <c r="Q490" s="1" t="s">
        <v>308</v>
      </c>
      <c r="R490" s="1" t="s">
        <v>53</v>
      </c>
      <c r="S490" s="6">
        <v>2006.0</v>
      </c>
      <c r="T490" s="6">
        <v>8.0</v>
      </c>
      <c r="U490" s="1" t="s">
        <v>433</v>
      </c>
      <c r="V490" s="1" t="s">
        <v>434</v>
      </c>
      <c r="W490" s="6">
        <v>22.0</v>
      </c>
      <c r="X490" s="1" t="s">
        <v>79</v>
      </c>
      <c r="Y490" s="1" t="s">
        <v>80</v>
      </c>
      <c r="Z490" s="6">
        <v>10.94</v>
      </c>
      <c r="AA490" s="6">
        <v>199923.0</v>
      </c>
      <c r="AB490" s="10">
        <v>0.23</v>
      </c>
      <c r="AC490" s="1" t="s">
        <v>5292</v>
      </c>
      <c r="AD490" s="1" t="s">
        <v>5293</v>
      </c>
      <c r="AE490" s="1" t="s">
        <v>5294</v>
      </c>
      <c r="AF490" s="1" t="s">
        <v>1225</v>
      </c>
      <c r="AG490" s="1" t="s">
        <v>5294</v>
      </c>
      <c r="AH490" s="1" t="s">
        <v>196</v>
      </c>
      <c r="AI490" s="6">
        <v>38320.0</v>
      </c>
      <c r="AJ490" s="1" t="s">
        <v>106</v>
      </c>
      <c r="AK490" s="1" t="s">
        <v>5295</v>
      </c>
      <c r="AL490" s="1" t="s">
        <v>5296</v>
      </c>
      <c r="AM490" s="11" t="str">
        <f>VLOOKUP(N490,Sheet3!$B$4:$C$10,2,1)</f>
        <v>31-40</v>
      </c>
      <c r="AN490" s="12" t="str">
        <f>VLOOKUP(Z490,Sheet3!$F$4:$G$10,2,1)</f>
        <v>5-10</v>
      </c>
      <c r="AO490" s="5" t="str">
        <f>VLOOKUP(AA490,Sheet3!$I$3:$J$16,2,1)</f>
        <v>180000-200000</v>
      </c>
      <c r="AP490" s="5" t="str">
        <f>VLOOKUP(AB490,Sheet3!$L$4:$M$14,2,1)</f>
        <v>21% - 25%</v>
      </c>
    </row>
    <row r="491">
      <c r="A491" s="6">
        <v>408248.0</v>
      </c>
      <c r="B491" s="1" t="s">
        <v>125</v>
      </c>
      <c r="C491" s="1" t="s">
        <v>5297</v>
      </c>
      <c r="D491" s="1" t="s">
        <v>127</v>
      </c>
      <c r="E491" s="1" t="s">
        <v>5298</v>
      </c>
      <c r="F491" s="1" t="s">
        <v>70</v>
      </c>
      <c r="G491" s="1" t="s">
        <v>5299</v>
      </c>
      <c r="H491" s="1" t="s">
        <v>4643</v>
      </c>
      <c r="I491" s="1" t="s">
        <v>5300</v>
      </c>
      <c r="J491" s="1" t="s">
        <v>5301</v>
      </c>
      <c r="K491" s="1" t="s">
        <v>852</v>
      </c>
      <c r="L491" s="9">
        <v>26936.0</v>
      </c>
      <c r="M491" s="8">
        <v>0.17074074074074075</v>
      </c>
      <c r="N491" s="6">
        <v>43.86</v>
      </c>
      <c r="O491" s="6">
        <v>83.0</v>
      </c>
      <c r="P491" s="9">
        <v>38183.0</v>
      </c>
      <c r="Q491" s="1" t="s">
        <v>308</v>
      </c>
      <c r="R491" s="1" t="s">
        <v>53</v>
      </c>
      <c r="S491" s="6">
        <v>2004.0</v>
      </c>
      <c r="T491" s="6">
        <v>7.0</v>
      </c>
      <c r="U491" s="1" t="s">
        <v>366</v>
      </c>
      <c r="V491" s="1" t="s">
        <v>367</v>
      </c>
      <c r="W491" s="6">
        <v>15.0</v>
      </c>
      <c r="X491" s="1" t="s">
        <v>150</v>
      </c>
      <c r="Y491" s="1" t="s">
        <v>151</v>
      </c>
      <c r="Z491" s="6">
        <v>13.04</v>
      </c>
      <c r="AA491" s="6">
        <v>114321.0</v>
      </c>
      <c r="AB491" s="10">
        <v>0.13</v>
      </c>
      <c r="AC491" s="1" t="s">
        <v>5302</v>
      </c>
      <c r="AD491" s="1" t="s">
        <v>5303</v>
      </c>
      <c r="AE491" s="1" t="s">
        <v>3829</v>
      </c>
      <c r="AF491" s="1" t="s">
        <v>3829</v>
      </c>
      <c r="AG491" s="1" t="s">
        <v>3829</v>
      </c>
      <c r="AH491" s="1" t="s">
        <v>238</v>
      </c>
      <c r="AI491" s="6">
        <v>92409.0</v>
      </c>
      <c r="AJ491" s="1" t="s">
        <v>63</v>
      </c>
      <c r="AK491" s="1" t="s">
        <v>5304</v>
      </c>
      <c r="AL491" s="1" t="s">
        <v>5305</v>
      </c>
      <c r="AM491" s="11" t="str">
        <f>VLOOKUP(N491,Sheet3!$B$4:$C$10,2,1)</f>
        <v>41-50</v>
      </c>
      <c r="AN491" s="12" t="str">
        <f>VLOOKUP(Z491,Sheet3!$F$4:$G$10,2,1)</f>
        <v>11-20</v>
      </c>
      <c r="AO491" s="5" t="str">
        <f>VLOOKUP(AA491,Sheet3!$I$3:$J$16,2,1)</f>
        <v>100000-120000</v>
      </c>
      <c r="AP491" s="5" t="str">
        <f>VLOOKUP(AB491,Sheet3!$L$4:$M$14,2,1)</f>
        <v>11% - 15%</v>
      </c>
    </row>
    <row r="492">
      <c r="A492" s="6">
        <v>787931.0</v>
      </c>
      <c r="B492" s="1" t="s">
        <v>125</v>
      </c>
      <c r="C492" s="1" t="s">
        <v>562</v>
      </c>
      <c r="D492" s="1" t="s">
        <v>360</v>
      </c>
      <c r="E492" s="1" t="s">
        <v>2306</v>
      </c>
      <c r="F492" s="1" t="s">
        <v>70</v>
      </c>
      <c r="G492" s="1" t="s">
        <v>5306</v>
      </c>
      <c r="H492" s="1" t="s">
        <v>4643</v>
      </c>
      <c r="I492" s="1" t="s">
        <v>5307</v>
      </c>
      <c r="J492" s="1" t="s">
        <v>5308</v>
      </c>
      <c r="K492" s="1" t="s">
        <v>5309</v>
      </c>
      <c r="L492" s="9">
        <v>27497.0</v>
      </c>
      <c r="M492" s="8">
        <v>0.2626967592592593</v>
      </c>
      <c r="N492" s="6">
        <v>42.32</v>
      </c>
      <c r="O492" s="6">
        <v>82.0</v>
      </c>
      <c r="P492" s="9">
        <v>36003.0</v>
      </c>
      <c r="Q492" s="1" t="s">
        <v>308</v>
      </c>
      <c r="R492" s="1" t="s">
        <v>53</v>
      </c>
      <c r="S492" s="6">
        <v>1998.0</v>
      </c>
      <c r="T492" s="6">
        <v>7.0</v>
      </c>
      <c r="U492" s="1" t="s">
        <v>366</v>
      </c>
      <c r="V492" s="1" t="s">
        <v>367</v>
      </c>
      <c r="W492" s="6">
        <v>27.0</v>
      </c>
      <c r="X492" s="1" t="s">
        <v>99</v>
      </c>
      <c r="Y492" s="1" t="s">
        <v>100</v>
      </c>
      <c r="Z492" s="6">
        <v>19.02</v>
      </c>
      <c r="AA492" s="6">
        <v>175569.0</v>
      </c>
      <c r="AB492" s="10">
        <v>0.16</v>
      </c>
      <c r="AC492" s="1" t="s">
        <v>5310</v>
      </c>
      <c r="AD492" s="1" t="s">
        <v>5311</v>
      </c>
      <c r="AE492" s="1" t="s">
        <v>3274</v>
      </c>
      <c r="AF492" s="1" t="s">
        <v>764</v>
      </c>
      <c r="AG492" s="1" t="s">
        <v>3274</v>
      </c>
      <c r="AH492" s="1" t="s">
        <v>857</v>
      </c>
      <c r="AI492" s="6">
        <v>64198.0</v>
      </c>
      <c r="AJ492" s="1" t="s">
        <v>86</v>
      </c>
      <c r="AK492" s="1" t="s">
        <v>5312</v>
      </c>
      <c r="AL492" s="1" t="s">
        <v>5313</v>
      </c>
      <c r="AM492" s="11" t="str">
        <f>VLOOKUP(N492,Sheet3!$B$4:$C$10,2,1)</f>
        <v>41-50</v>
      </c>
      <c r="AN492" s="12" t="str">
        <f>VLOOKUP(Z492,Sheet3!$F$4:$G$10,2,1)</f>
        <v>11-20</v>
      </c>
      <c r="AO492" s="5" t="str">
        <f>VLOOKUP(AA492,Sheet3!$I$3:$J$16,2,1)</f>
        <v>160000-180000</v>
      </c>
      <c r="AP492" s="5" t="str">
        <f>VLOOKUP(AB492,Sheet3!$L$4:$M$14,2,1)</f>
        <v>16% - 20%</v>
      </c>
    </row>
    <row r="493">
      <c r="A493" s="6">
        <v>547050.0</v>
      </c>
      <c r="B493" s="1" t="s">
        <v>66</v>
      </c>
      <c r="C493" s="1" t="s">
        <v>5314</v>
      </c>
      <c r="D493" s="1" t="s">
        <v>861</v>
      </c>
      <c r="E493" s="1" t="s">
        <v>4458</v>
      </c>
      <c r="F493" s="1" t="s">
        <v>70</v>
      </c>
      <c r="G493" s="1" t="s">
        <v>5315</v>
      </c>
      <c r="H493" s="1" t="s">
        <v>4643</v>
      </c>
      <c r="I493" s="1" t="s">
        <v>5316</v>
      </c>
      <c r="J493" s="1" t="s">
        <v>5317</v>
      </c>
      <c r="K493" s="1" t="s">
        <v>5318</v>
      </c>
      <c r="L493" s="14">
        <v>23193.0</v>
      </c>
      <c r="M493" s="8">
        <v>0.9457407407407408</v>
      </c>
      <c r="N493" s="6">
        <v>54.11</v>
      </c>
      <c r="O493" s="6">
        <v>60.0</v>
      </c>
      <c r="P493" s="9">
        <v>36154.0</v>
      </c>
      <c r="Q493" s="1" t="s">
        <v>52</v>
      </c>
      <c r="R493" s="1" t="s">
        <v>53</v>
      </c>
      <c r="S493" s="6">
        <v>1998.0</v>
      </c>
      <c r="T493" s="6">
        <v>12.0</v>
      </c>
      <c r="U493" s="1" t="s">
        <v>54</v>
      </c>
      <c r="V493" s="1" t="s">
        <v>55</v>
      </c>
      <c r="W493" s="6">
        <v>25.0</v>
      </c>
      <c r="X493" s="1" t="s">
        <v>263</v>
      </c>
      <c r="Y493" s="1" t="s">
        <v>264</v>
      </c>
      <c r="Z493" s="6">
        <v>18.6</v>
      </c>
      <c r="AA493" s="6">
        <v>168495.0</v>
      </c>
      <c r="AB493" s="10">
        <v>0.11</v>
      </c>
      <c r="AC493" s="1" t="s">
        <v>5319</v>
      </c>
      <c r="AD493" s="1" t="s">
        <v>5320</v>
      </c>
      <c r="AE493" s="1" t="s">
        <v>5321</v>
      </c>
      <c r="AF493" s="1" t="s">
        <v>5322</v>
      </c>
      <c r="AG493" s="1" t="s">
        <v>5321</v>
      </c>
      <c r="AH493" s="1" t="s">
        <v>4942</v>
      </c>
      <c r="AI493" s="6">
        <v>20376.0</v>
      </c>
      <c r="AJ493" s="1" t="s">
        <v>106</v>
      </c>
      <c r="AK493" s="1" t="s">
        <v>5323</v>
      </c>
      <c r="AL493" s="1" t="s">
        <v>5324</v>
      </c>
      <c r="AM493" s="11" t="str">
        <f>VLOOKUP(N493,Sheet3!$B$4:$C$10,2,1)</f>
        <v>51-60</v>
      </c>
      <c r="AN493" s="12" t="str">
        <f>VLOOKUP(Z493,Sheet3!$F$4:$G$10,2,1)</f>
        <v>11-20</v>
      </c>
      <c r="AO493" s="5" t="str">
        <f>VLOOKUP(AA493,Sheet3!$I$3:$J$16,2,1)</f>
        <v>160000-180000</v>
      </c>
      <c r="AP493" s="5" t="str">
        <f>VLOOKUP(AB493,Sheet3!$L$4:$M$14,2,1)</f>
        <v>11% - 15%</v>
      </c>
    </row>
    <row r="494">
      <c r="A494" s="6">
        <v>964084.0</v>
      </c>
      <c r="B494" s="1" t="s">
        <v>66</v>
      </c>
      <c r="C494" s="1" t="s">
        <v>5140</v>
      </c>
      <c r="D494" s="1" t="s">
        <v>186</v>
      </c>
      <c r="E494" s="1" t="s">
        <v>938</v>
      </c>
      <c r="F494" s="1" t="s">
        <v>70</v>
      </c>
      <c r="G494" s="1" t="s">
        <v>5325</v>
      </c>
      <c r="H494" s="1" t="s">
        <v>4643</v>
      </c>
      <c r="I494" s="1" t="s">
        <v>5326</v>
      </c>
      <c r="J494" s="1" t="s">
        <v>5327</v>
      </c>
      <c r="K494" s="1" t="s">
        <v>993</v>
      </c>
      <c r="L494" s="14">
        <v>21286.0</v>
      </c>
      <c r="M494" s="8">
        <v>0.22722222222222221</v>
      </c>
      <c r="N494" s="6">
        <v>59.34</v>
      </c>
      <c r="O494" s="6">
        <v>54.0</v>
      </c>
      <c r="P494" s="9">
        <v>41500.0</v>
      </c>
      <c r="Q494" s="1" t="s">
        <v>308</v>
      </c>
      <c r="R494" s="1" t="s">
        <v>53</v>
      </c>
      <c r="S494" s="6">
        <v>2013.0</v>
      </c>
      <c r="T494" s="6">
        <v>8.0</v>
      </c>
      <c r="U494" s="1" t="s">
        <v>433</v>
      </c>
      <c r="V494" s="1" t="s">
        <v>434</v>
      </c>
      <c r="W494" s="6">
        <v>14.0</v>
      </c>
      <c r="X494" s="1" t="s">
        <v>278</v>
      </c>
      <c r="Y494" s="1" t="s">
        <v>279</v>
      </c>
      <c r="Z494" s="6">
        <v>3.96</v>
      </c>
      <c r="AA494" s="6">
        <v>89708.0</v>
      </c>
      <c r="AB494" s="10">
        <v>0.09</v>
      </c>
      <c r="AC494" s="1" t="s">
        <v>5328</v>
      </c>
      <c r="AD494" s="1" t="s">
        <v>5329</v>
      </c>
      <c r="AE494" s="1" t="s">
        <v>5330</v>
      </c>
      <c r="AF494" s="1" t="s">
        <v>5331</v>
      </c>
      <c r="AG494" s="1" t="s">
        <v>5330</v>
      </c>
      <c r="AH494" s="1" t="s">
        <v>399</v>
      </c>
      <c r="AI494" s="6">
        <v>70390.0</v>
      </c>
      <c r="AJ494" s="1" t="s">
        <v>106</v>
      </c>
      <c r="AK494" s="1" t="s">
        <v>5332</v>
      </c>
      <c r="AL494" s="1" t="s">
        <v>5333</v>
      </c>
      <c r="AM494" s="11" t="str">
        <f>VLOOKUP(N494,Sheet3!$B$4:$C$10,2,1)</f>
        <v>51-60</v>
      </c>
      <c r="AN494" s="13" t="str">
        <f>VLOOKUP(Z494,Sheet3!$F$4:$G$10,2,1)</f>
        <v>&lt; 5</v>
      </c>
      <c r="AO494" s="5" t="str">
        <f>VLOOKUP(AA494,Sheet3!$I$3:$J$16,2,1)</f>
        <v>80000-100000</v>
      </c>
      <c r="AP494" s="5" t="str">
        <f>VLOOKUP(AB494,Sheet3!$L$4:$M$14,2,1)</f>
        <v>5% - 10%</v>
      </c>
    </row>
    <row r="495">
      <c r="A495" s="6">
        <v>574256.0</v>
      </c>
      <c r="B495" s="1" t="s">
        <v>109</v>
      </c>
      <c r="C495" s="1" t="s">
        <v>5334</v>
      </c>
      <c r="D495" s="1" t="s">
        <v>46</v>
      </c>
      <c r="E495" s="1" t="s">
        <v>2633</v>
      </c>
      <c r="F495" s="1" t="s">
        <v>46</v>
      </c>
      <c r="G495" s="1" t="s">
        <v>5335</v>
      </c>
      <c r="H495" s="1" t="s">
        <v>4643</v>
      </c>
      <c r="I495" s="1" t="s">
        <v>5336</v>
      </c>
      <c r="J495" s="1" t="s">
        <v>5337</v>
      </c>
      <c r="K495" s="1" t="s">
        <v>4895</v>
      </c>
      <c r="L495" s="14">
        <v>29526.0</v>
      </c>
      <c r="M495" s="8">
        <v>0.0036574074074074074</v>
      </c>
      <c r="N495" s="6">
        <v>36.76</v>
      </c>
      <c r="O495" s="6">
        <v>59.0</v>
      </c>
      <c r="P495" s="14">
        <v>42491.0</v>
      </c>
      <c r="Q495" s="1" t="s">
        <v>75</v>
      </c>
      <c r="R495" s="1" t="s">
        <v>76</v>
      </c>
      <c r="S495" s="6">
        <v>2016.0</v>
      </c>
      <c r="T495" s="6">
        <v>5.0</v>
      </c>
      <c r="U495" s="1" t="s">
        <v>294</v>
      </c>
      <c r="V495" s="1" t="s">
        <v>294</v>
      </c>
      <c r="W495" s="6">
        <v>1.0</v>
      </c>
      <c r="X495" s="1" t="s">
        <v>534</v>
      </c>
      <c r="Y495" s="1" t="s">
        <v>535</v>
      </c>
      <c r="Z495" s="6">
        <v>1.24</v>
      </c>
      <c r="AA495" s="6">
        <v>136097.0</v>
      </c>
      <c r="AB495" s="10">
        <v>0.0</v>
      </c>
      <c r="AC495" s="1" t="s">
        <v>5338</v>
      </c>
      <c r="AD495" s="1" t="s">
        <v>5339</v>
      </c>
      <c r="AE495" s="1" t="s">
        <v>5340</v>
      </c>
      <c r="AF495" s="1" t="s">
        <v>5341</v>
      </c>
      <c r="AG495" s="1" t="s">
        <v>5340</v>
      </c>
      <c r="AH495" s="1" t="s">
        <v>330</v>
      </c>
      <c r="AI495" s="6">
        <v>21226.0</v>
      </c>
      <c r="AJ495" s="1" t="s">
        <v>106</v>
      </c>
      <c r="AK495" s="1" t="s">
        <v>5342</v>
      </c>
      <c r="AL495" s="1" t="s">
        <v>5343</v>
      </c>
      <c r="AM495" s="11" t="str">
        <f>VLOOKUP(N495,Sheet3!$B$4:$C$10,2,1)</f>
        <v>31-40</v>
      </c>
      <c r="AN495" s="13" t="str">
        <f>VLOOKUP(Z495,Sheet3!$F$4:$G$10,2,1)</f>
        <v>&lt; 5</v>
      </c>
      <c r="AO495" s="5" t="str">
        <f>VLOOKUP(AA495,Sheet3!$I$3:$J$16,2,1)</f>
        <v>120000-140000</v>
      </c>
      <c r="AP495" s="5" t="str">
        <f>VLOOKUP(AB495,Sheet3!$L$4:$M$14,2,1)</f>
        <v>&lt; 5%</v>
      </c>
    </row>
    <row r="496">
      <c r="A496" s="6">
        <v>215473.0</v>
      </c>
      <c r="B496" s="1" t="s">
        <v>42</v>
      </c>
      <c r="C496" s="1" t="s">
        <v>5344</v>
      </c>
      <c r="D496" s="1" t="s">
        <v>200</v>
      </c>
      <c r="E496" s="1" t="s">
        <v>3876</v>
      </c>
      <c r="F496" s="1" t="s">
        <v>46</v>
      </c>
      <c r="G496" s="1" t="s">
        <v>5345</v>
      </c>
      <c r="H496" s="1" t="s">
        <v>4643</v>
      </c>
      <c r="I496" s="1" t="s">
        <v>5346</v>
      </c>
      <c r="J496" s="1" t="s">
        <v>5347</v>
      </c>
      <c r="K496" s="1" t="s">
        <v>4628</v>
      </c>
      <c r="L496" s="14">
        <v>26239.0</v>
      </c>
      <c r="M496" s="8">
        <v>0.8165625</v>
      </c>
      <c r="N496" s="6">
        <v>45.77</v>
      </c>
      <c r="O496" s="6">
        <v>54.0</v>
      </c>
      <c r="P496" s="14">
        <v>40337.0</v>
      </c>
      <c r="Q496" s="1" t="s">
        <v>75</v>
      </c>
      <c r="R496" s="1" t="s">
        <v>76</v>
      </c>
      <c r="S496" s="6">
        <v>2010.0</v>
      </c>
      <c r="T496" s="6">
        <v>6.0</v>
      </c>
      <c r="U496" s="1" t="s">
        <v>324</v>
      </c>
      <c r="V496" s="1" t="s">
        <v>325</v>
      </c>
      <c r="W496" s="6">
        <v>8.0</v>
      </c>
      <c r="X496" s="1" t="s">
        <v>79</v>
      </c>
      <c r="Y496" s="1" t="s">
        <v>80</v>
      </c>
      <c r="Z496" s="6">
        <v>7.14</v>
      </c>
      <c r="AA496" s="6">
        <v>116843.0</v>
      </c>
      <c r="AB496" s="10">
        <v>0.11</v>
      </c>
      <c r="AC496" s="1" t="s">
        <v>5348</v>
      </c>
      <c r="AD496" s="1" t="s">
        <v>5349</v>
      </c>
      <c r="AE496" s="1" t="s">
        <v>5350</v>
      </c>
      <c r="AF496" s="1" t="s">
        <v>2359</v>
      </c>
      <c r="AG496" s="1" t="s">
        <v>5350</v>
      </c>
      <c r="AH496" s="1" t="s">
        <v>811</v>
      </c>
      <c r="AI496" s="6">
        <v>39323.0</v>
      </c>
      <c r="AJ496" s="1" t="s">
        <v>106</v>
      </c>
      <c r="AK496" s="1" t="s">
        <v>5351</v>
      </c>
      <c r="AL496" s="1" t="s">
        <v>5352</v>
      </c>
      <c r="AM496" s="11" t="str">
        <f>VLOOKUP(N496,Sheet3!$B$4:$C$10,2,1)</f>
        <v>41-50</v>
      </c>
      <c r="AN496" s="12" t="str">
        <f>VLOOKUP(Z496,Sheet3!$F$4:$G$10,2,1)</f>
        <v>5-10</v>
      </c>
      <c r="AO496" s="5" t="str">
        <f>VLOOKUP(AA496,Sheet3!$I$3:$J$16,2,1)</f>
        <v>100000-120000</v>
      </c>
      <c r="AP496" s="5" t="str">
        <f>VLOOKUP(AB496,Sheet3!$L$4:$M$14,2,1)</f>
        <v>11% - 15%</v>
      </c>
    </row>
    <row r="497">
      <c r="A497" s="6">
        <v>932175.0</v>
      </c>
      <c r="B497" s="1" t="s">
        <v>42</v>
      </c>
      <c r="C497" s="1" t="s">
        <v>5353</v>
      </c>
      <c r="D497" s="1" t="s">
        <v>288</v>
      </c>
      <c r="E497" s="1" t="s">
        <v>5354</v>
      </c>
      <c r="F497" s="1" t="s">
        <v>46</v>
      </c>
      <c r="G497" s="1" t="s">
        <v>5355</v>
      </c>
      <c r="H497" s="1" t="s">
        <v>4643</v>
      </c>
      <c r="I497" s="1" t="s">
        <v>5356</v>
      </c>
      <c r="J497" s="1" t="s">
        <v>5357</v>
      </c>
      <c r="K497" s="1" t="s">
        <v>5358</v>
      </c>
      <c r="L497" s="9">
        <v>32795.0</v>
      </c>
      <c r="M497" s="8">
        <v>0.7583101851851852</v>
      </c>
      <c r="N497" s="6">
        <v>27.81</v>
      </c>
      <c r="O497" s="6">
        <v>49.0</v>
      </c>
      <c r="P497" s="9">
        <v>41603.0</v>
      </c>
      <c r="Q497" s="1" t="s">
        <v>52</v>
      </c>
      <c r="R497" s="1" t="s">
        <v>53</v>
      </c>
      <c r="S497" s="6">
        <v>2013.0</v>
      </c>
      <c r="T497" s="6">
        <v>11.0</v>
      </c>
      <c r="U497" s="1" t="s">
        <v>148</v>
      </c>
      <c r="V497" s="1" t="s">
        <v>149</v>
      </c>
      <c r="W497" s="6">
        <v>25.0</v>
      </c>
      <c r="X497" s="1" t="s">
        <v>99</v>
      </c>
      <c r="Y497" s="1" t="s">
        <v>100</v>
      </c>
      <c r="Z497" s="6">
        <v>3.67</v>
      </c>
      <c r="AA497" s="6">
        <v>44868.0</v>
      </c>
      <c r="AB497" s="10">
        <v>0.14</v>
      </c>
      <c r="AC497" s="1" t="s">
        <v>5359</v>
      </c>
      <c r="AD497" s="1" t="s">
        <v>5360</v>
      </c>
      <c r="AE497" s="1" t="s">
        <v>5361</v>
      </c>
      <c r="AF497" s="1" t="s">
        <v>649</v>
      </c>
      <c r="AG497" s="1" t="s">
        <v>5361</v>
      </c>
      <c r="AH497" s="1" t="s">
        <v>974</v>
      </c>
      <c r="AI497" s="6">
        <v>43941.0</v>
      </c>
      <c r="AJ497" s="1" t="s">
        <v>86</v>
      </c>
      <c r="AK497" s="1" t="s">
        <v>5362</v>
      </c>
      <c r="AL497" s="1" t="s">
        <v>5363</v>
      </c>
      <c r="AM497" s="11" t="str">
        <f>VLOOKUP(N497,Sheet3!$B$4:$C$10,2,1)</f>
        <v>21-30</v>
      </c>
      <c r="AN497" s="13" t="str">
        <f>VLOOKUP(Z497,Sheet3!$F$4:$G$10,2,1)</f>
        <v>&lt; 5</v>
      </c>
      <c r="AO497" s="5" t="str">
        <f>VLOOKUP(AA497,Sheet3!$I$3:$J$16,2,1)</f>
        <v>40000-60000</v>
      </c>
      <c r="AP497" s="5" t="str">
        <f>VLOOKUP(AB497,Sheet3!$L$4:$M$14,2,1)</f>
        <v>11% - 15%</v>
      </c>
    </row>
    <row r="498">
      <c r="A498" s="6">
        <v>472119.0</v>
      </c>
      <c r="B498" s="1" t="s">
        <v>255</v>
      </c>
      <c r="C498" s="1" t="s">
        <v>5364</v>
      </c>
      <c r="D498" s="1" t="s">
        <v>46</v>
      </c>
      <c r="E498" s="1" t="s">
        <v>3744</v>
      </c>
      <c r="F498" s="1" t="s">
        <v>70</v>
      </c>
      <c r="G498" s="1" t="s">
        <v>5365</v>
      </c>
      <c r="H498" s="1" t="s">
        <v>4643</v>
      </c>
      <c r="I498" s="1" t="s">
        <v>5366</v>
      </c>
      <c r="J498" s="1" t="s">
        <v>5367</v>
      </c>
      <c r="K498" s="1" t="s">
        <v>1722</v>
      </c>
      <c r="L498" s="9">
        <v>25526.0</v>
      </c>
      <c r="M498" s="8">
        <v>0.03850694444444445</v>
      </c>
      <c r="N498" s="6">
        <v>47.72</v>
      </c>
      <c r="O498" s="6">
        <v>60.0</v>
      </c>
      <c r="P498" s="9">
        <v>37210.0</v>
      </c>
      <c r="Q498" s="1" t="s">
        <v>52</v>
      </c>
      <c r="R498" s="1" t="s">
        <v>53</v>
      </c>
      <c r="S498" s="6">
        <v>2001.0</v>
      </c>
      <c r="T498" s="6">
        <v>11.0</v>
      </c>
      <c r="U498" s="1" t="s">
        <v>148</v>
      </c>
      <c r="V498" s="1" t="s">
        <v>149</v>
      </c>
      <c r="W498" s="6">
        <v>15.0</v>
      </c>
      <c r="X498" s="1" t="s">
        <v>150</v>
      </c>
      <c r="Y498" s="1" t="s">
        <v>151</v>
      </c>
      <c r="Z498" s="6">
        <v>15.71</v>
      </c>
      <c r="AA498" s="6">
        <v>120002.0</v>
      </c>
      <c r="AB498" s="10">
        <v>0.12</v>
      </c>
      <c r="AC498" s="1" t="s">
        <v>5368</v>
      </c>
      <c r="AD498" s="1" t="s">
        <v>5369</v>
      </c>
      <c r="AE498" s="1" t="s">
        <v>3706</v>
      </c>
      <c r="AF498" s="1" t="s">
        <v>3707</v>
      </c>
      <c r="AG498" s="1" t="s">
        <v>3706</v>
      </c>
      <c r="AH498" s="1" t="s">
        <v>974</v>
      </c>
      <c r="AI498" s="6">
        <v>45240.0</v>
      </c>
      <c r="AJ498" s="1" t="s">
        <v>86</v>
      </c>
      <c r="AK498" s="1" t="s">
        <v>5370</v>
      </c>
      <c r="AL498" s="1" t="s">
        <v>5371</v>
      </c>
      <c r="AM498" s="11" t="str">
        <f>VLOOKUP(N498,Sheet3!$B$4:$C$10,2,1)</f>
        <v>41-50</v>
      </c>
      <c r="AN498" s="12" t="str">
        <f>VLOOKUP(Z498,Sheet3!$F$4:$G$10,2,1)</f>
        <v>11-20</v>
      </c>
      <c r="AO498" s="5" t="str">
        <f>VLOOKUP(AA498,Sheet3!$I$3:$J$16,2,1)</f>
        <v>120000-140000</v>
      </c>
      <c r="AP498" s="5" t="str">
        <f>VLOOKUP(AB498,Sheet3!$L$4:$M$14,2,1)</f>
        <v>11% - 15%</v>
      </c>
    </row>
    <row r="499">
      <c r="A499" s="6">
        <v>282137.0</v>
      </c>
      <c r="B499" s="1" t="s">
        <v>66</v>
      </c>
      <c r="C499" s="1" t="s">
        <v>5372</v>
      </c>
      <c r="D499" s="1" t="s">
        <v>389</v>
      </c>
      <c r="E499" s="1" t="s">
        <v>1036</v>
      </c>
      <c r="F499" s="1" t="s">
        <v>70</v>
      </c>
      <c r="G499" s="1" t="s">
        <v>5373</v>
      </c>
      <c r="H499" s="1" t="s">
        <v>4643</v>
      </c>
      <c r="I499" s="1" t="s">
        <v>5374</v>
      </c>
      <c r="J499" s="1" t="s">
        <v>5375</v>
      </c>
      <c r="K499" s="1" t="s">
        <v>1496</v>
      </c>
      <c r="L499" s="9">
        <v>25657.0</v>
      </c>
      <c r="M499" s="8">
        <v>0.05178240740740741</v>
      </c>
      <c r="N499" s="6">
        <v>47.36</v>
      </c>
      <c r="O499" s="6">
        <v>75.0</v>
      </c>
      <c r="P499" s="9">
        <v>37314.0</v>
      </c>
      <c r="Q499" s="1" t="s">
        <v>96</v>
      </c>
      <c r="R499" s="1" t="s">
        <v>76</v>
      </c>
      <c r="S499" s="6">
        <v>2002.0</v>
      </c>
      <c r="T499" s="6">
        <v>2.0</v>
      </c>
      <c r="U499" s="1" t="s">
        <v>117</v>
      </c>
      <c r="V499" s="1" t="s">
        <v>118</v>
      </c>
      <c r="W499" s="6">
        <v>27.0</v>
      </c>
      <c r="X499" s="1" t="s">
        <v>278</v>
      </c>
      <c r="Y499" s="1" t="s">
        <v>279</v>
      </c>
      <c r="Z499" s="6">
        <v>15.42</v>
      </c>
      <c r="AA499" s="6">
        <v>146973.0</v>
      </c>
      <c r="AB499" s="10">
        <v>0.2</v>
      </c>
      <c r="AC499" s="1" t="s">
        <v>5376</v>
      </c>
      <c r="AD499" s="1" t="s">
        <v>5377</v>
      </c>
      <c r="AE499" s="1" t="s">
        <v>5378</v>
      </c>
      <c r="AF499" s="1" t="s">
        <v>5379</v>
      </c>
      <c r="AG499" s="1" t="s">
        <v>5378</v>
      </c>
      <c r="AH499" s="1" t="s">
        <v>1561</v>
      </c>
      <c r="AI499" s="6">
        <v>54463.0</v>
      </c>
      <c r="AJ499" s="1" t="s">
        <v>86</v>
      </c>
      <c r="AK499" s="1" t="s">
        <v>5380</v>
      </c>
      <c r="AL499" s="1" t="s">
        <v>5381</v>
      </c>
      <c r="AM499" s="11" t="str">
        <f>VLOOKUP(N499,Sheet3!$B$4:$C$10,2,1)</f>
        <v>41-50</v>
      </c>
      <c r="AN499" s="12" t="str">
        <f>VLOOKUP(Z499,Sheet3!$F$4:$G$10,2,1)</f>
        <v>11-20</v>
      </c>
      <c r="AO499" s="5" t="str">
        <f>VLOOKUP(AA499,Sheet3!$I$3:$J$16,2,1)</f>
        <v>140000-160000</v>
      </c>
      <c r="AP499" s="5" t="str">
        <f>VLOOKUP(AB499,Sheet3!$L$4:$M$14,2,1)</f>
        <v>16% - 20%</v>
      </c>
    </row>
    <row r="500">
      <c r="A500" s="6">
        <v>395867.0</v>
      </c>
      <c r="B500" s="1" t="s">
        <v>109</v>
      </c>
      <c r="C500" s="1" t="s">
        <v>5382</v>
      </c>
      <c r="D500" s="1" t="s">
        <v>529</v>
      </c>
      <c r="E500" s="1" t="s">
        <v>5383</v>
      </c>
      <c r="F500" s="1" t="s">
        <v>46</v>
      </c>
      <c r="G500" s="1" t="s">
        <v>5384</v>
      </c>
      <c r="H500" s="1" t="s">
        <v>4643</v>
      </c>
      <c r="I500" s="1" t="s">
        <v>5385</v>
      </c>
      <c r="J500" s="1" t="s">
        <v>5386</v>
      </c>
      <c r="K500" s="1" t="s">
        <v>5387</v>
      </c>
      <c r="L500" s="9">
        <v>26017.0</v>
      </c>
      <c r="M500" s="8">
        <v>0.2744097222222222</v>
      </c>
      <c r="N500" s="6">
        <v>46.38</v>
      </c>
      <c r="O500" s="6">
        <v>58.0</v>
      </c>
      <c r="P500" s="9">
        <v>41670.0</v>
      </c>
      <c r="Q500" s="1" t="s">
        <v>96</v>
      </c>
      <c r="R500" s="1" t="s">
        <v>76</v>
      </c>
      <c r="S500" s="6">
        <v>2014.0</v>
      </c>
      <c r="T500" s="6">
        <v>1.0</v>
      </c>
      <c r="U500" s="1" t="s">
        <v>276</v>
      </c>
      <c r="V500" s="1" t="s">
        <v>277</v>
      </c>
      <c r="W500" s="6">
        <v>31.0</v>
      </c>
      <c r="X500" s="1" t="s">
        <v>263</v>
      </c>
      <c r="Y500" s="1" t="s">
        <v>264</v>
      </c>
      <c r="Z500" s="6">
        <v>3.49</v>
      </c>
      <c r="AA500" s="6">
        <v>138943.0</v>
      </c>
      <c r="AB500" s="10">
        <v>0.27</v>
      </c>
      <c r="AC500" s="1" t="s">
        <v>5388</v>
      </c>
      <c r="AD500" s="1" t="s">
        <v>5389</v>
      </c>
      <c r="AE500" s="1" t="s">
        <v>5390</v>
      </c>
      <c r="AF500" s="1" t="s">
        <v>5391</v>
      </c>
      <c r="AG500" s="1" t="s">
        <v>5390</v>
      </c>
      <c r="AH500" s="1" t="s">
        <v>2028</v>
      </c>
      <c r="AI500" s="6">
        <v>86302.0</v>
      </c>
      <c r="AJ500" s="1" t="s">
        <v>63</v>
      </c>
      <c r="AK500" s="1" t="s">
        <v>5392</v>
      </c>
      <c r="AL500" s="1" t="s">
        <v>5393</v>
      </c>
      <c r="AM500" s="11" t="str">
        <f>VLOOKUP(N500,Sheet3!$B$4:$C$10,2,1)</f>
        <v>41-50</v>
      </c>
      <c r="AN500" s="13" t="str">
        <f>VLOOKUP(Z500,Sheet3!$F$4:$G$10,2,1)</f>
        <v>&lt; 5</v>
      </c>
      <c r="AO500" s="5" t="str">
        <f>VLOOKUP(AA500,Sheet3!$I$3:$J$16,2,1)</f>
        <v>120000-140000</v>
      </c>
      <c r="AP500" s="5" t="str">
        <f>VLOOKUP(AB500,Sheet3!$L$4:$M$14,2,1)</f>
        <v>26% - 30%</v>
      </c>
    </row>
    <row r="501">
      <c r="A501" s="6">
        <v>923329.0</v>
      </c>
      <c r="B501" s="1" t="s">
        <v>42</v>
      </c>
      <c r="C501" s="1" t="s">
        <v>5394</v>
      </c>
      <c r="D501" s="1" t="s">
        <v>683</v>
      </c>
      <c r="E501" s="1" t="s">
        <v>2487</v>
      </c>
      <c r="F501" s="1" t="s">
        <v>46</v>
      </c>
      <c r="G501" s="1" t="s">
        <v>5395</v>
      </c>
      <c r="H501" s="1" t="s">
        <v>4643</v>
      </c>
      <c r="I501" s="1" t="s">
        <v>5396</v>
      </c>
      <c r="J501" s="1" t="s">
        <v>5397</v>
      </c>
      <c r="K501" s="1" t="s">
        <v>5398</v>
      </c>
      <c r="L501" s="9">
        <v>29032.0</v>
      </c>
      <c r="M501" s="8">
        <v>0.7024652777777778</v>
      </c>
      <c r="N501" s="6">
        <v>38.12</v>
      </c>
      <c r="O501" s="6">
        <v>40.0</v>
      </c>
      <c r="P501" s="9">
        <v>37879.0</v>
      </c>
      <c r="Q501" s="1" t="s">
        <v>308</v>
      </c>
      <c r="R501" s="1" t="s">
        <v>53</v>
      </c>
      <c r="S501" s="6">
        <v>2003.0</v>
      </c>
      <c r="T501" s="6">
        <v>9.0</v>
      </c>
      <c r="U501" s="1" t="s">
        <v>309</v>
      </c>
      <c r="V501" s="1" t="s">
        <v>310</v>
      </c>
      <c r="W501" s="6">
        <v>15.0</v>
      </c>
      <c r="X501" s="1" t="s">
        <v>99</v>
      </c>
      <c r="Y501" s="1" t="s">
        <v>100</v>
      </c>
      <c r="Z501" s="6">
        <v>13.88</v>
      </c>
      <c r="AA501" s="6">
        <v>174389.0</v>
      </c>
      <c r="AB501" s="10">
        <v>0.23</v>
      </c>
      <c r="AC501" s="1" t="s">
        <v>5399</v>
      </c>
      <c r="AD501" s="1" t="s">
        <v>5400</v>
      </c>
      <c r="AE501" s="1" t="s">
        <v>4561</v>
      </c>
      <c r="AF501" s="1" t="s">
        <v>2267</v>
      </c>
      <c r="AG501" s="1" t="s">
        <v>4561</v>
      </c>
      <c r="AH501" s="1" t="s">
        <v>974</v>
      </c>
      <c r="AI501" s="6">
        <v>43279.0</v>
      </c>
      <c r="AJ501" s="1" t="s">
        <v>86</v>
      </c>
      <c r="AK501" s="1" t="s">
        <v>5401</v>
      </c>
      <c r="AL501" s="1" t="s">
        <v>5402</v>
      </c>
      <c r="AM501" s="11" t="str">
        <f>VLOOKUP(N501,Sheet3!$B$4:$C$10,2,1)</f>
        <v>31-40</v>
      </c>
      <c r="AN501" s="12" t="str">
        <f>VLOOKUP(Z501,Sheet3!$F$4:$G$10,2,1)</f>
        <v>11-20</v>
      </c>
      <c r="AO501" s="5" t="str">
        <f>VLOOKUP(AA501,Sheet3!$I$3:$J$16,2,1)</f>
        <v>160000-180000</v>
      </c>
      <c r="AP501" s="5" t="str">
        <f>VLOOKUP(AB501,Sheet3!$L$4:$M$14,2,1)</f>
        <v>21% - 25%</v>
      </c>
    </row>
    <row r="502">
      <c r="A502" s="6">
        <v>901654.0</v>
      </c>
      <c r="B502" s="1" t="s">
        <v>66</v>
      </c>
      <c r="C502" s="1" t="s">
        <v>5403</v>
      </c>
      <c r="D502" s="1" t="s">
        <v>554</v>
      </c>
      <c r="E502" s="1" t="s">
        <v>1417</v>
      </c>
      <c r="F502" s="1" t="s">
        <v>70</v>
      </c>
      <c r="G502" s="1" t="s">
        <v>5404</v>
      </c>
      <c r="H502" s="1" t="s">
        <v>4643</v>
      </c>
      <c r="I502" s="1" t="s">
        <v>5405</v>
      </c>
      <c r="J502" s="1" t="s">
        <v>5406</v>
      </c>
      <c r="K502" s="1" t="s">
        <v>2770</v>
      </c>
      <c r="L502" s="9">
        <v>32710.0</v>
      </c>
      <c r="M502" s="8">
        <v>0.24386574074074074</v>
      </c>
      <c r="N502" s="6">
        <v>28.04</v>
      </c>
      <c r="O502" s="6">
        <v>76.0</v>
      </c>
      <c r="P502" s="9">
        <v>41203.0</v>
      </c>
      <c r="Q502" s="1" t="s">
        <v>52</v>
      </c>
      <c r="R502" s="1" t="s">
        <v>53</v>
      </c>
      <c r="S502" s="6">
        <v>2012.0</v>
      </c>
      <c r="T502" s="6">
        <v>10.0</v>
      </c>
      <c r="U502" s="1" t="s">
        <v>133</v>
      </c>
      <c r="V502" s="1" t="s">
        <v>134</v>
      </c>
      <c r="W502" s="6">
        <v>21.0</v>
      </c>
      <c r="X502" s="1" t="s">
        <v>534</v>
      </c>
      <c r="Y502" s="1" t="s">
        <v>535</v>
      </c>
      <c r="Z502" s="6">
        <v>4.77</v>
      </c>
      <c r="AA502" s="6">
        <v>143979.0</v>
      </c>
      <c r="AB502" s="10">
        <v>0.11</v>
      </c>
      <c r="AC502" s="1" t="s">
        <v>5407</v>
      </c>
      <c r="AD502" s="1" t="s">
        <v>5408</v>
      </c>
      <c r="AE502" s="1" t="s">
        <v>2267</v>
      </c>
      <c r="AF502" s="1" t="s">
        <v>4077</v>
      </c>
      <c r="AG502" s="1" t="s">
        <v>2267</v>
      </c>
      <c r="AH502" s="1" t="s">
        <v>85</v>
      </c>
      <c r="AI502" s="6">
        <v>48025.0</v>
      </c>
      <c r="AJ502" s="1" t="s">
        <v>86</v>
      </c>
      <c r="AK502" s="1" t="s">
        <v>5409</v>
      </c>
      <c r="AL502" s="1" t="s">
        <v>5410</v>
      </c>
      <c r="AM502" s="11" t="str">
        <f>VLOOKUP(N502,Sheet3!$B$4:$C$10,2,1)</f>
        <v>21-30</v>
      </c>
      <c r="AN502" s="13" t="str">
        <f>VLOOKUP(Z502,Sheet3!$F$4:$G$10,2,1)</f>
        <v>&lt; 5</v>
      </c>
      <c r="AO502" s="5" t="str">
        <f>VLOOKUP(AA502,Sheet3!$I$3:$J$16,2,1)</f>
        <v>140000-160000</v>
      </c>
      <c r="AP502" s="5" t="str">
        <f>VLOOKUP(AB502,Sheet3!$L$4:$M$14,2,1)</f>
        <v>11% - 15%</v>
      </c>
    </row>
    <row r="503">
      <c r="A503" s="6">
        <v>673438.0</v>
      </c>
      <c r="B503" s="1" t="s">
        <v>255</v>
      </c>
      <c r="C503" s="1" t="s">
        <v>5411</v>
      </c>
      <c r="D503" s="1" t="s">
        <v>68</v>
      </c>
      <c r="E503" s="1" t="s">
        <v>5412</v>
      </c>
      <c r="F503" s="1" t="s">
        <v>70</v>
      </c>
      <c r="G503" s="1" t="s">
        <v>5413</v>
      </c>
      <c r="H503" s="1" t="s">
        <v>4643</v>
      </c>
      <c r="I503" s="1" t="s">
        <v>5414</v>
      </c>
      <c r="J503" s="1" t="s">
        <v>5415</v>
      </c>
      <c r="K503" s="1" t="s">
        <v>3868</v>
      </c>
      <c r="L503" s="9">
        <v>32713.0</v>
      </c>
      <c r="M503" s="8">
        <v>0.03234953703703704</v>
      </c>
      <c r="N503" s="6">
        <v>28.03</v>
      </c>
      <c r="O503" s="6">
        <v>63.0</v>
      </c>
      <c r="P503" s="9">
        <v>42294.0</v>
      </c>
      <c r="Q503" s="1" t="s">
        <v>52</v>
      </c>
      <c r="R503" s="1" t="s">
        <v>53</v>
      </c>
      <c r="S503" s="6">
        <v>2015.0</v>
      </c>
      <c r="T503" s="6">
        <v>10.0</v>
      </c>
      <c r="U503" s="1" t="s">
        <v>133</v>
      </c>
      <c r="V503" s="1" t="s">
        <v>134</v>
      </c>
      <c r="W503" s="6">
        <v>17.0</v>
      </c>
      <c r="X503" s="1" t="s">
        <v>56</v>
      </c>
      <c r="Y503" s="1" t="s">
        <v>57</v>
      </c>
      <c r="Z503" s="6">
        <v>1.78</v>
      </c>
      <c r="AA503" s="6">
        <v>157427.0</v>
      </c>
      <c r="AB503" s="10">
        <v>0.22</v>
      </c>
      <c r="AC503" s="1" t="s">
        <v>5416</v>
      </c>
      <c r="AD503" s="1" t="s">
        <v>5417</v>
      </c>
      <c r="AE503" s="1" t="s">
        <v>5418</v>
      </c>
      <c r="AF503" s="1" t="s">
        <v>5418</v>
      </c>
      <c r="AG503" s="1" t="s">
        <v>5418</v>
      </c>
      <c r="AH503" s="1" t="s">
        <v>1032</v>
      </c>
      <c r="AI503" s="6">
        <v>67015.0</v>
      </c>
      <c r="AJ503" s="1" t="s">
        <v>86</v>
      </c>
      <c r="AK503" s="1" t="s">
        <v>5419</v>
      </c>
      <c r="AL503" s="1" t="s">
        <v>5420</v>
      </c>
      <c r="AM503" s="11" t="str">
        <f>VLOOKUP(N503,Sheet3!$B$4:$C$10,2,1)</f>
        <v>21-30</v>
      </c>
      <c r="AN503" s="13" t="str">
        <f>VLOOKUP(Z503,Sheet3!$F$4:$G$10,2,1)</f>
        <v>&lt; 5</v>
      </c>
      <c r="AO503" s="5" t="str">
        <f>VLOOKUP(AA503,Sheet3!$I$3:$J$16,2,1)</f>
        <v>140000-160000</v>
      </c>
      <c r="AP503" s="5" t="str">
        <f>VLOOKUP(AB503,Sheet3!$L$4:$M$14,2,1)</f>
        <v>21% - 25%</v>
      </c>
    </row>
    <row r="504">
      <c r="A504" s="6">
        <v>626693.0</v>
      </c>
      <c r="B504" s="1" t="s">
        <v>42</v>
      </c>
      <c r="C504" s="1" t="s">
        <v>5421</v>
      </c>
      <c r="D504" s="1" t="s">
        <v>416</v>
      </c>
      <c r="E504" s="1" t="s">
        <v>5422</v>
      </c>
      <c r="F504" s="1" t="s">
        <v>46</v>
      </c>
      <c r="G504" s="1" t="s">
        <v>5423</v>
      </c>
      <c r="H504" s="1" t="s">
        <v>4643</v>
      </c>
      <c r="I504" s="1" t="s">
        <v>5424</v>
      </c>
      <c r="J504" s="1" t="s">
        <v>5425</v>
      </c>
      <c r="K504" s="1" t="s">
        <v>930</v>
      </c>
      <c r="L504" s="14">
        <v>26699.0</v>
      </c>
      <c r="M504" s="8">
        <v>0.09153935185185186</v>
      </c>
      <c r="N504" s="6">
        <v>44.51</v>
      </c>
      <c r="O504" s="6">
        <v>41.0</v>
      </c>
      <c r="P504" s="9">
        <v>35121.0</v>
      </c>
      <c r="Q504" s="1" t="s">
        <v>96</v>
      </c>
      <c r="R504" s="1" t="s">
        <v>76</v>
      </c>
      <c r="S504" s="6">
        <v>1996.0</v>
      </c>
      <c r="T504" s="6">
        <v>2.0</v>
      </c>
      <c r="U504" s="1" t="s">
        <v>117</v>
      </c>
      <c r="V504" s="1" t="s">
        <v>118</v>
      </c>
      <c r="W504" s="6">
        <v>26.0</v>
      </c>
      <c r="X504" s="1" t="s">
        <v>99</v>
      </c>
      <c r="Y504" s="1" t="s">
        <v>100</v>
      </c>
      <c r="Z504" s="6">
        <v>21.43</v>
      </c>
      <c r="AA504" s="6">
        <v>60433.0</v>
      </c>
      <c r="AB504" s="10">
        <v>0.04</v>
      </c>
      <c r="AC504" s="1" t="s">
        <v>5426</v>
      </c>
      <c r="AD504" s="1" t="s">
        <v>5427</v>
      </c>
      <c r="AE504" s="1" t="s">
        <v>5428</v>
      </c>
      <c r="AF504" s="1" t="s">
        <v>5428</v>
      </c>
      <c r="AG504" s="1" t="s">
        <v>5428</v>
      </c>
      <c r="AH504" s="1" t="s">
        <v>156</v>
      </c>
      <c r="AI504" s="6">
        <v>23403.0</v>
      </c>
      <c r="AJ504" s="1" t="s">
        <v>106</v>
      </c>
      <c r="AK504" s="1" t="s">
        <v>5429</v>
      </c>
      <c r="AL504" s="1" t="s">
        <v>5430</v>
      </c>
      <c r="AM504" s="11" t="str">
        <f>VLOOKUP(N504,Sheet3!$B$4:$C$10,2,1)</f>
        <v>41-50</v>
      </c>
      <c r="AN504" s="13" t="str">
        <f>VLOOKUP(Z504,Sheet3!$F$4:$G$10,2,1)</f>
        <v>21-30</v>
      </c>
      <c r="AO504" s="5" t="str">
        <f>VLOOKUP(AA504,Sheet3!$I$3:$J$16,2,1)</f>
        <v>60000-80000</v>
      </c>
      <c r="AP504" s="5" t="str">
        <f>VLOOKUP(AB504,Sheet3!$L$4:$M$14,2,1)</f>
        <v>&lt; 5%</v>
      </c>
    </row>
    <row r="505">
      <c r="A505" s="6">
        <v>683325.0</v>
      </c>
      <c r="B505" s="1" t="s">
        <v>255</v>
      </c>
      <c r="C505" s="1" t="s">
        <v>5431</v>
      </c>
      <c r="D505" s="1" t="s">
        <v>288</v>
      </c>
      <c r="E505" s="1" t="s">
        <v>5432</v>
      </c>
      <c r="F505" s="1" t="s">
        <v>70</v>
      </c>
      <c r="G505" s="1" t="s">
        <v>5433</v>
      </c>
      <c r="H505" s="1" t="s">
        <v>4643</v>
      </c>
      <c r="I505" s="1" t="s">
        <v>5434</v>
      </c>
      <c r="J505" s="1" t="s">
        <v>5435</v>
      </c>
      <c r="K505" s="1" t="s">
        <v>718</v>
      </c>
      <c r="L505" s="9">
        <v>24951.0</v>
      </c>
      <c r="M505" s="8">
        <v>0.04275462962962963</v>
      </c>
      <c r="N505" s="6">
        <v>49.3</v>
      </c>
      <c r="O505" s="6">
        <v>51.0</v>
      </c>
      <c r="P505" s="14">
        <v>36498.0</v>
      </c>
      <c r="Q505" s="1" t="s">
        <v>52</v>
      </c>
      <c r="R505" s="1" t="s">
        <v>53</v>
      </c>
      <c r="S505" s="6">
        <v>1999.0</v>
      </c>
      <c r="T505" s="6">
        <v>12.0</v>
      </c>
      <c r="U505" s="1" t="s">
        <v>54</v>
      </c>
      <c r="V505" s="1" t="s">
        <v>55</v>
      </c>
      <c r="W505" s="6">
        <v>4.0</v>
      </c>
      <c r="X505" s="1" t="s">
        <v>56</v>
      </c>
      <c r="Y505" s="1" t="s">
        <v>57</v>
      </c>
      <c r="Z505" s="6">
        <v>17.66</v>
      </c>
      <c r="AA505" s="6">
        <v>111364.0</v>
      </c>
      <c r="AB505" s="10">
        <v>0.24</v>
      </c>
      <c r="AC505" s="1" t="s">
        <v>5436</v>
      </c>
      <c r="AD505" s="1" t="s">
        <v>5437</v>
      </c>
      <c r="AE505" s="1" t="s">
        <v>5438</v>
      </c>
      <c r="AF505" s="1" t="s">
        <v>5438</v>
      </c>
      <c r="AG505" s="1" t="s">
        <v>5438</v>
      </c>
      <c r="AH505" s="1" t="s">
        <v>811</v>
      </c>
      <c r="AI505" s="6">
        <v>39400.0</v>
      </c>
      <c r="AJ505" s="1" t="s">
        <v>106</v>
      </c>
      <c r="AK505" s="1" t="s">
        <v>5439</v>
      </c>
      <c r="AL505" s="1" t="s">
        <v>5440</v>
      </c>
      <c r="AM505" s="11" t="str">
        <f>VLOOKUP(N505,Sheet3!$B$4:$C$10,2,1)</f>
        <v>41-50</v>
      </c>
      <c r="AN505" s="12" t="str">
        <f>VLOOKUP(Z505,Sheet3!$F$4:$G$10,2,1)</f>
        <v>11-20</v>
      </c>
      <c r="AO505" s="5" t="str">
        <f>VLOOKUP(AA505,Sheet3!$I$3:$J$16,2,1)</f>
        <v>100000-120000</v>
      </c>
      <c r="AP505" s="5" t="str">
        <f>VLOOKUP(AB505,Sheet3!$L$4:$M$14,2,1)</f>
        <v>21% - 25%</v>
      </c>
    </row>
    <row r="506">
      <c r="A506" s="6">
        <v>486465.0</v>
      </c>
      <c r="B506" s="1" t="s">
        <v>42</v>
      </c>
      <c r="C506" s="1" t="s">
        <v>5441</v>
      </c>
      <c r="D506" s="1" t="s">
        <v>318</v>
      </c>
      <c r="E506" s="1" t="s">
        <v>1086</v>
      </c>
      <c r="F506" s="1" t="s">
        <v>46</v>
      </c>
      <c r="G506" s="1" t="s">
        <v>5442</v>
      </c>
      <c r="H506" s="1" t="s">
        <v>4643</v>
      </c>
      <c r="I506" s="1" t="s">
        <v>5443</v>
      </c>
      <c r="J506" s="1" t="s">
        <v>5444</v>
      </c>
      <c r="K506" s="1" t="s">
        <v>91</v>
      </c>
      <c r="L506" s="9">
        <v>32139.0</v>
      </c>
      <c r="M506" s="8">
        <v>0.36233796296296295</v>
      </c>
      <c r="N506" s="6">
        <v>29.6</v>
      </c>
      <c r="O506" s="6">
        <v>53.0</v>
      </c>
      <c r="P506" s="14">
        <v>41005.0</v>
      </c>
      <c r="Q506" s="1" t="s">
        <v>75</v>
      </c>
      <c r="R506" s="1" t="s">
        <v>76</v>
      </c>
      <c r="S506" s="6">
        <v>2012.0</v>
      </c>
      <c r="T506" s="6">
        <v>4.0</v>
      </c>
      <c r="U506" s="1" t="s">
        <v>77</v>
      </c>
      <c r="V506" s="1" t="s">
        <v>78</v>
      </c>
      <c r="W506" s="6">
        <v>6.0</v>
      </c>
      <c r="X506" s="1" t="s">
        <v>263</v>
      </c>
      <c r="Y506" s="1" t="s">
        <v>264</v>
      </c>
      <c r="Z506" s="6">
        <v>5.31</v>
      </c>
      <c r="AA506" s="6">
        <v>148717.0</v>
      </c>
      <c r="AB506" s="10">
        <v>0.27</v>
      </c>
      <c r="AC506" s="1" t="s">
        <v>5445</v>
      </c>
      <c r="AD506" s="1" t="s">
        <v>5446</v>
      </c>
      <c r="AE506" s="1" t="s">
        <v>1718</v>
      </c>
      <c r="AF506" s="1" t="s">
        <v>5447</v>
      </c>
      <c r="AG506" s="1" t="s">
        <v>1718</v>
      </c>
      <c r="AH506" s="1" t="s">
        <v>210</v>
      </c>
      <c r="AI506" s="6">
        <v>60931.0</v>
      </c>
      <c r="AJ506" s="1" t="s">
        <v>86</v>
      </c>
      <c r="AK506" s="1" t="s">
        <v>5448</v>
      </c>
      <c r="AL506" s="1" t="s">
        <v>5449</v>
      </c>
      <c r="AM506" s="11" t="str">
        <f>VLOOKUP(N506,Sheet3!$B$4:$C$10,2,1)</f>
        <v>21-30</v>
      </c>
      <c r="AN506" s="12" t="str">
        <f>VLOOKUP(Z506,Sheet3!$F$4:$G$10,2,1)</f>
        <v>5-10</v>
      </c>
      <c r="AO506" s="5" t="str">
        <f>VLOOKUP(AA506,Sheet3!$I$3:$J$16,2,1)</f>
        <v>140000-160000</v>
      </c>
      <c r="AP506" s="5" t="str">
        <f>VLOOKUP(AB506,Sheet3!$L$4:$M$14,2,1)</f>
        <v>26% - 30%</v>
      </c>
    </row>
    <row r="507">
      <c r="A507" s="6">
        <v>213493.0</v>
      </c>
      <c r="B507" s="1" t="s">
        <v>109</v>
      </c>
      <c r="C507" s="1" t="s">
        <v>3792</v>
      </c>
      <c r="D507" s="1" t="s">
        <v>318</v>
      </c>
      <c r="E507" s="1" t="s">
        <v>4887</v>
      </c>
      <c r="F507" s="1" t="s">
        <v>46</v>
      </c>
      <c r="G507" s="1" t="s">
        <v>5450</v>
      </c>
      <c r="H507" s="1" t="s">
        <v>4643</v>
      </c>
      <c r="I507" s="1" t="s">
        <v>5451</v>
      </c>
      <c r="J507" s="1" t="s">
        <v>5452</v>
      </c>
      <c r="K507" s="1" t="s">
        <v>4605</v>
      </c>
      <c r="L507" s="9">
        <v>25594.0</v>
      </c>
      <c r="M507" s="8">
        <v>0.6123263888888889</v>
      </c>
      <c r="N507" s="6">
        <v>47.53</v>
      </c>
      <c r="O507" s="6">
        <v>55.0</v>
      </c>
      <c r="P507" s="9">
        <v>40100.0</v>
      </c>
      <c r="Q507" s="1" t="s">
        <v>52</v>
      </c>
      <c r="R507" s="1" t="s">
        <v>53</v>
      </c>
      <c r="S507" s="6">
        <v>2009.0</v>
      </c>
      <c r="T507" s="6">
        <v>10.0</v>
      </c>
      <c r="U507" s="1" t="s">
        <v>133</v>
      </c>
      <c r="V507" s="1" t="s">
        <v>134</v>
      </c>
      <c r="W507" s="6">
        <v>14.0</v>
      </c>
      <c r="X507" s="1" t="s">
        <v>278</v>
      </c>
      <c r="Y507" s="1" t="s">
        <v>279</v>
      </c>
      <c r="Z507" s="6">
        <v>7.79</v>
      </c>
      <c r="AA507" s="6">
        <v>96218.0</v>
      </c>
      <c r="AB507" s="10">
        <v>0.13</v>
      </c>
      <c r="AC507" s="1" t="s">
        <v>5453</v>
      </c>
      <c r="AD507" s="1" t="s">
        <v>5454</v>
      </c>
      <c r="AE507" s="1" t="s">
        <v>1019</v>
      </c>
      <c r="AF507" s="1" t="s">
        <v>649</v>
      </c>
      <c r="AG507" s="1" t="s">
        <v>1019</v>
      </c>
      <c r="AH507" s="1" t="s">
        <v>122</v>
      </c>
      <c r="AI507" s="6">
        <v>47250.0</v>
      </c>
      <c r="AJ507" s="1" t="s">
        <v>86</v>
      </c>
      <c r="AK507" s="1" t="s">
        <v>5455</v>
      </c>
      <c r="AL507" s="1" t="s">
        <v>5456</v>
      </c>
      <c r="AM507" s="11" t="str">
        <f>VLOOKUP(N507,Sheet3!$B$4:$C$10,2,1)</f>
        <v>41-50</v>
      </c>
      <c r="AN507" s="12" t="str">
        <f>VLOOKUP(Z507,Sheet3!$F$4:$G$10,2,1)</f>
        <v>5-10</v>
      </c>
      <c r="AO507" s="5" t="str">
        <f>VLOOKUP(AA507,Sheet3!$I$3:$J$16,2,1)</f>
        <v>80000-100000</v>
      </c>
      <c r="AP507" s="5" t="str">
        <f>VLOOKUP(AB507,Sheet3!$L$4:$M$14,2,1)</f>
        <v>11% - 15%</v>
      </c>
    </row>
    <row r="508">
      <c r="A508" s="6">
        <v>234177.0</v>
      </c>
      <c r="B508" s="1" t="s">
        <v>255</v>
      </c>
      <c r="C508" s="1" t="s">
        <v>5457</v>
      </c>
      <c r="D508" s="1" t="s">
        <v>257</v>
      </c>
      <c r="E508" s="1" t="s">
        <v>3203</v>
      </c>
      <c r="F508" s="1" t="s">
        <v>70</v>
      </c>
      <c r="G508" s="1" t="s">
        <v>5458</v>
      </c>
      <c r="H508" s="1" t="s">
        <v>4643</v>
      </c>
      <c r="I508" s="1" t="s">
        <v>5459</v>
      </c>
      <c r="J508" s="1" t="s">
        <v>5460</v>
      </c>
      <c r="K508" s="1" t="s">
        <v>2116</v>
      </c>
      <c r="L508" s="9">
        <v>30155.0</v>
      </c>
      <c r="M508" s="8">
        <v>0.6362962962962962</v>
      </c>
      <c r="N508" s="6">
        <v>35.04</v>
      </c>
      <c r="O508" s="6">
        <v>61.0</v>
      </c>
      <c r="P508" s="9">
        <v>40358.0</v>
      </c>
      <c r="Q508" s="1" t="s">
        <v>75</v>
      </c>
      <c r="R508" s="1" t="s">
        <v>76</v>
      </c>
      <c r="S508" s="6">
        <v>2010.0</v>
      </c>
      <c r="T508" s="6">
        <v>6.0</v>
      </c>
      <c r="U508" s="1" t="s">
        <v>324</v>
      </c>
      <c r="V508" s="1" t="s">
        <v>325</v>
      </c>
      <c r="W508" s="6">
        <v>29.0</v>
      </c>
      <c r="X508" s="1" t="s">
        <v>79</v>
      </c>
      <c r="Y508" s="1" t="s">
        <v>80</v>
      </c>
      <c r="Z508" s="6">
        <v>7.08</v>
      </c>
      <c r="AA508" s="6">
        <v>105034.0</v>
      </c>
      <c r="AB508" s="10">
        <v>0.16</v>
      </c>
      <c r="AC508" s="1" t="s">
        <v>5461</v>
      </c>
      <c r="AD508" s="1" t="s">
        <v>5462</v>
      </c>
      <c r="AE508" s="1" t="s">
        <v>2608</v>
      </c>
      <c r="AF508" s="1" t="s">
        <v>2609</v>
      </c>
      <c r="AG508" s="1" t="s">
        <v>2608</v>
      </c>
      <c r="AH508" s="1" t="s">
        <v>356</v>
      </c>
      <c r="AI508" s="6">
        <v>14305.0</v>
      </c>
      <c r="AJ508" s="1" t="s">
        <v>224</v>
      </c>
      <c r="AK508" s="1" t="s">
        <v>5463</v>
      </c>
      <c r="AL508" s="1" t="s">
        <v>5464</v>
      </c>
      <c r="AM508" s="11" t="str">
        <f>VLOOKUP(N508,Sheet3!$B$4:$C$10,2,1)</f>
        <v>31-40</v>
      </c>
      <c r="AN508" s="12" t="str">
        <f>VLOOKUP(Z508,Sheet3!$F$4:$G$10,2,1)</f>
        <v>5-10</v>
      </c>
      <c r="AO508" s="5" t="str">
        <f>VLOOKUP(AA508,Sheet3!$I$3:$J$16,2,1)</f>
        <v>100000-120000</v>
      </c>
      <c r="AP508" s="5" t="str">
        <f>VLOOKUP(AB508,Sheet3!$L$4:$M$14,2,1)</f>
        <v>16% - 20%</v>
      </c>
    </row>
    <row r="509">
      <c r="A509" s="6">
        <v>289041.0</v>
      </c>
      <c r="B509" s="1" t="s">
        <v>109</v>
      </c>
      <c r="C509" s="1" t="s">
        <v>5465</v>
      </c>
      <c r="D509" s="1" t="s">
        <v>554</v>
      </c>
      <c r="E509" s="1" t="s">
        <v>1018</v>
      </c>
      <c r="F509" s="1" t="s">
        <v>46</v>
      </c>
      <c r="G509" s="1" t="s">
        <v>5466</v>
      </c>
      <c r="H509" s="1" t="s">
        <v>4643</v>
      </c>
      <c r="I509" s="1" t="s">
        <v>5467</v>
      </c>
      <c r="J509" s="1" t="s">
        <v>5468</v>
      </c>
      <c r="K509" s="1" t="s">
        <v>1945</v>
      </c>
      <c r="L509" s="9">
        <v>23144.0</v>
      </c>
      <c r="M509" s="8">
        <v>0.2738425925925926</v>
      </c>
      <c r="N509" s="6">
        <v>54.25</v>
      </c>
      <c r="O509" s="6">
        <v>57.0</v>
      </c>
      <c r="P509" s="9">
        <v>42627.0</v>
      </c>
      <c r="Q509" s="1" t="s">
        <v>308</v>
      </c>
      <c r="R509" s="1" t="s">
        <v>53</v>
      </c>
      <c r="S509" s="6">
        <v>2016.0</v>
      </c>
      <c r="T509" s="6">
        <v>9.0</v>
      </c>
      <c r="U509" s="1" t="s">
        <v>309</v>
      </c>
      <c r="V509" s="1" t="s">
        <v>310</v>
      </c>
      <c r="W509" s="6">
        <v>14.0</v>
      </c>
      <c r="X509" s="1" t="s">
        <v>278</v>
      </c>
      <c r="Y509" s="1" t="s">
        <v>279</v>
      </c>
      <c r="Z509" s="6">
        <v>0.87</v>
      </c>
      <c r="AA509" s="6">
        <v>114631.0</v>
      </c>
      <c r="AB509" s="10">
        <v>0.09</v>
      </c>
      <c r="AC509" s="1" t="s">
        <v>5469</v>
      </c>
      <c r="AD509" s="1" t="s">
        <v>5470</v>
      </c>
      <c r="AE509" s="1" t="s">
        <v>5471</v>
      </c>
      <c r="AF509" s="1" t="s">
        <v>5472</v>
      </c>
      <c r="AG509" s="1" t="s">
        <v>5471</v>
      </c>
      <c r="AH509" s="1" t="s">
        <v>238</v>
      </c>
      <c r="AI509" s="6">
        <v>93270.0</v>
      </c>
      <c r="AJ509" s="1" t="s">
        <v>63</v>
      </c>
      <c r="AK509" s="1" t="s">
        <v>5473</v>
      </c>
      <c r="AL509" s="1" t="s">
        <v>5474</v>
      </c>
      <c r="AM509" s="11" t="str">
        <f>VLOOKUP(N509,Sheet3!$B$4:$C$10,2,1)</f>
        <v>51-60</v>
      </c>
      <c r="AN509" s="13" t="str">
        <f>VLOOKUP(Z509,Sheet3!$F$4:$G$10,2,1)</f>
        <v>&lt; 5</v>
      </c>
      <c r="AO509" s="5" t="str">
        <f>VLOOKUP(AA509,Sheet3!$I$3:$J$16,2,1)</f>
        <v>100000-120000</v>
      </c>
      <c r="AP509" s="5" t="str">
        <f>VLOOKUP(AB509,Sheet3!$L$4:$M$14,2,1)</f>
        <v>5% - 10%</v>
      </c>
    </row>
    <row r="510">
      <c r="A510" s="6">
        <v>384810.0</v>
      </c>
      <c r="B510" s="1" t="s">
        <v>89</v>
      </c>
      <c r="C510" s="1" t="s">
        <v>5475</v>
      </c>
      <c r="D510" s="1" t="s">
        <v>127</v>
      </c>
      <c r="E510" s="1" t="s">
        <v>5476</v>
      </c>
      <c r="F510" s="1" t="s">
        <v>46</v>
      </c>
      <c r="G510" s="1" t="s">
        <v>5477</v>
      </c>
      <c r="H510" s="1" t="s">
        <v>4643</v>
      </c>
      <c r="I510" s="1" t="s">
        <v>5478</v>
      </c>
      <c r="J510" s="1" t="s">
        <v>5479</v>
      </c>
      <c r="K510" s="1" t="s">
        <v>3541</v>
      </c>
      <c r="L510" s="14">
        <v>32915.0</v>
      </c>
      <c r="M510" s="8">
        <v>0.5861342592592592</v>
      </c>
      <c r="N510" s="6">
        <v>27.48</v>
      </c>
      <c r="O510" s="6">
        <v>58.0</v>
      </c>
      <c r="P510" s="9">
        <v>40993.0</v>
      </c>
      <c r="Q510" s="1" t="s">
        <v>96</v>
      </c>
      <c r="R510" s="1" t="s">
        <v>76</v>
      </c>
      <c r="S510" s="6">
        <v>2012.0</v>
      </c>
      <c r="T510" s="6">
        <v>3.0</v>
      </c>
      <c r="U510" s="1" t="s">
        <v>97</v>
      </c>
      <c r="V510" s="1" t="s">
        <v>98</v>
      </c>
      <c r="W510" s="6">
        <v>25.0</v>
      </c>
      <c r="X510" s="1" t="s">
        <v>534</v>
      </c>
      <c r="Y510" s="1" t="s">
        <v>535</v>
      </c>
      <c r="Z510" s="6">
        <v>5.35</v>
      </c>
      <c r="AA510" s="6">
        <v>87704.0</v>
      </c>
      <c r="AB510" s="10">
        <v>0.14</v>
      </c>
      <c r="AC510" s="1" t="s">
        <v>5480</v>
      </c>
      <c r="AD510" s="1" t="s">
        <v>5481</v>
      </c>
      <c r="AE510" s="1" t="s">
        <v>5482</v>
      </c>
      <c r="AF510" s="1" t="s">
        <v>5483</v>
      </c>
      <c r="AG510" s="1" t="s">
        <v>5482</v>
      </c>
      <c r="AH510" s="1" t="s">
        <v>105</v>
      </c>
      <c r="AI510" s="6">
        <v>40165.0</v>
      </c>
      <c r="AJ510" s="1" t="s">
        <v>106</v>
      </c>
      <c r="AK510" s="1" t="s">
        <v>5484</v>
      </c>
      <c r="AL510" s="1" t="s">
        <v>5485</v>
      </c>
      <c r="AM510" s="11" t="str">
        <f>VLOOKUP(N510,Sheet3!$B$4:$C$10,2,1)</f>
        <v>21-30</v>
      </c>
      <c r="AN510" s="12" t="str">
        <f>VLOOKUP(Z510,Sheet3!$F$4:$G$10,2,1)</f>
        <v>5-10</v>
      </c>
      <c r="AO510" s="5" t="str">
        <f>VLOOKUP(AA510,Sheet3!$I$3:$J$16,2,1)</f>
        <v>80000-100000</v>
      </c>
      <c r="AP510" s="5" t="str">
        <f>VLOOKUP(AB510,Sheet3!$L$4:$M$14,2,1)</f>
        <v>11% - 15%</v>
      </c>
    </row>
    <row r="511">
      <c r="A511" s="6">
        <v>149750.0</v>
      </c>
      <c r="B511" s="1" t="s">
        <v>66</v>
      </c>
      <c r="C511" s="1" t="s">
        <v>2246</v>
      </c>
      <c r="D511" s="1" t="s">
        <v>360</v>
      </c>
      <c r="E511" s="1" t="s">
        <v>5486</v>
      </c>
      <c r="F511" s="1" t="s">
        <v>70</v>
      </c>
      <c r="G511" s="1" t="s">
        <v>5487</v>
      </c>
      <c r="H511" s="1" t="s">
        <v>4643</v>
      </c>
      <c r="I511" s="1" t="s">
        <v>5488</v>
      </c>
      <c r="J511" s="1" t="s">
        <v>5489</v>
      </c>
      <c r="K511" s="1" t="s">
        <v>4677</v>
      </c>
      <c r="L511" s="9">
        <v>29248.0</v>
      </c>
      <c r="M511" s="8">
        <v>0.38983796296296297</v>
      </c>
      <c r="N511" s="6">
        <v>37.52</v>
      </c>
      <c r="O511" s="6">
        <v>84.0</v>
      </c>
      <c r="P511" s="14">
        <v>40148.0</v>
      </c>
      <c r="Q511" s="1" t="s">
        <v>52</v>
      </c>
      <c r="R511" s="1" t="s">
        <v>53</v>
      </c>
      <c r="S511" s="6">
        <v>2009.0</v>
      </c>
      <c r="T511" s="6">
        <v>12.0</v>
      </c>
      <c r="U511" s="1" t="s">
        <v>54</v>
      </c>
      <c r="V511" s="1" t="s">
        <v>55</v>
      </c>
      <c r="W511" s="6">
        <v>1.0</v>
      </c>
      <c r="X511" s="1" t="s">
        <v>79</v>
      </c>
      <c r="Y511" s="1" t="s">
        <v>80</v>
      </c>
      <c r="Z511" s="6">
        <v>7.66</v>
      </c>
      <c r="AA511" s="6">
        <v>152889.0</v>
      </c>
      <c r="AB511" s="10">
        <v>0.17</v>
      </c>
      <c r="AC511" s="1" t="s">
        <v>5490</v>
      </c>
      <c r="AD511" s="1" t="s">
        <v>5491</v>
      </c>
      <c r="AE511" s="1" t="s">
        <v>5492</v>
      </c>
      <c r="AF511" s="1" t="s">
        <v>229</v>
      </c>
      <c r="AG511" s="1" t="s">
        <v>5492</v>
      </c>
      <c r="AH511" s="1" t="s">
        <v>882</v>
      </c>
      <c r="AI511" s="6">
        <v>31740.0</v>
      </c>
      <c r="AJ511" s="1" t="s">
        <v>106</v>
      </c>
      <c r="AK511" s="1" t="s">
        <v>5493</v>
      </c>
      <c r="AL511" s="1" t="s">
        <v>5494</v>
      </c>
      <c r="AM511" s="11" t="str">
        <f>VLOOKUP(N511,Sheet3!$B$4:$C$10,2,1)</f>
        <v>31-40</v>
      </c>
      <c r="AN511" s="12" t="str">
        <f>VLOOKUP(Z511,Sheet3!$F$4:$G$10,2,1)</f>
        <v>5-10</v>
      </c>
      <c r="AO511" s="5" t="str">
        <f>VLOOKUP(AA511,Sheet3!$I$3:$J$16,2,1)</f>
        <v>140000-160000</v>
      </c>
      <c r="AP511" s="5" t="str">
        <f>VLOOKUP(AB511,Sheet3!$L$4:$M$14,2,1)</f>
        <v>16% - 20%</v>
      </c>
    </row>
    <row r="512">
      <c r="A512" s="6">
        <v>864858.0</v>
      </c>
      <c r="B512" s="1" t="s">
        <v>66</v>
      </c>
      <c r="C512" s="1" t="s">
        <v>5495</v>
      </c>
      <c r="D512" s="1" t="s">
        <v>416</v>
      </c>
      <c r="E512" s="1" t="s">
        <v>1086</v>
      </c>
      <c r="F512" s="1" t="s">
        <v>70</v>
      </c>
      <c r="G512" s="1" t="s">
        <v>5496</v>
      </c>
      <c r="H512" s="1" t="s">
        <v>4643</v>
      </c>
      <c r="I512" s="1" t="s">
        <v>5497</v>
      </c>
      <c r="J512" s="1" t="s">
        <v>5498</v>
      </c>
      <c r="K512" s="1" t="s">
        <v>1772</v>
      </c>
      <c r="L512" s="9">
        <v>33138.0</v>
      </c>
      <c r="M512" s="8">
        <v>0.6444212962962963</v>
      </c>
      <c r="N512" s="6">
        <v>26.87</v>
      </c>
      <c r="O512" s="6">
        <v>81.0</v>
      </c>
      <c r="P512" s="14">
        <v>41376.0</v>
      </c>
      <c r="Q512" s="1" t="s">
        <v>75</v>
      </c>
      <c r="R512" s="1" t="s">
        <v>76</v>
      </c>
      <c r="S512" s="6">
        <v>2013.0</v>
      </c>
      <c r="T512" s="6">
        <v>4.0</v>
      </c>
      <c r="U512" s="1" t="s">
        <v>77</v>
      </c>
      <c r="V512" s="1" t="s">
        <v>78</v>
      </c>
      <c r="W512" s="6">
        <v>12.0</v>
      </c>
      <c r="X512" s="1" t="s">
        <v>263</v>
      </c>
      <c r="Y512" s="1" t="s">
        <v>264</v>
      </c>
      <c r="Z512" s="6">
        <v>4.3</v>
      </c>
      <c r="AA512" s="6">
        <v>194123.0</v>
      </c>
      <c r="AB512" s="10">
        <v>0.26</v>
      </c>
      <c r="AC512" s="1" t="s">
        <v>5499</v>
      </c>
      <c r="AD512" s="1" t="s">
        <v>5500</v>
      </c>
      <c r="AE512" s="1" t="s">
        <v>3057</v>
      </c>
      <c r="AF512" s="1" t="s">
        <v>2430</v>
      </c>
      <c r="AG512" s="1" t="s">
        <v>3057</v>
      </c>
      <c r="AH512" s="1" t="s">
        <v>1344</v>
      </c>
      <c r="AI512" s="6">
        <v>6377.0</v>
      </c>
      <c r="AJ512" s="1" t="s">
        <v>224</v>
      </c>
      <c r="AK512" s="1" t="s">
        <v>5501</v>
      </c>
      <c r="AL512" s="1" t="s">
        <v>5502</v>
      </c>
      <c r="AM512" s="11" t="str">
        <f>VLOOKUP(N512,Sheet3!$B$4:$C$10,2,1)</f>
        <v>21-30</v>
      </c>
      <c r="AN512" s="13" t="str">
        <f>VLOOKUP(Z512,Sheet3!$F$4:$G$10,2,1)</f>
        <v>&lt; 5</v>
      </c>
      <c r="AO512" s="5" t="str">
        <f>VLOOKUP(AA512,Sheet3!$I$3:$J$16,2,1)</f>
        <v>180000-200000</v>
      </c>
      <c r="AP512" s="5" t="str">
        <f>VLOOKUP(AB512,Sheet3!$L$4:$M$14,2,1)</f>
        <v>26% - 30%</v>
      </c>
    </row>
    <row r="513">
      <c r="A513" s="6">
        <v>856418.0</v>
      </c>
      <c r="B513" s="1" t="s">
        <v>109</v>
      </c>
      <c r="C513" s="1" t="s">
        <v>5503</v>
      </c>
      <c r="D513" s="1" t="s">
        <v>186</v>
      </c>
      <c r="E513" s="1" t="s">
        <v>5504</v>
      </c>
      <c r="F513" s="1" t="s">
        <v>46</v>
      </c>
      <c r="G513" s="1" t="s">
        <v>5505</v>
      </c>
      <c r="H513" s="1" t="s">
        <v>4643</v>
      </c>
      <c r="I513" s="1" t="s">
        <v>5506</v>
      </c>
      <c r="J513" s="1" t="s">
        <v>5507</v>
      </c>
      <c r="K513" s="1" t="s">
        <v>4949</v>
      </c>
      <c r="L513" s="14">
        <v>22869.0</v>
      </c>
      <c r="M513" s="8">
        <v>0.21513888888888888</v>
      </c>
      <c r="N513" s="6">
        <v>55.0</v>
      </c>
      <c r="O513" s="6">
        <v>60.0</v>
      </c>
      <c r="P513" s="9">
        <v>38472.0</v>
      </c>
      <c r="Q513" s="1" t="s">
        <v>75</v>
      </c>
      <c r="R513" s="1" t="s">
        <v>76</v>
      </c>
      <c r="S513" s="6">
        <v>2005.0</v>
      </c>
      <c r="T513" s="6">
        <v>4.0</v>
      </c>
      <c r="U513" s="1" t="s">
        <v>77</v>
      </c>
      <c r="V513" s="1" t="s">
        <v>78</v>
      </c>
      <c r="W513" s="6">
        <v>30.0</v>
      </c>
      <c r="X513" s="1" t="s">
        <v>56</v>
      </c>
      <c r="Y513" s="1" t="s">
        <v>57</v>
      </c>
      <c r="Z513" s="6">
        <v>12.25</v>
      </c>
      <c r="AA513" s="6">
        <v>70060.0</v>
      </c>
      <c r="AB513" s="10">
        <v>0.24</v>
      </c>
      <c r="AC513" s="1" t="s">
        <v>5508</v>
      </c>
      <c r="AD513" s="1" t="s">
        <v>5509</v>
      </c>
      <c r="AE513" s="1" t="s">
        <v>5510</v>
      </c>
      <c r="AF513" s="1" t="s">
        <v>5510</v>
      </c>
      <c r="AG513" s="1" t="s">
        <v>5510</v>
      </c>
      <c r="AH513" s="1" t="s">
        <v>882</v>
      </c>
      <c r="AI513" s="6">
        <v>30210.0</v>
      </c>
      <c r="AJ513" s="1" t="s">
        <v>106</v>
      </c>
      <c r="AK513" s="1" t="s">
        <v>5511</v>
      </c>
      <c r="AL513" s="1" t="s">
        <v>5512</v>
      </c>
      <c r="AM513" s="11" t="str">
        <f>VLOOKUP(N513,Sheet3!$B$4:$C$10,2,1)</f>
        <v>51-60</v>
      </c>
      <c r="AN513" s="12" t="str">
        <f>VLOOKUP(Z513,Sheet3!$F$4:$G$10,2,1)</f>
        <v>11-20</v>
      </c>
      <c r="AO513" s="5" t="str">
        <f>VLOOKUP(AA513,Sheet3!$I$3:$J$16,2,1)</f>
        <v>60000-80000</v>
      </c>
      <c r="AP513" s="5" t="str">
        <f>VLOOKUP(AB513,Sheet3!$L$4:$M$14,2,1)</f>
        <v>21% - 25%</v>
      </c>
    </row>
    <row r="514">
      <c r="A514" s="6">
        <v>415537.0</v>
      </c>
      <c r="B514" s="1" t="s">
        <v>125</v>
      </c>
      <c r="C514" s="1" t="s">
        <v>5513</v>
      </c>
      <c r="D514" s="1" t="s">
        <v>68</v>
      </c>
      <c r="E514" s="1" t="s">
        <v>205</v>
      </c>
      <c r="F514" s="1" t="s">
        <v>46</v>
      </c>
      <c r="G514" s="1" t="s">
        <v>5514</v>
      </c>
      <c r="H514" s="1" t="s">
        <v>4643</v>
      </c>
      <c r="I514" s="1" t="s">
        <v>5515</v>
      </c>
      <c r="J514" s="1" t="s">
        <v>5516</v>
      </c>
      <c r="K514" s="1" t="s">
        <v>2355</v>
      </c>
      <c r="L514" s="14">
        <v>28341.0</v>
      </c>
      <c r="M514" s="8">
        <v>0.27089120370370373</v>
      </c>
      <c r="N514" s="6">
        <v>40.01</v>
      </c>
      <c r="O514" s="6">
        <v>44.0</v>
      </c>
      <c r="P514" s="9">
        <v>40237.0</v>
      </c>
      <c r="Q514" s="1" t="s">
        <v>96</v>
      </c>
      <c r="R514" s="1" t="s">
        <v>76</v>
      </c>
      <c r="S514" s="6">
        <v>2010.0</v>
      </c>
      <c r="T514" s="6">
        <v>2.0</v>
      </c>
      <c r="U514" s="1" t="s">
        <v>117</v>
      </c>
      <c r="V514" s="1" t="s">
        <v>118</v>
      </c>
      <c r="W514" s="6">
        <v>28.0</v>
      </c>
      <c r="X514" s="1" t="s">
        <v>534</v>
      </c>
      <c r="Y514" s="1" t="s">
        <v>535</v>
      </c>
      <c r="Z514" s="6">
        <v>7.42</v>
      </c>
      <c r="AA514" s="6">
        <v>73333.0</v>
      </c>
      <c r="AB514" s="10">
        <v>0.05</v>
      </c>
      <c r="AC514" s="1" t="s">
        <v>5517</v>
      </c>
      <c r="AD514" s="1" t="s">
        <v>5518</v>
      </c>
      <c r="AE514" s="1" t="s">
        <v>5519</v>
      </c>
      <c r="AF514" s="1" t="s">
        <v>1539</v>
      </c>
      <c r="AG514" s="1" t="s">
        <v>5519</v>
      </c>
      <c r="AH514" s="1" t="s">
        <v>238</v>
      </c>
      <c r="AI514" s="6">
        <v>92842.0</v>
      </c>
      <c r="AJ514" s="1" t="s">
        <v>63</v>
      </c>
      <c r="AK514" s="1" t="s">
        <v>5520</v>
      </c>
      <c r="AL514" s="1" t="s">
        <v>5521</v>
      </c>
      <c r="AM514" s="11" t="str">
        <f>VLOOKUP(N514,Sheet3!$B$4:$C$10,2,1)</f>
        <v>31-40</v>
      </c>
      <c r="AN514" s="12" t="str">
        <f>VLOOKUP(Z514,Sheet3!$F$4:$G$10,2,1)</f>
        <v>5-10</v>
      </c>
      <c r="AO514" s="5" t="str">
        <f>VLOOKUP(AA514,Sheet3!$I$3:$J$16,2,1)</f>
        <v>60000-80000</v>
      </c>
      <c r="AP514" s="5" t="str">
        <f>VLOOKUP(AB514,Sheet3!$L$4:$M$14,2,1)</f>
        <v>5% - 10%</v>
      </c>
    </row>
    <row r="515">
      <c r="A515" s="6">
        <v>414557.0</v>
      </c>
      <c r="B515" s="1" t="s">
        <v>255</v>
      </c>
      <c r="C515" s="1" t="s">
        <v>5522</v>
      </c>
      <c r="D515" s="1" t="s">
        <v>186</v>
      </c>
      <c r="E515" s="1" t="s">
        <v>5486</v>
      </c>
      <c r="F515" s="1" t="s">
        <v>70</v>
      </c>
      <c r="G515" s="1" t="s">
        <v>5523</v>
      </c>
      <c r="H515" s="1" t="s">
        <v>4643</v>
      </c>
      <c r="I515" s="1" t="s">
        <v>5524</v>
      </c>
      <c r="J515" s="1" t="s">
        <v>5525</v>
      </c>
      <c r="K515" s="1" t="s">
        <v>727</v>
      </c>
      <c r="L515" s="9">
        <v>26137.0</v>
      </c>
      <c r="M515" s="8">
        <v>0.9333449074074074</v>
      </c>
      <c r="N515" s="6">
        <v>46.05</v>
      </c>
      <c r="O515" s="6">
        <v>81.0</v>
      </c>
      <c r="P515" s="9">
        <v>37757.0</v>
      </c>
      <c r="Q515" s="1" t="s">
        <v>75</v>
      </c>
      <c r="R515" s="1" t="s">
        <v>76</v>
      </c>
      <c r="S515" s="6">
        <v>2003.0</v>
      </c>
      <c r="T515" s="6">
        <v>5.0</v>
      </c>
      <c r="U515" s="1" t="s">
        <v>294</v>
      </c>
      <c r="V515" s="1" t="s">
        <v>294</v>
      </c>
      <c r="W515" s="6">
        <v>16.0</v>
      </c>
      <c r="X515" s="1" t="s">
        <v>263</v>
      </c>
      <c r="Y515" s="1" t="s">
        <v>264</v>
      </c>
      <c r="Z515" s="6">
        <v>14.21</v>
      </c>
      <c r="AA515" s="6">
        <v>40261.0</v>
      </c>
      <c r="AB515" s="10">
        <v>0.08</v>
      </c>
      <c r="AC515" s="1" t="s">
        <v>5526</v>
      </c>
      <c r="AD515" s="1" t="s">
        <v>5527</v>
      </c>
      <c r="AE515" s="1" t="s">
        <v>5528</v>
      </c>
      <c r="AF515" s="1" t="s">
        <v>799</v>
      </c>
      <c r="AG515" s="1" t="s">
        <v>5528</v>
      </c>
      <c r="AH515" s="1" t="s">
        <v>356</v>
      </c>
      <c r="AI515" s="6">
        <v>13218.0</v>
      </c>
      <c r="AJ515" s="1" t="s">
        <v>224</v>
      </c>
      <c r="AK515" s="1" t="s">
        <v>5529</v>
      </c>
      <c r="AL515" s="1" t="s">
        <v>5530</v>
      </c>
      <c r="AM515" s="11" t="str">
        <f>VLOOKUP(N515,Sheet3!$B$4:$C$10,2,1)</f>
        <v>41-50</v>
      </c>
      <c r="AN515" s="12" t="str">
        <f>VLOOKUP(Z515,Sheet3!$F$4:$G$10,2,1)</f>
        <v>11-20</v>
      </c>
      <c r="AO515" s="5" t="str">
        <f>VLOOKUP(AA515,Sheet3!$I$3:$J$16,2,1)</f>
        <v>40000-60000</v>
      </c>
      <c r="AP515" s="5" t="str">
        <f>VLOOKUP(AB515,Sheet3!$L$4:$M$14,2,1)</f>
        <v>5% - 10%</v>
      </c>
    </row>
    <row r="516">
      <c r="A516" s="6">
        <v>999475.0</v>
      </c>
      <c r="B516" s="1" t="s">
        <v>42</v>
      </c>
      <c r="C516" s="1" t="s">
        <v>5531</v>
      </c>
      <c r="D516" s="1" t="s">
        <v>861</v>
      </c>
      <c r="E516" s="1" t="s">
        <v>323</v>
      </c>
      <c r="F516" s="1" t="s">
        <v>46</v>
      </c>
      <c r="G516" s="1" t="s">
        <v>5532</v>
      </c>
      <c r="H516" s="1" t="s">
        <v>4643</v>
      </c>
      <c r="I516" s="1" t="s">
        <v>5533</v>
      </c>
      <c r="J516" s="1" t="s">
        <v>5534</v>
      </c>
      <c r="K516" s="1" t="s">
        <v>5535</v>
      </c>
      <c r="L516" s="14">
        <v>34405.0</v>
      </c>
      <c r="M516" s="8">
        <v>0.07090277777777777</v>
      </c>
      <c r="N516" s="6">
        <v>23.39</v>
      </c>
      <c r="O516" s="6">
        <v>40.0</v>
      </c>
      <c r="P516" s="9">
        <v>42216.0</v>
      </c>
      <c r="Q516" s="1" t="s">
        <v>308</v>
      </c>
      <c r="R516" s="1" t="s">
        <v>53</v>
      </c>
      <c r="S516" s="6">
        <v>2015.0</v>
      </c>
      <c r="T516" s="6">
        <v>7.0</v>
      </c>
      <c r="U516" s="1" t="s">
        <v>366</v>
      </c>
      <c r="V516" s="1" t="s">
        <v>367</v>
      </c>
      <c r="W516" s="6">
        <v>31.0</v>
      </c>
      <c r="X516" s="1" t="s">
        <v>263</v>
      </c>
      <c r="Y516" s="1" t="s">
        <v>264</v>
      </c>
      <c r="Z516" s="6">
        <v>1.99</v>
      </c>
      <c r="AA516" s="6">
        <v>79233.0</v>
      </c>
      <c r="AB516" s="10">
        <v>0.16</v>
      </c>
      <c r="AC516" s="1" t="s">
        <v>5536</v>
      </c>
      <c r="AD516" s="1" t="s">
        <v>5537</v>
      </c>
      <c r="AE516" s="1" t="s">
        <v>5538</v>
      </c>
      <c r="AF516" s="1" t="s">
        <v>5539</v>
      </c>
      <c r="AG516" s="1" t="s">
        <v>5538</v>
      </c>
      <c r="AH516" s="1" t="s">
        <v>525</v>
      </c>
      <c r="AI516" s="6">
        <v>71834.0</v>
      </c>
      <c r="AJ516" s="1" t="s">
        <v>106</v>
      </c>
      <c r="AK516" s="1" t="s">
        <v>5540</v>
      </c>
      <c r="AL516" s="1" t="s">
        <v>5541</v>
      </c>
      <c r="AM516" s="11" t="str">
        <f>VLOOKUP(N516,Sheet3!$B$4:$C$10,2,1)</f>
        <v>21-30</v>
      </c>
      <c r="AN516" s="13" t="str">
        <f>VLOOKUP(Z516,Sheet3!$F$4:$G$10,2,1)</f>
        <v>&lt; 5</v>
      </c>
      <c r="AO516" s="5" t="str">
        <f>VLOOKUP(AA516,Sheet3!$I$3:$J$16,2,1)</f>
        <v>60000-80000</v>
      </c>
      <c r="AP516" s="5" t="str">
        <f>VLOOKUP(AB516,Sheet3!$L$4:$M$14,2,1)</f>
        <v>16% - 20%</v>
      </c>
    </row>
    <row r="517">
      <c r="A517" s="6">
        <v>554345.0</v>
      </c>
      <c r="B517" s="1" t="s">
        <v>42</v>
      </c>
      <c r="C517" s="1" t="s">
        <v>5542</v>
      </c>
      <c r="D517" s="1" t="s">
        <v>186</v>
      </c>
      <c r="E517" s="1" t="s">
        <v>1270</v>
      </c>
      <c r="F517" s="1" t="s">
        <v>46</v>
      </c>
      <c r="G517" s="1" t="s">
        <v>5543</v>
      </c>
      <c r="H517" s="1" t="s">
        <v>4643</v>
      </c>
      <c r="I517" s="1" t="s">
        <v>5544</v>
      </c>
      <c r="J517" s="1" t="s">
        <v>5545</v>
      </c>
      <c r="K517" s="1" t="s">
        <v>4191</v>
      </c>
      <c r="L517" s="9">
        <v>27163.0</v>
      </c>
      <c r="M517" s="8">
        <v>0.9452314814814815</v>
      </c>
      <c r="N517" s="6">
        <v>43.24</v>
      </c>
      <c r="O517" s="6">
        <v>46.0</v>
      </c>
      <c r="P517" s="9">
        <v>36721.0</v>
      </c>
      <c r="Q517" s="1" t="s">
        <v>308</v>
      </c>
      <c r="R517" s="1" t="s">
        <v>53</v>
      </c>
      <c r="S517" s="6">
        <v>2000.0</v>
      </c>
      <c r="T517" s="6">
        <v>7.0</v>
      </c>
      <c r="U517" s="1" t="s">
        <v>366</v>
      </c>
      <c r="V517" s="1" t="s">
        <v>367</v>
      </c>
      <c r="W517" s="6">
        <v>14.0</v>
      </c>
      <c r="X517" s="1" t="s">
        <v>263</v>
      </c>
      <c r="Y517" s="1" t="s">
        <v>264</v>
      </c>
      <c r="Z517" s="6">
        <v>17.05</v>
      </c>
      <c r="AA517" s="6">
        <v>53050.0</v>
      </c>
      <c r="AB517" s="10">
        <v>0.18</v>
      </c>
      <c r="AC517" s="1" t="s">
        <v>5546</v>
      </c>
      <c r="AD517" s="1" t="s">
        <v>5547</v>
      </c>
      <c r="AE517" s="1" t="s">
        <v>5548</v>
      </c>
      <c r="AF517" s="1" t="s">
        <v>5549</v>
      </c>
      <c r="AG517" s="1" t="s">
        <v>5548</v>
      </c>
      <c r="AH517" s="1" t="s">
        <v>1344</v>
      </c>
      <c r="AI517" s="6">
        <v>6380.0</v>
      </c>
      <c r="AJ517" s="1" t="s">
        <v>224</v>
      </c>
      <c r="AK517" s="1" t="s">
        <v>5550</v>
      </c>
      <c r="AL517" s="1" t="s">
        <v>5551</v>
      </c>
      <c r="AM517" s="11" t="str">
        <f>VLOOKUP(N517,Sheet3!$B$4:$C$10,2,1)</f>
        <v>41-50</v>
      </c>
      <c r="AN517" s="12" t="str">
        <f>VLOOKUP(Z517,Sheet3!$F$4:$G$10,2,1)</f>
        <v>11-20</v>
      </c>
      <c r="AO517" s="5" t="str">
        <f>VLOOKUP(AA517,Sheet3!$I$3:$J$16,2,1)</f>
        <v>40000-60000</v>
      </c>
      <c r="AP517" s="5" t="str">
        <f>VLOOKUP(AB517,Sheet3!$L$4:$M$14,2,1)</f>
        <v>16% - 20%</v>
      </c>
    </row>
    <row r="518">
      <c r="A518" s="6">
        <v>349751.0</v>
      </c>
      <c r="B518" s="1" t="s">
        <v>66</v>
      </c>
      <c r="C518" s="1" t="s">
        <v>5552</v>
      </c>
      <c r="D518" s="1" t="s">
        <v>200</v>
      </c>
      <c r="E518" s="1" t="s">
        <v>562</v>
      </c>
      <c r="F518" s="1" t="s">
        <v>70</v>
      </c>
      <c r="G518" s="1" t="s">
        <v>5553</v>
      </c>
      <c r="H518" s="1" t="s">
        <v>4643</v>
      </c>
      <c r="I518" s="1" t="s">
        <v>5554</v>
      </c>
      <c r="J518" s="1" t="s">
        <v>5555</v>
      </c>
      <c r="K518" s="1" t="s">
        <v>4263</v>
      </c>
      <c r="L518" s="9">
        <v>31522.0</v>
      </c>
      <c r="M518" s="8">
        <v>0.0962962962962963</v>
      </c>
      <c r="N518" s="6">
        <v>31.29</v>
      </c>
      <c r="O518" s="6">
        <v>84.0</v>
      </c>
      <c r="P518" s="14">
        <v>40789.0</v>
      </c>
      <c r="Q518" s="1" t="s">
        <v>308</v>
      </c>
      <c r="R518" s="1" t="s">
        <v>53</v>
      </c>
      <c r="S518" s="6">
        <v>2011.0</v>
      </c>
      <c r="T518" s="6">
        <v>9.0</v>
      </c>
      <c r="U518" s="1" t="s">
        <v>309</v>
      </c>
      <c r="V518" s="1" t="s">
        <v>310</v>
      </c>
      <c r="W518" s="6">
        <v>3.0</v>
      </c>
      <c r="X518" s="1" t="s">
        <v>56</v>
      </c>
      <c r="Y518" s="1" t="s">
        <v>57</v>
      </c>
      <c r="Z518" s="6">
        <v>5.9</v>
      </c>
      <c r="AA518" s="6">
        <v>129402.0</v>
      </c>
      <c r="AB518" s="10">
        <v>0.15</v>
      </c>
      <c r="AC518" s="1" t="s">
        <v>5556</v>
      </c>
      <c r="AD518" s="1" t="s">
        <v>5557</v>
      </c>
      <c r="AE518" s="1" t="s">
        <v>5558</v>
      </c>
      <c r="AF518" s="1" t="s">
        <v>3303</v>
      </c>
      <c r="AG518" s="1" t="s">
        <v>5558</v>
      </c>
      <c r="AH518" s="1" t="s">
        <v>284</v>
      </c>
      <c r="AI518" s="6">
        <v>50449.0</v>
      </c>
      <c r="AJ518" s="1" t="s">
        <v>86</v>
      </c>
      <c r="AK518" s="1" t="s">
        <v>5559</v>
      </c>
      <c r="AL518" s="1" t="s">
        <v>5560</v>
      </c>
      <c r="AM518" s="11" t="str">
        <f>VLOOKUP(N518,Sheet3!$B$4:$C$10,2,1)</f>
        <v>31-40</v>
      </c>
      <c r="AN518" s="12" t="str">
        <f>VLOOKUP(Z518,Sheet3!$F$4:$G$10,2,1)</f>
        <v>5-10</v>
      </c>
      <c r="AO518" s="5" t="str">
        <f>VLOOKUP(AA518,Sheet3!$I$3:$J$16,2,1)</f>
        <v>120000-140000</v>
      </c>
      <c r="AP518" s="5" t="str">
        <f>VLOOKUP(AB518,Sheet3!$L$4:$M$14,2,1)</f>
        <v>11% - 15%</v>
      </c>
    </row>
    <row r="519">
      <c r="A519" s="6">
        <v>194598.0</v>
      </c>
      <c r="B519" s="1" t="s">
        <v>42</v>
      </c>
      <c r="C519" s="1" t="s">
        <v>1141</v>
      </c>
      <c r="D519" s="1" t="s">
        <v>466</v>
      </c>
      <c r="E519" s="1" t="s">
        <v>5132</v>
      </c>
      <c r="F519" s="1" t="s">
        <v>46</v>
      </c>
      <c r="G519" s="1" t="s">
        <v>5561</v>
      </c>
      <c r="H519" s="1" t="s">
        <v>4643</v>
      </c>
      <c r="I519" s="1" t="s">
        <v>5562</v>
      </c>
      <c r="J519" s="1" t="s">
        <v>5563</v>
      </c>
      <c r="K519" s="1" t="s">
        <v>727</v>
      </c>
      <c r="L519" s="9">
        <v>34536.0</v>
      </c>
      <c r="M519" s="8">
        <v>0.9917939814814815</v>
      </c>
      <c r="N519" s="6">
        <v>23.04</v>
      </c>
      <c r="O519" s="6">
        <v>60.0</v>
      </c>
      <c r="P519" s="9">
        <v>42233.0</v>
      </c>
      <c r="Q519" s="1" t="s">
        <v>308</v>
      </c>
      <c r="R519" s="1" t="s">
        <v>53</v>
      </c>
      <c r="S519" s="6">
        <v>2015.0</v>
      </c>
      <c r="T519" s="6">
        <v>8.0</v>
      </c>
      <c r="U519" s="1" t="s">
        <v>433</v>
      </c>
      <c r="V519" s="1" t="s">
        <v>434</v>
      </c>
      <c r="W519" s="6">
        <v>17.0</v>
      </c>
      <c r="X519" s="1" t="s">
        <v>99</v>
      </c>
      <c r="Y519" s="1" t="s">
        <v>100</v>
      </c>
      <c r="Z519" s="6">
        <v>1.95</v>
      </c>
      <c r="AA519" s="6">
        <v>56938.0</v>
      </c>
      <c r="AB519" s="10">
        <v>0.1</v>
      </c>
      <c r="AC519" s="1" t="s">
        <v>5564</v>
      </c>
      <c r="AD519" s="1" t="s">
        <v>5565</v>
      </c>
      <c r="AE519" s="1" t="s">
        <v>5566</v>
      </c>
      <c r="AF519" s="1" t="s">
        <v>5567</v>
      </c>
      <c r="AG519" s="1" t="s">
        <v>5566</v>
      </c>
      <c r="AH519" s="1" t="s">
        <v>740</v>
      </c>
      <c r="AI519" s="6">
        <v>2564.0</v>
      </c>
      <c r="AJ519" s="1" t="s">
        <v>224</v>
      </c>
      <c r="AK519" s="1" t="s">
        <v>5568</v>
      </c>
      <c r="AL519" s="1" t="s">
        <v>5569</v>
      </c>
      <c r="AM519" s="11" t="str">
        <f>VLOOKUP(N519,Sheet3!$B$4:$C$10,2,1)</f>
        <v>21-30</v>
      </c>
      <c r="AN519" s="13" t="str">
        <f>VLOOKUP(Z519,Sheet3!$F$4:$G$10,2,1)</f>
        <v>&lt; 5</v>
      </c>
      <c r="AO519" s="5" t="str">
        <f>VLOOKUP(AA519,Sheet3!$I$3:$J$16,2,1)</f>
        <v>40000-60000</v>
      </c>
      <c r="AP519" s="5" t="str">
        <f>VLOOKUP(AB519,Sheet3!$L$4:$M$14,2,1)</f>
        <v>5% - 10%</v>
      </c>
    </row>
    <row r="520">
      <c r="A520" s="6">
        <v>466860.0</v>
      </c>
      <c r="B520" s="1" t="s">
        <v>42</v>
      </c>
      <c r="C520" s="1" t="s">
        <v>5570</v>
      </c>
      <c r="D520" s="1" t="s">
        <v>1300</v>
      </c>
      <c r="E520" s="1" t="s">
        <v>2617</v>
      </c>
      <c r="F520" s="1" t="s">
        <v>46</v>
      </c>
      <c r="G520" s="1" t="s">
        <v>5571</v>
      </c>
      <c r="H520" s="1" t="s">
        <v>4643</v>
      </c>
      <c r="I520" s="1" t="s">
        <v>5572</v>
      </c>
      <c r="J520" s="1" t="s">
        <v>5573</v>
      </c>
      <c r="K520" s="1" t="s">
        <v>1348</v>
      </c>
      <c r="L520" s="9">
        <v>27594.0</v>
      </c>
      <c r="M520" s="8">
        <v>0.14747685185185186</v>
      </c>
      <c r="N520" s="6">
        <v>42.05</v>
      </c>
      <c r="O520" s="6">
        <v>56.0</v>
      </c>
      <c r="P520" s="14">
        <v>35524.0</v>
      </c>
      <c r="Q520" s="1" t="s">
        <v>75</v>
      </c>
      <c r="R520" s="1" t="s">
        <v>76</v>
      </c>
      <c r="S520" s="6">
        <v>1997.0</v>
      </c>
      <c r="T520" s="6">
        <v>4.0</v>
      </c>
      <c r="U520" s="1" t="s">
        <v>77</v>
      </c>
      <c r="V520" s="1" t="s">
        <v>78</v>
      </c>
      <c r="W520" s="6">
        <v>4.0</v>
      </c>
      <c r="X520" s="1" t="s">
        <v>263</v>
      </c>
      <c r="Y520" s="1" t="s">
        <v>264</v>
      </c>
      <c r="Z520" s="6">
        <v>20.33</v>
      </c>
      <c r="AA520" s="6">
        <v>154554.0</v>
      </c>
      <c r="AB520" s="10">
        <v>0.11</v>
      </c>
      <c r="AC520" s="1" t="s">
        <v>5574</v>
      </c>
      <c r="AD520" s="1" t="s">
        <v>5575</v>
      </c>
      <c r="AE520" s="1" t="s">
        <v>5576</v>
      </c>
      <c r="AF520" s="1" t="s">
        <v>5577</v>
      </c>
      <c r="AG520" s="1" t="s">
        <v>5576</v>
      </c>
      <c r="AH520" s="1" t="s">
        <v>223</v>
      </c>
      <c r="AI520" s="6">
        <v>17048.0</v>
      </c>
      <c r="AJ520" s="1" t="s">
        <v>224</v>
      </c>
      <c r="AK520" s="1" t="s">
        <v>5578</v>
      </c>
      <c r="AL520" s="1" t="s">
        <v>5579</v>
      </c>
      <c r="AM520" s="11" t="str">
        <f>VLOOKUP(N520,Sheet3!$B$4:$C$10,2,1)</f>
        <v>41-50</v>
      </c>
      <c r="AN520" s="12" t="str">
        <f>VLOOKUP(Z520,Sheet3!$F$4:$G$10,2,1)</f>
        <v>11-20</v>
      </c>
      <c r="AO520" s="5" t="str">
        <f>VLOOKUP(AA520,Sheet3!$I$3:$J$16,2,1)</f>
        <v>140000-160000</v>
      </c>
      <c r="AP520" s="5" t="str">
        <f>VLOOKUP(AB520,Sheet3!$L$4:$M$14,2,1)</f>
        <v>11% - 15%</v>
      </c>
    </row>
    <row r="521">
      <c r="A521" s="6">
        <v>618554.0</v>
      </c>
      <c r="B521" s="1" t="s">
        <v>109</v>
      </c>
      <c r="C521" s="1" t="s">
        <v>5580</v>
      </c>
      <c r="D521" s="1" t="s">
        <v>173</v>
      </c>
      <c r="E521" s="1" t="s">
        <v>665</v>
      </c>
      <c r="F521" s="1" t="s">
        <v>46</v>
      </c>
      <c r="G521" s="1" t="s">
        <v>5581</v>
      </c>
      <c r="H521" s="1" t="s">
        <v>4643</v>
      </c>
      <c r="I521" s="1" t="s">
        <v>5582</v>
      </c>
      <c r="J521" s="1" t="s">
        <v>5583</v>
      </c>
      <c r="K521" s="1" t="s">
        <v>4809</v>
      </c>
      <c r="L521" s="14">
        <v>21491.0</v>
      </c>
      <c r="M521" s="8">
        <v>0.546875</v>
      </c>
      <c r="N521" s="6">
        <v>58.78</v>
      </c>
      <c r="O521" s="6">
        <v>57.0</v>
      </c>
      <c r="P521" s="9">
        <v>33537.0</v>
      </c>
      <c r="Q521" s="1" t="s">
        <v>52</v>
      </c>
      <c r="R521" s="1" t="s">
        <v>53</v>
      </c>
      <c r="S521" s="6">
        <v>1991.0</v>
      </c>
      <c r="T521" s="6">
        <v>10.0</v>
      </c>
      <c r="U521" s="1" t="s">
        <v>133</v>
      </c>
      <c r="V521" s="1" t="s">
        <v>134</v>
      </c>
      <c r="W521" s="6">
        <v>26.0</v>
      </c>
      <c r="X521" s="1" t="s">
        <v>56</v>
      </c>
      <c r="Y521" s="1" t="s">
        <v>57</v>
      </c>
      <c r="Z521" s="6">
        <v>25.77</v>
      </c>
      <c r="AA521" s="6">
        <v>131033.0</v>
      </c>
      <c r="AB521" s="10">
        <v>0.04</v>
      </c>
      <c r="AC521" s="1" t="s">
        <v>5584</v>
      </c>
      <c r="AD521" s="1" t="s">
        <v>5585</v>
      </c>
      <c r="AE521" s="1" t="s">
        <v>1447</v>
      </c>
      <c r="AF521" s="1" t="s">
        <v>1448</v>
      </c>
      <c r="AG521" s="1" t="s">
        <v>1447</v>
      </c>
      <c r="AH521" s="1" t="s">
        <v>252</v>
      </c>
      <c r="AI521" s="6">
        <v>97207.0</v>
      </c>
      <c r="AJ521" s="1" t="s">
        <v>63</v>
      </c>
      <c r="AK521" s="1" t="s">
        <v>5586</v>
      </c>
      <c r="AL521" s="1" t="s">
        <v>5587</v>
      </c>
      <c r="AM521" s="11" t="str">
        <f>VLOOKUP(N521,Sheet3!$B$4:$C$10,2,1)</f>
        <v>51-60</v>
      </c>
      <c r="AN521" s="13" t="str">
        <f>VLOOKUP(Z521,Sheet3!$F$4:$G$10,2,1)</f>
        <v>21-30</v>
      </c>
      <c r="AO521" s="5" t="str">
        <f>VLOOKUP(AA521,Sheet3!$I$3:$J$16,2,1)</f>
        <v>120000-140000</v>
      </c>
      <c r="AP521" s="5" t="str">
        <f>VLOOKUP(AB521,Sheet3!$L$4:$M$14,2,1)</f>
        <v>&lt; 5%</v>
      </c>
    </row>
    <row r="522">
      <c r="A522" s="6">
        <v>535812.0</v>
      </c>
      <c r="B522" s="1" t="s">
        <v>109</v>
      </c>
      <c r="C522" s="1" t="s">
        <v>5588</v>
      </c>
      <c r="D522" s="1" t="s">
        <v>334</v>
      </c>
      <c r="E522" s="1" t="s">
        <v>768</v>
      </c>
      <c r="F522" s="1" t="s">
        <v>46</v>
      </c>
      <c r="G522" s="1" t="s">
        <v>5589</v>
      </c>
      <c r="H522" s="1" t="s">
        <v>4643</v>
      </c>
      <c r="I522" s="1" t="s">
        <v>5590</v>
      </c>
      <c r="J522" s="1" t="s">
        <v>5591</v>
      </c>
      <c r="K522" s="1" t="s">
        <v>5592</v>
      </c>
      <c r="L522" s="9">
        <v>25531.0</v>
      </c>
      <c r="M522" s="8">
        <v>0.8240277777777778</v>
      </c>
      <c r="N522" s="6">
        <v>47.71</v>
      </c>
      <c r="O522" s="6">
        <v>41.0</v>
      </c>
      <c r="P522" s="14">
        <v>39935.0</v>
      </c>
      <c r="Q522" s="1" t="s">
        <v>75</v>
      </c>
      <c r="R522" s="1" t="s">
        <v>76</v>
      </c>
      <c r="S522" s="6">
        <v>2009.0</v>
      </c>
      <c r="T522" s="6">
        <v>5.0</v>
      </c>
      <c r="U522" s="1" t="s">
        <v>294</v>
      </c>
      <c r="V522" s="1" t="s">
        <v>294</v>
      </c>
      <c r="W522" s="6">
        <v>2.0</v>
      </c>
      <c r="X522" s="1" t="s">
        <v>56</v>
      </c>
      <c r="Y522" s="1" t="s">
        <v>57</v>
      </c>
      <c r="Z522" s="6">
        <v>8.24</v>
      </c>
      <c r="AA522" s="6">
        <v>143616.0</v>
      </c>
      <c r="AB522" s="10">
        <v>0.2</v>
      </c>
      <c r="AC522" s="1" t="s">
        <v>5593</v>
      </c>
      <c r="AD522" s="1" t="s">
        <v>5594</v>
      </c>
      <c r="AE522" s="1" t="s">
        <v>5595</v>
      </c>
      <c r="AF522" s="1" t="s">
        <v>5596</v>
      </c>
      <c r="AG522" s="1" t="s">
        <v>5595</v>
      </c>
      <c r="AH522" s="1" t="s">
        <v>169</v>
      </c>
      <c r="AI522" s="6">
        <v>77994.0</v>
      </c>
      <c r="AJ522" s="1" t="s">
        <v>106</v>
      </c>
      <c r="AK522" s="1" t="s">
        <v>5597</v>
      </c>
      <c r="AL522" s="1" t="s">
        <v>5598</v>
      </c>
      <c r="AM522" s="11" t="str">
        <f>VLOOKUP(N522,Sheet3!$B$4:$C$10,2,1)</f>
        <v>41-50</v>
      </c>
      <c r="AN522" s="12" t="str">
        <f>VLOOKUP(Z522,Sheet3!$F$4:$G$10,2,1)</f>
        <v>5-10</v>
      </c>
      <c r="AO522" s="5" t="str">
        <f>VLOOKUP(AA522,Sheet3!$I$3:$J$16,2,1)</f>
        <v>140000-160000</v>
      </c>
      <c r="AP522" s="5" t="str">
        <f>VLOOKUP(AB522,Sheet3!$L$4:$M$14,2,1)</f>
        <v>16% - 20%</v>
      </c>
    </row>
    <row r="523">
      <c r="A523" s="6">
        <v>500345.0</v>
      </c>
      <c r="B523" s="1" t="s">
        <v>109</v>
      </c>
      <c r="C523" s="1" t="s">
        <v>5599</v>
      </c>
      <c r="D523" s="1" t="s">
        <v>186</v>
      </c>
      <c r="E523" s="1" t="s">
        <v>5600</v>
      </c>
      <c r="F523" s="1" t="s">
        <v>46</v>
      </c>
      <c r="G523" s="1" t="s">
        <v>5601</v>
      </c>
      <c r="H523" s="1" t="s">
        <v>4643</v>
      </c>
      <c r="I523" s="1" t="s">
        <v>5602</v>
      </c>
      <c r="J523" s="1" t="s">
        <v>5603</v>
      </c>
      <c r="K523" s="1" t="s">
        <v>3571</v>
      </c>
      <c r="L523" s="7">
        <v>30234.0</v>
      </c>
      <c r="M523" s="8">
        <v>0.9689467592592592</v>
      </c>
      <c r="N523" s="6">
        <v>34.82</v>
      </c>
      <c r="O523" s="6">
        <v>43.0</v>
      </c>
      <c r="P523" s="9">
        <v>42807.0</v>
      </c>
      <c r="Q523" s="1" t="s">
        <v>96</v>
      </c>
      <c r="R523" s="1" t="s">
        <v>76</v>
      </c>
      <c r="S523" s="6">
        <v>2017.0</v>
      </c>
      <c r="T523" s="6">
        <v>3.0</v>
      </c>
      <c r="U523" s="1" t="s">
        <v>97</v>
      </c>
      <c r="V523" s="1" t="s">
        <v>98</v>
      </c>
      <c r="W523" s="6">
        <v>13.0</v>
      </c>
      <c r="X523" s="1" t="s">
        <v>99</v>
      </c>
      <c r="Y523" s="1" t="s">
        <v>100</v>
      </c>
      <c r="Z523" s="6">
        <v>0.38</v>
      </c>
      <c r="AA523" s="6">
        <v>109805.0</v>
      </c>
      <c r="AB523" s="10">
        <v>0.14</v>
      </c>
      <c r="AC523" s="1" t="s">
        <v>5604</v>
      </c>
      <c r="AD523" s="1" t="s">
        <v>5605</v>
      </c>
      <c r="AE523" s="1" t="s">
        <v>5606</v>
      </c>
      <c r="AF523" s="1" t="s">
        <v>611</v>
      </c>
      <c r="AG523" s="1" t="s">
        <v>5606</v>
      </c>
      <c r="AH523" s="1" t="s">
        <v>974</v>
      </c>
      <c r="AI523" s="6">
        <v>44601.0</v>
      </c>
      <c r="AJ523" s="1" t="s">
        <v>86</v>
      </c>
      <c r="AK523" s="1" t="s">
        <v>5607</v>
      </c>
      <c r="AL523" s="1" t="s">
        <v>5608</v>
      </c>
      <c r="AM523" s="11" t="str">
        <f>VLOOKUP(N523,Sheet3!$B$4:$C$10,2,1)</f>
        <v>31-40</v>
      </c>
      <c r="AN523" s="13" t="str">
        <f>VLOOKUP(Z523,Sheet3!$F$4:$G$10,2,1)</f>
        <v>&lt; 5</v>
      </c>
      <c r="AO523" s="5" t="str">
        <f>VLOOKUP(AA523,Sheet3!$I$3:$J$16,2,1)</f>
        <v>100000-120000</v>
      </c>
      <c r="AP523" s="5" t="str">
        <f>VLOOKUP(AB523,Sheet3!$L$4:$M$14,2,1)</f>
        <v>11% - 15%</v>
      </c>
    </row>
    <row r="524">
      <c r="A524" s="6">
        <v>735598.0</v>
      </c>
      <c r="B524" s="1" t="s">
        <v>125</v>
      </c>
      <c r="C524" s="1" t="s">
        <v>2487</v>
      </c>
      <c r="D524" s="1" t="s">
        <v>70</v>
      </c>
      <c r="E524" s="1" t="s">
        <v>1259</v>
      </c>
      <c r="F524" s="1" t="s">
        <v>70</v>
      </c>
      <c r="G524" s="1" t="s">
        <v>5609</v>
      </c>
      <c r="H524" s="1" t="s">
        <v>4643</v>
      </c>
      <c r="I524" s="1" t="s">
        <v>5610</v>
      </c>
      <c r="J524" s="1" t="s">
        <v>5611</v>
      </c>
      <c r="K524" s="1" t="s">
        <v>1722</v>
      </c>
      <c r="L524" s="9">
        <v>22584.0</v>
      </c>
      <c r="M524" s="8">
        <v>0.3417939814814815</v>
      </c>
      <c r="N524" s="6">
        <v>55.78</v>
      </c>
      <c r="O524" s="6">
        <v>55.0</v>
      </c>
      <c r="P524" s="9">
        <v>33906.0</v>
      </c>
      <c r="Q524" s="1" t="s">
        <v>52</v>
      </c>
      <c r="R524" s="1" t="s">
        <v>53</v>
      </c>
      <c r="S524" s="6">
        <v>1992.0</v>
      </c>
      <c r="T524" s="6">
        <v>10.0</v>
      </c>
      <c r="U524" s="1" t="s">
        <v>133</v>
      </c>
      <c r="V524" s="1" t="s">
        <v>134</v>
      </c>
      <c r="W524" s="6">
        <v>29.0</v>
      </c>
      <c r="X524" s="1" t="s">
        <v>150</v>
      </c>
      <c r="Y524" s="1" t="s">
        <v>151</v>
      </c>
      <c r="Z524" s="6">
        <v>24.76</v>
      </c>
      <c r="AA524" s="6">
        <v>69430.0</v>
      </c>
      <c r="AB524" s="10">
        <v>0.09</v>
      </c>
      <c r="AC524" s="1" t="s">
        <v>5612</v>
      </c>
      <c r="AD524" s="1" t="s">
        <v>5613</v>
      </c>
      <c r="AE524" s="1" t="s">
        <v>5614</v>
      </c>
      <c r="AF524" s="1" t="s">
        <v>2071</v>
      </c>
      <c r="AG524" s="1" t="s">
        <v>5614</v>
      </c>
      <c r="AH524" s="1" t="s">
        <v>85</v>
      </c>
      <c r="AI524" s="6">
        <v>49780.0</v>
      </c>
      <c r="AJ524" s="1" t="s">
        <v>86</v>
      </c>
      <c r="AK524" s="1" t="s">
        <v>5615</v>
      </c>
      <c r="AL524" s="1" t="s">
        <v>5616</v>
      </c>
      <c r="AM524" s="11" t="str">
        <f>VLOOKUP(N524,Sheet3!$B$4:$C$10,2,1)</f>
        <v>51-60</v>
      </c>
      <c r="AN524" s="13" t="str">
        <f>VLOOKUP(Z524,Sheet3!$F$4:$G$10,2,1)</f>
        <v>21-30</v>
      </c>
      <c r="AO524" s="5" t="str">
        <f>VLOOKUP(AA524,Sheet3!$I$3:$J$16,2,1)</f>
        <v>60000-80000</v>
      </c>
      <c r="AP524" s="5" t="str">
        <f>VLOOKUP(AB524,Sheet3!$L$4:$M$14,2,1)</f>
        <v>5% - 10%</v>
      </c>
    </row>
    <row r="525">
      <c r="A525" s="6">
        <v>921061.0</v>
      </c>
      <c r="B525" s="1" t="s">
        <v>66</v>
      </c>
      <c r="C525" s="1" t="s">
        <v>5617</v>
      </c>
      <c r="D525" s="1" t="s">
        <v>554</v>
      </c>
      <c r="E525" s="1" t="s">
        <v>3797</v>
      </c>
      <c r="F525" s="1" t="s">
        <v>70</v>
      </c>
      <c r="G525" s="1" t="s">
        <v>5618</v>
      </c>
      <c r="H525" s="1" t="s">
        <v>4643</v>
      </c>
      <c r="I525" s="1" t="s">
        <v>5619</v>
      </c>
      <c r="J525" s="1" t="s">
        <v>5620</v>
      </c>
      <c r="K525" s="1" t="s">
        <v>5621</v>
      </c>
      <c r="L525" s="9">
        <v>23572.0</v>
      </c>
      <c r="M525" s="8">
        <v>0.4313078703703704</v>
      </c>
      <c r="N525" s="6">
        <v>53.07</v>
      </c>
      <c r="O525" s="6">
        <v>87.0</v>
      </c>
      <c r="P525" s="9">
        <v>38954.0</v>
      </c>
      <c r="Q525" s="1" t="s">
        <v>308</v>
      </c>
      <c r="R525" s="1" t="s">
        <v>53</v>
      </c>
      <c r="S525" s="6">
        <v>2006.0</v>
      </c>
      <c r="T525" s="6">
        <v>8.0</v>
      </c>
      <c r="U525" s="1" t="s">
        <v>433</v>
      </c>
      <c r="V525" s="1" t="s">
        <v>434</v>
      </c>
      <c r="W525" s="6">
        <v>25.0</v>
      </c>
      <c r="X525" s="1" t="s">
        <v>263</v>
      </c>
      <c r="Y525" s="1" t="s">
        <v>264</v>
      </c>
      <c r="Z525" s="6">
        <v>10.93</v>
      </c>
      <c r="AA525" s="6">
        <v>45973.0</v>
      </c>
      <c r="AB525" s="10">
        <v>0.17</v>
      </c>
      <c r="AC525" s="1" t="s">
        <v>5622</v>
      </c>
      <c r="AD525" s="1" t="s">
        <v>5623</v>
      </c>
      <c r="AE525" s="1" t="s">
        <v>5624</v>
      </c>
      <c r="AF525" s="1" t="s">
        <v>5625</v>
      </c>
      <c r="AG525" s="1" t="s">
        <v>5624</v>
      </c>
      <c r="AH525" s="1" t="s">
        <v>356</v>
      </c>
      <c r="AI525" s="6">
        <v>11564.0</v>
      </c>
      <c r="AJ525" s="1" t="s">
        <v>224</v>
      </c>
      <c r="AK525" s="1" t="s">
        <v>5626</v>
      </c>
      <c r="AL525" s="1" t="s">
        <v>5627</v>
      </c>
      <c r="AM525" s="11" t="str">
        <f>VLOOKUP(N525,Sheet3!$B$4:$C$10,2,1)</f>
        <v>51-60</v>
      </c>
      <c r="AN525" s="12" t="str">
        <f>VLOOKUP(Z525,Sheet3!$F$4:$G$10,2,1)</f>
        <v>5-10</v>
      </c>
      <c r="AO525" s="5" t="str">
        <f>VLOOKUP(AA525,Sheet3!$I$3:$J$16,2,1)</f>
        <v>40000-60000</v>
      </c>
      <c r="AP525" s="5" t="str">
        <f>VLOOKUP(AB525,Sheet3!$L$4:$M$14,2,1)</f>
        <v>16% - 20%</v>
      </c>
    </row>
    <row r="526">
      <c r="A526" s="6">
        <v>968785.0</v>
      </c>
      <c r="B526" s="1" t="s">
        <v>66</v>
      </c>
      <c r="C526" s="1" t="s">
        <v>5628</v>
      </c>
      <c r="D526" s="1" t="s">
        <v>1663</v>
      </c>
      <c r="E526" s="1" t="s">
        <v>657</v>
      </c>
      <c r="F526" s="1" t="s">
        <v>70</v>
      </c>
      <c r="G526" s="1" t="s">
        <v>5629</v>
      </c>
      <c r="H526" s="1" t="s">
        <v>4643</v>
      </c>
      <c r="I526" s="1" t="s">
        <v>5630</v>
      </c>
      <c r="J526" s="1" t="s">
        <v>5631</v>
      </c>
      <c r="K526" s="1" t="s">
        <v>5632</v>
      </c>
      <c r="L526" s="9">
        <v>27475.0</v>
      </c>
      <c r="M526" s="8">
        <v>0.8996412037037037</v>
      </c>
      <c r="N526" s="6">
        <v>42.38</v>
      </c>
      <c r="O526" s="6">
        <v>72.0</v>
      </c>
      <c r="P526" s="14">
        <v>37479.0</v>
      </c>
      <c r="Q526" s="1" t="s">
        <v>308</v>
      </c>
      <c r="R526" s="1" t="s">
        <v>53</v>
      </c>
      <c r="S526" s="6">
        <v>2002.0</v>
      </c>
      <c r="T526" s="6">
        <v>8.0</v>
      </c>
      <c r="U526" s="1" t="s">
        <v>433</v>
      </c>
      <c r="V526" s="1" t="s">
        <v>434</v>
      </c>
      <c r="W526" s="6">
        <v>11.0</v>
      </c>
      <c r="X526" s="1" t="s">
        <v>534</v>
      </c>
      <c r="Y526" s="1" t="s">
        <v>535</v>
      </c>
      <c r="Z526" s="6">
        <v>14.97</v>
      </c>
      <c r="AA526" s="6">
        <v>180086.0</v>
      </c>
      <c r="AB526" s="10">
        <v>0.0</v>
      </c>
      <c r="AC526" s="1" t="s">
        <v>5633</v>
      </c>
      <c r="AD526" s="1" t="s">
        <v>5634</v>
      </c>
      <c r="AE526" s="1" t="s">
        <v>5635</v>
      </c>
      <c r="AF526" s="1" t="s">
        <v>5636</v>
      </c>
      <c r="AG526" s="1" t="s">
        <v>5635</v>
      </c>
      <c r="AH526" s="1" t="s">
        <v>210</v>
      </c>
      <c r="AI526" s="6">
        <v>60080.0</v>
      </c>
      <c r="AJ526" s="1" t="s">
        <v>86</v>
      </c>
      <c r="AK526" s="1" t="s">
        <v>5637</v>
      </c>
      <c r="AL526" s="1" t="s">
        <v>5638</v>
      </c>
      <c r="AM526" s="11" t="str">
        <f>VLOOKUP(N526,Sheet3!$B$4:$C$10,2,1)</f>
        <v>41-50</v>
      </c>
      <c r="AN526" s="12" t="str">
        <f>VLOOKUP(Z526,Sheet3!$F$4:$G$10,2,1)</f>
        <v>11-20</v>
      </c>
      <c r="AO526" s="5" t="str">
        <f>VLOOKUP(AA526,Sheet3!$I$3:$J$16,2,1)</f>
        <v>180000-200000</v>
      </c>
      <c r="AP526" s="5" t="str">
        <f>VLOOKUP(AB526,Sheet3!$L$4:$M$14,2,1)</f>
        <v>&lt; 5%</v>
      </c>
    </row>
    <row r="527">
      <c r="A527" s="6">
        <v>735499.0</v>
      </c>
      <c r="B527" s="1" t="s">
        <v>42</v>
      </c>
      <c r="C527" s="1" t="s">
        <v>4494</v>
      </c>
      <c r="D527" s="1" t="s">
        <v>186</v>
      </c>
      <c r="E527" s="1" t="s">
        <v>5639</v>
      </c>
      <c r="F527" s="1" t="s">
        <v>46</v>
      </c>
      <c r="G527" s="1" t="s">
        <v>5640</v>
      </c>
      <c r="H527" s="1" t="s">
        <v>4643</v>
      </c>
      <c r="I527" s="1" t="s">
        <v>5641</v>
      </c>
      <c r="J527" s="1" t="s">
        <v>5642</v>
      </c>
      <c r="K527" s="1" t="s">
        <v>1221</v>
      </c>
      <c r="L527" s="9">
        <v>24831.0</v>
      </c>
      <c r="M527" s="8">
        <v>0.03172453703703704</v>
      </c>
      <c r="N527" s="6">
        <v>49.62</v>
      </c>
      <c r="O527" s="6">
        <v>45.0</v>
      </c>
      <c r="P527" s="9">
        <v>35357.0</v>
      </c>
      <c r="Q527" s="1" t="s">
        <v>52</v>
      </c>
      <c r="R527" s="1" t="s">
        <v>53</v>
      </c>
      <c r="S527" s="6">
        <v>1996.0</v>
      </c>
      <c r="T527" s="6">
        <v>10.0</v>
      </c>
      <c r="U527" s="1" t="s">
        <v>133</v>
      </c>
      <c r="V527" s="1" t="s">
        <v>134</v>
      </c>
      <c r="W527" s="6">
        <v>19.0</v>
      </c>
      <c r="X527" s="1" t="s">
        <v>56</v>
      </c>
      <c r="Y527" s="1" t="s">
        <v>57</v>
      </c>
      <c r="Z527" s="6">
        <v>20.79</v>
      </c>
      <c r="AA527" s="6">
        <v>56526.0</v>
      </c>
      <c r="AB527" s="10">
        <v>0.3</v>
      </c>
      <c r="AC527" s="1" t="s">
        <v>5643</v>
      </c>
      <c r="AD527" s="1" t="s">
        <v>5644</v>
      </c>
      <c r="AE527" s="1" t="s">
        <v>4870</v>
      </c>
      <c r="AF527" s="1" t="s">
        <v>4871</v>
      </c>
      <c r="AG527" s="1" t="s">
        <v>4870</v>
      </c>
      <c r="AH527" s="1" t="s">
        <v>356</v>
      </c>
      <c r="AI527" s="6">
        <v>10031.0</v>
      </c>
      <c r="AJ527" s="1" t="s">
        <v>224</v>
      </c>
      <c r="AK527" s="1" t="s">
        <v>5645</v>
      </c>
      <c r="AL527" s="1" t="s">
        <v>5646</v>
      </c>
      <c r="AM527" s="11" t="str">
        <f>VLOOKUP(N527,Sheet3!$B$4:$C$10,2,1)</f>
        <v>41-50</v>
      </c>
      <c r="AN527" s="12" t="str">
        <f>VLOOKUP(Z527,Sheet3!$F$4:$G$10,2,1)</f>
        <v>11-20</v>
      </c>
      <c r="AO527" s="5" t="str">
        <f>VLOOKUP(AA527,Sheet3!$I$3:$J$16,2,1)</f>
        <v>40000-60000</v>
      </c>
      <c r="AP527" s="5" t="str">
        <f>VLOOKUP(AB527,Sheet3!$L$4:$M$14,2,1)</f>
        <v>26% - 30%</v>
      </c>
    </row>
    <row r="528">
      <c r="A528" s="6">
        <v>983480.0</v>
      </c>
      <c r="B528" s="1" t="s">
        <v>66</v>
      </c>
      <c r="C528" s="1" t="s">
        <v>2605</v>
      </c>
      <c r="D528" s="1" t="s">
        <v>554</v>
      </c>
      <c r="E528" s="1" t="s">
        <v>5600</v>
      </c>
      <c r="F528" s="1" t="s">
        <v>70</v>
      </c>
      <c r="G528" s="1" t="s">
        <v>5647</v>
      </c>
      <c r="H528" s="1" t="s">
        <v>4643</v>
      </c>
      <c r="I528" s="1" t="s">
        <v>5648</v>
      </c>
      <c r="J528" s="1" t="s">
        <v>5649</v>
      </c>
      <c r="K528" s="1" t="s">
        <v>397</v>
      </c>
      <c r="L528" s="9">
        <v>24136.0</v>
      </c>
      <c r="M528" s="8">
        <v>0.1791435185185185</v>
      </c>
      <c r="N528" s="6">
        <v>51.53</v>
      </c>
      <c r="O528" s="6">
        <v>60.0</v>
      </c>
      <c r="P528" s="14">
        <v>36530.0</v>
      </c>
      <c r="Q528" s="1" t="s">
        <v>96</v>
      </c>
      <c r="R528" s="1" t="s">
        <v>76</v>
      </c>
      <c r="S528" s="6">
        <v>2000.0</v>
      </c>
      <c r="T528" s="6">
        <v>1.0</v>
      </c>
      <c r="U528" s="1" t="s">
        <v>276</v>
      </c>
      <c r="V528" s="1" t="s">
        <v>277</v>
      </c>
      <c r="W528" s="6">
        <v>5.0</v>
      </c>
      <c r="X528" s="1" t="s">
        <v>278</v>
      </c>
      <c r="Y528" s="1" t="s">
        <v>279</v>
      </c>
      <c r="Z528" s="6">
        <v>17.57</v>
      </c>
      <c r="AA528" s="6">
        <v>100866.0</v>
      </c>
      <c r="AB528" s="10">
        <v>0.13</v>
      </c>
      <c r="AC528" s="1" t="s">
        <v>5650</v>
      </c>
      <c r="AD528" s="1" t="s">
        <v>5651</v>
      </c>
      <c r="AE528" s="1" t="s">
        <v>929</v>
      </c>
      <c r="AF528" s="1" t="s">
        <v>930</v>
      </c>
      <c r="AG528" s="1" t="s">
        <v>929</v>
      </c>
      <c r="AH528" s="1" t="s">
        <v>882</v>
      </c>
      <c r="AI528" s="6">
        <v>30326.0</v>
      </c>
      <c r="AJ528" s="1" t="s">
        <v>106</v>
      </c>
      <c r="AK528" s="1" t="s">
        <v>5652</v>
      </c>
      <c r="AL528" s="1" t="s">
        <v>5653</v>
      </c>
      <c r="AM528" s="11" t="str">
        <f>VLOOKUP(N528,Sheet3!$B$4:$C$10,2,1)</f>
        <v>51-60</v>
      </c>
      <c r="AN528" s="12" t="str">
        <f>VLOOKUP(Z528,Sheet3!$F$4:$G$10,2,1)</f>
        <v>11-20</v>
      </c>
      <c r="AO528" s="5" t="str">
        <f>VLOOKUP(AA528,Sheet3!$I$3:$J$16,2,1)</f>
        <v>100000-120000</v>
      </c>
      <c r="AP528" s="5" t="str">
        <f>VLOOKUP(AB528,Sheet3!$L$4:$M$14,2,1)</f>
        <v>11% - 15%</v>
      </c>
    </row>
    <row r="529">
      <c r="A529" s="6">
        <v>206279.0</v>
      </c>
      <c r="B529" s="1" t="s">
        <v>42</v>
      </c>
      <c r="C529" s="1" t="s">
        <v>5654</v>
      </c>
      <c r="D529" s="1" t="s">
        <v>46</v>
      </c>
      <c r="E529" s="1" t="s">
        <v>5655</v>
      </c>
      <c r="F529" s="1" t="s">
        <v>46</v>
      </c>
      <c r="G529" s="1" t="s">
        <v>5656</v>
      </c>
      <c r="H529" s="1" t="s">
        <v>4643</v>
      </c>
      <c r="I529" s="1" t="s">
        <v>5657</v>
      </c>
      <c r="J529" s="1" t="s">
        <v>5658</v>
      </c>
      <c r="K529" s="1" t="s">
        <v>1760</v>
      </c>
      <c r="L529" s="14">
        <v>33551.0</v>
      </c>
      <c r="M529" s="8">
        <v>0.7301736111111111</v>
      </c>
      <c r="N529" s="6">
        <v>25.73</v>
      </c>
      <c r="O529" s="6">
        <v>42.0</v>
      </c>
      <c r="P529" s="14">
        <v>42472.0</v>
      </c>
      <c r="Q529" s="1" t="s">
        <v>75</v>
      </c>
      <c r="R529" s="1" t="s">
        <v>76</v>
      </c>
      <c r="S529" s="6">
        <v>2016.0</v>
      </c>
      <c r="T529" s="6">
        <v>4.0</v>
      </c>
      <c r="U529" s="1" t="s">
        <v>77</v>
      </c>
      <c r="V529" s="1" t="s">
        <v>78</v>
      </c>
      <c r="W529" s="6">
        <v>12.0</v>
      </c>
      <c r="X529" s="1" t="s">
        <v>79</v>
      </c>
      <c r="Y529" s="1" t="s">
        <v>80</v>
      </c>
      <c r="Z529" s="6">
        <v>1.29</v>
      </c>
      <c r="AA529" s="6">
        <v>56863.0</v>
      </c>
      <c r="AB529" s="10">
        <v>0.09</v>
      </c>
      <c r="AC529" s="1" t="s">
        <v>5659</v>
      </c>
      <c r="AD529" s="1" t="s">
        <v>5660</v>
      </c>
      <c r="AE529" s="1" t="s">
        <v>5661</v>
      </c>
      <c r="AF529" s="1" t="s">
        <v>5662</v>
      </c>
      <c r="AG529" s="1" t="s">
        <v>5661</v>
      </c>
      <c r="AH529" s="1" t="s">
        <v>1032</v>
      </c>
      <c r="AI529" s="6">
        <v>66779.0</v>
      </c>
      <c r="AJ529" s="1" t="s">
        <v>86</v>
      </c>
      <c r="AK529" s="1" t="s">
        <v>5663</v>
      </c>
      <c r="AL529" s="1" t="s">
        <v>5664</v>
      </c>
      <c r="AM529" s="11" t="str">
        <f>VLOOKUP(N529,Sheet3!$B$4:$C$10,2,1)</f>
        <v>21-30</v>
      </c>
      <c r="AN529" s="13" t="str">
        <f>VLOOKUP(Z529,Sheet3!$F$4:$G$10,2,1)</f>
        <v>&lt; 5</v>
      </c>
      <c r="AO529" s="5" t="str">
        <f>VLOOKUP(AA529,Sheet3!$I$3:$J$16,2,1)</f>
        <v>40000-60000</v>
      </c>
      <c r="AP529" s="5" t="str">
        <f>VLOOKUP(AB529,Sheet3!$L$4:$M$14,2,1)</f>
        <v>5% - 10%</v>
      </c>
    </row>
    <row r="530">
      <c r="A530" s="6">
        <v>582100.0</v>
      </c>
      <c r="B530" s="1" t="s">
        <v>66</v>
      </c>
      <c r="C530" s="1" t="s">
        <v>2826</v>
      </c>
      <c r="D530" s="1" t="s">
        <v>360</v>
      </c>
      <c r="E530" s="1" t="s">
        <v>294</v>
      </c>
      <c r="F530" s="1" t="s">
        <v>70</v>
      </c>
      <c r="G530" s="1" t="s">
        <v>5665</v>
      </c>
      <c r="H530" s="1" t="s">
        <v>4643</v>
      </c>
      <c r="I530" s="1" t="s">
        <v>5666</v>
      </c>
      <c r="J530" s="1" t="s">
        <v>5667</v>
      </c>
      <c r="K530" s="1" t="s">
        <v>3465</v>
      </c>
      <c r="L530" s="9">
        <v>24431.0</v>
      </c>
      <c r="M530" s="8">
        <v>0.022060185185185186</v>
      </c>
      <c r="N530" s="6">
        <v>50.72</v>
      </c>
      <c r="O530" s="6">
        <v>56.0</v>
      </c>
      <c r="P530" s="9">
        <v>37246.0</v>
      </c>
      <c r="Q530" s="1" t="s">
        <v>52</v>
      </c>
      <c r="R530" s="1" t="s">
        <v>53</v>
      </c>
      <c r="S530" s="6">
        <v>2001.0</v>
      </c>
      <c r="T530" s="6">
        <v>12.0</v>
      </c>
      <c r="U530" s="1" t="s">
        <v>54</v>
      </c>
      <c r="V530" s="1" t="s">
        <v>55</v>
      </c>
      <c r="W530" s="6">
        <v>21.0</v>
      </c>
      <c r="X530" s="1" t="s">
        <v>263</v>
      </c>
      <c r="Y530" s="1" t="s">
        <v>264</v>
      </c>
      <c r="Z530" s="6">
        <v>15.61</v>
      </c>
      <c r="AA530" s="6">
        <v>191830.0</v>
      </c>
      <c r="AB530" s="10">
        <v>0.2</v>
      </c>
      <c r="AC530" s="1" t="s">
        <v>5668</v>
      </c>
      <c r="AD530" s="1" t="s">
        <v>5669</v>
      </c>
      <c r="AE530" s="1" t="s">
        <v>5670</v>
      </c>
      <c r="AF530" s="1" t="s">
        <v>5671</v>
      </c>
      <c r="AG530" s="1" t="s">
        <v>5670</v>
      </c>
      <c r="AH530" s="1" t="s">
        <v>906</v>
      </c>
      <c r="AI530" s="6">
        <v>7643.0</v>
      </c>
      <c r="AJ530" s="1" t="s">
        <v>224</v>
      </c>
      <c r="AK530" s="1" t="s">
        <v>5672</v>
      </c>
      <c r="AL530" s="1" t="s">
        <v>5673</v>
      </c>
      <c r="AM530" s="11" t="str">
        <f>VLOOKUP(N530,Sheet3!$B$4:$C$10,2,1)</f>
        <v>41-50</v>
      </c>
      <c r="AN530" s="12" t="str">
        <f>VLOOKUP(Z530,Sheet3!$F$4:$G$10,2,1)</f>
        <v>11-20</v>
      </c>
      <c r="AO530" s="5" t="str">
        <f>VLOOKUP(AA530,Sheet3!$I$3:$J$16,2,1)</f>
        <v>180000-200000</v>
      </c>
      <c r="AP530" s="5" t="str">
        <f>VLOOKUP(AB530,Sheet3!$L$4:$M$14,2,1)</f>
        <v>16% - 20%</v>
      </c>
    </row>
    <row r="531">
      <c r="A531" s="6">
        <v>821988.0</v>
      </c>
      <c r="B531" s="1" t="s">
        <v>66</v>
      </c>
      <c r="C531" s="1" t="s">
        <v>3540</v>
      </c>
      <c r="D531" s="1" t="s">
        <v>403</v>
      </c>
      <c r="E531" s="1" t="s">
        <v>5358</v>
      </c>
      <c r="F531" s="1" t="s">
        <v>70</v>
      </c>
      <c r="G531" s="1" t="s">
        <v>5674</v>
      </c>
      <c r="H531" s="1" t="s">
        <v>4643</v>
      </c>
      <c r="I531" s="1" t="s">
        <v>5675</v>
      </c>
      <c r="J531" s="1" t="s">
        <v>5676</v>
      </c>
      <c r="K531" s="1" t="s">
        <v>5677</v>
      </c>
      <c r="L531" s="9">
        <v>30153.0</v>
      </c>
      <c r="M531" s="8">
        <v>0.7286805555555556</v>
      </c>
      <c r="N531" s="6">
        <v>35.04</v>
      </c>
      <c r="O531" s="6">
        <v>70.0</v>
      </c>
      <c r="P531" s="9">
        <v>42717.0</v>
      </c>
      <c r="Q531" s="1" t="s">
        <v>52</v>
      </c>
      <c r="R531" s="1" t="s">
        <v>53</v>
      </c>
      <c r="S531" s="6">
        <v>2016.0</v>
      </c>
      <c r="T531" s="6">
        <v>12.0</v>
      </c>
      <c r="U531" s="1" t="s">
        <v>54</v>
      </c>
      <c r="V531" s="1" t="s">
        <v>55</v>
      </c>
      <c r="W531" s="6">
        <v>13.0</v>
      </c>
      <c r="X531" s="1" t="s">
        <v>79</v>
      </c>
      <c r="Y531" s="1" t="s">
        <v>80</v>
      </c>
      <c r="Z531" s="6">
        <v>0.62</v>
      </c>
      <c r="AA531" s="6">
        <v>88052.0</v>
      </c>
      <c r="AB531" s="10">
        <v>0.21</v>
      </c>
      <c r="AC531" s="1" t="s">
        <v>5678</v>
      </c>
      <c r="AD531" s="1" t="s">
        <v>5679</v>
      </c>
      <c r="AE531" s="1" t="s">
        <v>5680</v>
      </c>
      <c r="AF531" s="1" t="s">
        <v>5681</v>
      </c>
      <c r="AG531" s="1" t="s">
        <v>5680</v>
      </c>
      <c r="AH531" s="1" t="s">
        <v>169</v>
      </c>
      <c r="AI531" s="6">
        <v>76945.0</v>
      </c>
      <c r="AJ531" s="1" t="s">
        <v>106</v>
      </c>
      <c r="AK531" s="1" t="s">
        <v>5682</v>
      </c>
      <c r="AL531" s="1" t="s">
        <v>5683</v>
      </c>
      <c r="AM531" s="11" t="str">
        <f>VLOOKUP(N531,Sheet3!$B$4:$C$10,2,1)</f>
        <v>31-40</v>
      </c>
      <c r="AN531" s="13" t="str">
        <f>VLOOKUP(Z531,Sheet3!$F$4:$G$10,2,1)</f>
        <v>&lt; 5</v>
      </c>
      <c r="AO531" s="5" t="str">
        <f>VLOOKUP(AA531,Sheet3!$I$3:$J$16,2,1)</f>
        <v>80000-100000</v>
      </c>
      <c r="AP531" s="5" t="str">
        <f>VLOOKUP(AB531,Sheet3!$L$4:$M$14,2,1)</f>
        <v>21% - 25%</v>
      </c>
    </row>
    <row r="532">
      <c r="A532" s="6">
        <v>611384.0</v>
      </c>
      <c r="B532" s="1" t="s">
        <v>66</v>
      </c>
      <c r="C532" s="1" t="s">
        <v>67</v>
      </c>
      <c r="D532" s="1" t="s">
        <v>200</v>
      </c>
      <c r="E532" s="1" t="s">
        <v>719</v>
      </c>
      <c r="F532" s="1" t="s">
        <v>70</v>
      </c>
      <c r="G532" s="1" t="s">
        <v>5684</v>
      </c>
      <c r="H532" s="1" t="s">
        <v>4643</v>
      </c>
      <c r="I532" s="1" t="s">
        <v>5685</v>
      </c>
      <c r="J532" s="1" t="s">
        <v>5686</v>
      </c>
      <c r="K532" s="1" t="s">
        <v>2786</v>
      </c>
      <c r="L532" s="14">
        <v>24778.0</v>
      </c>
      <c r="M532" s="8">
        <v>0.6887152777777777</v>
      </c>
      <c r="N532" s="6">
        <v>49.77</v>
      </c>
      <c r="O532" s="6">
        <v>76.0</v>
      </c>
      <c r="P532" s="9">
        <v>37884.0</v>
      </c>
      <c r="Q532" s="1" t="s">
        <v>308</v>
      </c>
      <c r="R532" s="1" t="s">
        <v>53</v>
      </c>
      <c r="S532" s="6">
        <v>2003.0</v>
      </c>
      <c r="T532" s="6">
        <v>9.0</v>
      </c>
      <c r="U532" s="1" t="s">
        <v>309</v>
      </c>
      <c r="V532" s="1" t="s">
        <v>310</v>
      </c>
      <c r="W532" s="6">
        <v>20.0</v>
      </c>
      <c r="X532" s="1" t="s">
        <v>56</v>
      </c>
      <c r="Y532" s="1" t="s">
        <v>57</v>
      </c>
      <c r="Z532" s="6">
        <v>13.86</v>
      </c>
      <c r="AA532" s="6">
        <v>166017.0</v>
      </c>
      <c r="AB532" s="10">
        <v>0.13</v>
      </c>
      <c r="AC532" s="1" t="s">
        <v>5687</v>
      </c>
      <c r="AD532" s="1" t="s">
        <v>5688</v>
      </c>
      <c r="AE532" s="1" t="s">
        <v>5689</v>
      </c>
      <c r="AF532" s="1" t="s">
        <v>5690</v>
      </c>
      <c r="AG532" s="1" t="s">
        <v>5689</v>
      </c>
      <c r="AH532" s="1" t="s">
        <v>563</v>
      </c>
      <c r="AI532" s="6">
        <v>24719.0</v>
      </c>
      <c r="AJ532" s="1" t="s">
        <v>106</v>
      </c>
      <c r="AK532" s="1" t="s">
        <v>5691</v>
      </c>
      <c r="AL532" s="1" t="s">
        <v>5692</v>
      </c>
      <c r="AM532" s="11" t="str">
        <f>VLOOKUP(N532,Sheet3!$B$4:$C$10,2,1)</f>
        <v>41-50</v>
      </c>
      <c r="AN532" s="12" t="str">
        <f>VLOOKUP(Z532,Sheet3!$F$4:$G$10,2,1)</f>
        <v>11-20</v>
      </c>
      <c r="AO532" s="5" t="str">
        <f>VLOOKUP(AA532,Sheet3!$I$3:$J$16,2,1)</f>
        <v>160000-180000</v>
      </c>
      <c r="AP532" s="5" t="str">
        <f>VLOOKUP(AB532,Sheet3!$L$4:$M$14,2,1)</f>
        <v>11% - 15%</v>
      </c>
    </row>
    <row r="533">
      <c r="A533" s="6">
        <v>993792.0</v>
      </c>
      <c r="B533" s="1" t="s">
        <v>66</v>
      </c>
      <c r="C533" s="1" t="s">
        <v>5693</v>
      </c>
      <c r="D533" s="1" t="s">
        <v>257</v>
      </c>
      <c r="E533" s="1" t="s">
        <v>5694</v>
      </c>
      <c r="F533" s="1" t="s">
        <v>70</v>
      </c>
      <c r="G533" s="1" t="s">
        <v>5695</v>
      </c>
      <c r="H533" s="1" t="s">
        <v>4643</v>
      </c>
      <c r="I533" s="1" t="s">
        <v>5696</v>
      </c>
      <c r="J533" s="1" t="s">
        <v>5697</v>
      </c>
      <c r="K533" s="1" t="s">
        <v>779</v>
      </c>
      <c r="L533" s="14">
        <v>26884.0</v>
      </c>
      <c r="M533" s="8">
        <v>0.6444444444444445</v>
      </c>
      <c r="N533" s="6">
        <v>44.0</v>
      </c>
      <c r="O533" s="6">
        <v>59.0</v>
      </c>
      <c r="P533" s="14">
        <v>36166.0</v>
      </c>
      <c r="Q533" s="1" t="s">
        <v>96</v>
      </c>
      <c r="R533" s="1" t="s">
        <v>76</v>
      </c>
      <c r="S533" s="6">
        <v>1999.0</v>
      </c>
      <c r="T533" s="6">
        <v>1.0</v>
      </c>
      <c r="U533" s="1" t="s">
        <v>276</v>
      </c>
      <c r="V533" s="1" t="s">
        <v>277</v>
      </c>
      <c r="W533" s="6">
        <v>6.0</v>
      </c>
      <c r="X533" s="1" t="s">
        <v>278</v>
      </c>
      <c r="Y533" s="1" t="s">
        <v>279</v>
      </c>
      <c r="Z533" s="6">
        <v>18.57</v>
      </c>
      <c r="AA533" s="6">
        <v>62228.0</v>
      </c>
      <c r="AB533" s="10">
        <v>0.06</v>
      </c>
      <c r="AC533" s="1" t="s">
        <v>5698</v>
      </c>
      <c r="AD533" s="1" t="s">
        <v>5699</v>
      </c>
      <c r="AE533" s="1" t="s">
        <v>5700</v>
      </c>
      <c r="AF533" s="1" t="s">
        <v>4562</v>
      </c>
      <c r="AG533" s="1" t="s">
        <v>5700</v>
      </c>
      <c r="AH533" s="1" t="s">
        <v>882</v>
      </c>
      <c r="AI533" s="6">
        <v>31820.0</v>
      </c>
      <c r="AJ533" s="1" t="s">
        <v>106</v>
      </c>
      <c r="AK533" s="1" t="s">
        <v>5701</v>
      </c>
      <c r="AL533" s="1" t="s">
        <v>5702</v>
      </c>
      <c r="AM533" s="11" t="str">
        <f>VLOOKUP(N533,Sheet3!$B$4:$C$10,2,1)</f>
        <v>41-50</v>
      </c>
      <c r="AN533" s="12" t="str">
        <f>VLOOKUP(Z533,Sheet3!$F$4:$G$10,2,1)</f>
        <v>11-20</v>
      </c>
      <c r="AO533" s="5" t="str">
        <f>VLOOKUP(AA533,Sheet3!$I$3:$J$16,2,1)</f>
        <v>60000-80000</v>
      </c>
      <c r="AP533" s="5" t="str">
        <f>VLOOKUP(AB533,Sheet3!$L$4:$M$14,2,1)</f>
        <v>5% - 10%</v>
      </c>
    </row>
    <row r="534">
      <c r="A534" s="6">
        <v>316999.0</v>
      </c>
      <c r="B534" s="1" t="s">
        <v>109</v>
      </c>
      <c r="C534" s="1" t="s">
        <v>5703</v>
      </c>
      <c r="D534" s="1" t="s">
        <v>44</v>
      </c>
      <c r="E534" s="1" t="s">
        <v>1452</v>
      </c>
      <c r="F534" s="1" t="s">
        <v>46</v>
      </c>
      <c r="G534" s="1" t="s">
        <v>5704</v>
      </c>
      <c r="H534" s="1" t="s">
        <v>4643</v>
      </c>
      <c r="I534" s="1" t="s">
        <v>5705</v>
      </c>
      <c r="J534" s="1" t="s">
        <v>5706</v>
      </c>
      <c r="K534" s="1" t="s">
        <v>2173</v>
      </c>
      <c r="L534" s="9">
        <v>23275.0</v>
      </c>
      <c r="M534" s="8">
        <v>0.012418981481481482</v>
      </c>
      <c r="N534" s="6">
        <v>53.89</v>
      </c>
      <c r="O534" s="6">
        <v>40.0</v>
      </c>
      <c r="P534" s="14">
        <v>34152.0</v>
      </c>
      <c r="Q534" s="1" t="s">
        <v>308</v>
      </c>
      <c r="R534" s="1" t="s">
        <v>53</v>
      </c>
      <c r="S534" s="6">
        <v>1993.0</v>
      </c>
      <c r="T534" s="6">
        <v>7.0</v>
      </c>
      <c r="U534" s="1" t="s">
        <v>366</v>
      </c>
      <c r="V534" s="1" t="s">
        <v>367</v>
      </c>
      <c r="W534" s="6">
        <v>2.0</v>
      </c>
      <c r="X534" s="1" t="s">
        <v>263</v>
      </c>
      <c r="Y534" s="1" t="s">
        <v>264</v>
      </c>
      <c r="Z534" s="6">
        <v>24.09</v>
      </c>
      <c r="AA534" s="6">
        <v>93272.0</v>
      </c>
      <c r="AB534" s="10">
        <v>0.19</v>
      </c>
      <c r="AC534" s="1" t="s">
        <v>5707</v>
      </c>
      <c r="AD534" s="1" t="s">
        <v>5708</v>
      </c>
      <c r="AE534" s="1" t="s">
        <v>5709</v>
      </c>
      <c r="AF534" s="1" t="s">
        <v>5709</v>
      </c>
      <c r="AG534" s="1" t="s">
        <v>5709</v>
      </c>
      <c r="AH534" s="1" t="s">
        <v>122</v>
      </c>
      <c r="AI534" s="6">
        <v>46925.0</v>
      </c>
      <c r="AJ534" s="1" t="s">
        <v>86</v>
      </c>
      <c r="AK534" s="1" t="s">
        <v>5710</v>
      </c>
      <c r="AL534" s="1" t="s">
        <v>5711</v>
      </c>
      <c r="AM534" s="11" t="str">
        <f>VLOOKUP(N534,Sheet3!$B$4:$C$10,2,1)</f>
        <v>51-60</v>
      </c>
      <c r="AN534" s="13" t="str">
        <f>VLOOKUP(Z534,Sheet3!$F$4:$G$10,2,1)</f>
        <v>21-30</v>
      </c>
      <c r="AO534" s="5" t="str">
        <f>VLOOKUP(AA534,Sheet3!$I$3:$J$16,2,1)</f>
        <v>80000-100000</v>
      </c>
      <c r="AP534" s="5" t="str">
        <f>VLOOKUP(AB534,Sheet3!$L$4:$M$14,2,1)</f>
        <v>16% - 20%</v>
      </c>
    </row>
    <row r="535">
      <c r="A535" s="6">
        <v>880526.0</v>
      </c>
      <c r="B535" s="1" t="s">
        <v>125</v>
      </c>
      <c r="C535" s="1" t="s">
        <v>5712</v>
      </c>
      <c r="D535" s="1" t="s">
        <v>70</v>
      </c>
      <c r="E535" s="1" t="s">
        <v>1600</v>
      </c>
      <c r="F535" s="1" t="s">
        <v>70</v>
      </c>
      <c r="G535" s="1" t="s">
        <v>5713</v>
      </c>
      <c r="H535" s="1" t="s">
        <v>4643</v>
      </c>
      <c r="I535" s="1" t="s">
        <v>5714</v>
      </c>
      <c r="J535" s="1" t="s">
        <v>5715</v>
      </c>
      <c r="K535" s="1" t="s">
        <v>5716</v>
      </c>
      <c r="L535" s="14">
        <v>22655.0</v>
      </c>
      <c r="M535" s="8">
        <v>0.7889583333333333</v>
      </c>
      <c r="N535" s="6">
        <v>55.59</v>
      </c>
      <c r="O535" s="6">
        <v>61.0</v>
      </c>
      <c r="P535" s="14">
        <v>36373.0</v>
      </c>
      <c r="Q535" s="1" t="s">
        <v>308</v>
      </c>
      <c r="R535" s="1" t="s">
        <v>53</v>
      </c>
      <c r="S535" s="6">
        <v>1999.0</v>
      </c>
      <c r="T535" s="6">
        <v>8.0</v>
      </c>
      <c r="U535" s="1" t="s">
        <v>433</v>
      </c>
      <c r="V535" s="1" t="s">
        <v>434</v>
      </c>
      <c r="W535" s="6">
        <v>1.0</v>
      </c>
      <c r="X535" s="1" t="s">
        <v>534</v>
      </c>
      <c r="Y535" s="1" t="s">
        <v>535</v>
      </c>
      <c r="Z535" s="6">
        <v>18.0</v>
      </c>
      <c r="AA535" s="6">
        <v>191109.0</v>
      </c>
      <c r="AB535" s="10">
        <v>0.01</v>
      </c>
      <c r="AC535" s="1" t="s">
        <v>5717</v>
      </c>
      <c r="AD535" s="1" t="s">
        <v>5718</v>
      </c>
      <c r="AE535" s="1" t="s">
        <v>5719</v>
      </c>
      <c r="AF535" s="1" t="s">
        <v>3697</v>
      </c>
      <c r="AG535" s="1" t="s">
        <v>5719</v>
      </c>
      <c r="AH535" s="1" t="s">
        <v>169</v>
      </c>
      <c r="AI535" s="6">
        <v>75123.0</v>
      </c>
      <c r="AJ535" s="1" t="s">
        <v>106</v>
      </c>
      <c r="AK535" s="1" t="s">
        <v>5720</v>
      </c>
      <c r="AL535" s="1" t="s">
        <v>5721</v>
      </c>
      <c r="AM535" s="11" t="str">
        <f>VLOOKUP(N535,Sheet3!$B$4:$C$10,2,1)</f>
        <v>51-60</v>
      </c>
      <c r="AN535" s="12" t="str">
        <f>VLOOKUP(Z535,Sheet3!$F$4:$G$10,2,1)</f>
        <v>11-20</v>
      </c>
      <c r="AO535" s="5" t="str">
        <f>VLOOKUP(AA535,Sheet3!$I$3:$J$16,2,1)</f>
        <v>180000-200000</v>
      </c>
      <c r="AP535" s="5" t="str">
        <f>VLOOKUP(AB535,Sheet3!$L$4:$M$14,2,1)</f>
        <v>&lt; 5%</v>
      </c>
    </row>
    <row r="536">
      <c r="A536" s="6">
        <v>201612.0</v>
      </c>
      <c r="B536" s="1" t="s">
        <v>89</v>
      </c>
      <c r="C536" s="1" t="s">
        <v>5722</v>
      </c>
      <c r="D536" s="1" t="s">
        <v>1300</v>
      </c>
      <c r="E536" s="1" t="s">
        <v>5723</v>
      </c>
      <c r="F536" s="1" t="s">
        <v>46</v>
      </c>
      <c r="G536" s="1" t="s">
        <v>5724</v>
      </c>
      <c r="H536" s="1" t="s">
        <v>4643</v>
      </c>
      <c r="I536" s="1" t="s">
        <v>5725</v>
      </c>
      <c r="J536" s="1" t="s">
        <v>5726</v>
      </c>
      <c r="K536" s="1" t="s">
        <v>711</v>
      </c>
      <c r="L536" s="14">
        <v>26157.0</v>
      </c>
      <c r="M536" s="8">
        <v>0.5736805555555555</v>
      </c>
      <c r="N536" s="6">
        <v>45.99</v>
      </c>
      <c r="O536" s="6">
        <v>42.0</v>
      </c>
      <c r="P536" s="9">
        <v>40410.0</v>
      </c>
      <c r="Q536" s="1" t="s">
        <v>308</v>
      </c>
      <c r="R536" s="1" t="s">
        <v>53</v>
      </c>
      <c r="S536" s="6">
        <v>2010.0</v>
      </c>
      <c r="T536" s="6">
        <v>8.0</v>
      </c>
      <c r="U536" s="1" t="s">
        <v>433</v>
      </c>
      <c r="V536" s="1" t="s">
        <v>434</v>
      </c>
      <c r="W536" s="6">
        <v>20.0</v>
      </c>
      <c r="X536" s="1" t="s">
        <v>263</v>
      </c>
      <c r="Y536" s="1" t="s">
        <v>264</v>
      </c>
      <c r="Z536" s="6">
        <v>6.94</v>
      </c>
      <c r="AA536" s="6">
        <v>154700.0</v>
      </c>
      <c r="AB536" s="10">
        <v>0.0</v>
      </c>
      <c r="AC536" s="1" t="s">
        <v>5727</v>
      </c>
      <c r="AD536" s="1" t="s">
        <v>5728</v>
      </c>
      <c r="AE536" s="1" t="s">
        <v>5729</v>
      </c>
      <c r="AF536" s="1" t="s">
        <v>5730</v>
      </c>
      <c r="AG536" s="1" t="s">
        <v>5729</v>
      </c>
      <c r="AH536" s="1" t="s">
        <v>2483</v>
      </c>
      <c r="AI536" s="6">
        <v>29105.0</v>
      </c>
      <c r="AJ536" s="1" t="s">
        <v>106</v>
      </c>
      <c r="AK536" s="1" t="s">
        <v>5731</v>
      </c>
      <c r="AL536" s="1" t="s">
        <v>5732</v>
      </c>
      <c r="AM536" s="11" t="str">
        <f>VLOOKUP(N536,Sheet3!$B$4:$C$10,2,1)</f>
        <v>41-50</v>
      </c>
      <c r="AN536" s="12" t="str">
        <f>VLOOKUP(Z536,Sheet3!$F$4:$G$10,2,1)</f>
        <v>5-10</v>
      </c>
      <c r="AO536" s="5" t="str">
        <f>VLOOKUP(AA536,Sheet3!$I$3:$J$16,2,1)</f>
        <v>140000-160000</v>
      </c>
      <c r="AP536" s="5" t="str">
        <f>VLOOKUP(AB536,Sheet3!$L$4:$M$14,2,1)</f>
        <v>&lt; 5%</v>
      </c>
    </row>
    <row r="537">
      <c r="A537" s="6">
        <v>481137.0</v>
      </c>
      <c r="B537" s="1" t="s">
        <v>42</v>
      </c>
      <c r="C537" s="1" t="s">
        <v>5733</v>
      </c>
      <c r="D537" s="1" t="s">
        <v>127</v>
      </c>
      <c r="E537" s="1" t="s">
        <v>5734</v>
      </c>
      <c r="F537" s="1" t="s">
        <v>46</v>
      </c>
      <c r="G537" s="1" t="s">
        <v>5735</v>
      </c>
      <c r="H537" s="1" t="s">
        <v>4643</v>
      </c>
      <c r="I537" s="1" t="s">
        <v>5736</v>
      </c>
      <c r="J537" s="1" t="s">
        <v>5737</v>
      </c>
      <c r="K537" s="1" t="s">
        <v>5738</v>
      </c>
      <c r="L537" s="14">
        <v>32633.0</v>
      </c>
      <c r="M537" s="8">
        <v>0.10199074074074074</v>
      </c>
      <c r="N537" s="6">
        <v>28.25</v>
      </c>
      <c r="O537" s="6">
        <v>47.0</v>
      </c>
      <c r="P537" s="9">
        <v>41443.0</v>
      </c>
      <c r="Q537" s="1" t="s">
        <v>75</v>
      </c>
      <c r="R537" s="1" t="s">
        <v>76</v>
      </c>
      <c r="S537" s="6">
        <v>2013.0</v>
      </c>
      <c r="T537" s="6">
        <v>6.0</v>
      </c>
      <c r="U537" s="1" t="s">
        <v>324</v>
      </c>
      <c r="V537" s="1" t="s">
        <v>325</v>
      </c>
      <c r="W537" s="6">
        <v>18.0</v>
      </c>
      <c r="X537" s="1" t="s">
        <v>79</v>
      </c>
      <c r="Y537" s="1" t="s">
        <v>80</v>
      </c>
      <c r="Z537" s="6">
        <v>4.11</v>
      </c>
      <c r="AA537" s="6">
        <v>42626.0</v>
      </c>
      <c r="AB537" s="10">
        <v>0.25</v>
      </c>
      <c r="AC537" s="1" t="s">
        <v>5739</v>
      </c>
      <c r="AD537" s="1" t="s">
        <v>5740</v>
      </c>
      <c r="AE537" s="1" t="s">
        <v>5741</v>
      </c>
      <c r="AF537" s="1" t="s">
        <v>2267</v>
      </c>
      <c r="AG537" s="1" t="s">
        <v>5741</v>
      </c>
      <c r="AH537" s="1" t="s">
        <v>525</v>
      </c>
      <c r="AI537" s="6">
        <v>72820.0</v>
      </c>
      <c r="AJ537" s="1" t="s">
        <v>106</v>
      </c>
      <c r="AK537" s="1" t="s">
        <v>5742</v>
      </c>
      <c r="AL537" s="1" t="s">
        <v>5743</v>
      </c>
      <c r="AM537" s="11" t="str">
        <f>VLOOKUP(N537,Sheet3!$B$4:$C$10,2,1)</f>
        <v>21-30</v>
      </c>
      <c r="AN537" s="13" t="str">
        <f>VLOOKUP(Z537,Sheet3!$F$4:$G$10,2,1)</f>
        <v>&lt; 5</v>
      </c>
      <c r="AO537" s="5" t="str">
        <f>VLOOKUP(AA537,Sheet3!$I$3:$J$16,2,1)</f>
        <v>40000-60000</v>
      </c>
      <c r="AP537" s="5" t="str">
        <f>VLOOKUP(AB537,Sheet3!$L$4:$M$14,2,1)</f>
        <v>21% - 25%</v>
      </c>
    </row>
    <row r="538">
      <c r="A538" s="6">
        <v>191985.0</v>
      </c>
      <c r="B538" s="1" t="s">
        <v>42</v>
      </c>
      <c r="C538" s="1" t="s">
        <v>3157</v>
      </c>
      <c r="D538" s="1" t="s">
        <v>529</v>
      </c>
      <c r="E538" s="1" t="s">
        <v>543</v>
      </c>
      <c r="F538" s="1" t="s">
        <v>46</v>
      </c>
      <c r="G538" s="1" t="s">
        <v>5744</v>
      </c>
      <c r="H538" s="1" t="s">
        <v>4643</v>
      </c>
      <c r="I538" s="1" t="s">
        <v>5745</v>
      </c>
      <c r="J538" s="1" t="s">
        <v>5746</v>
      </c>
      <c r="K538" s="1" t="s">
        <v>5504</v>
      </c>
      <c r="L538" s="9">
        <v>29325.0</v>
      </c>
      <c r="M538" s="8">
        <v>0.7429398148148149</v>
      </c>
      <c r="N538" s="6">
        <v>37.31</v>
      </c>
      <c r="O538" s="6">
        <v>51.0</v>
      </c>
      <c r="P538" s="9">
        <v>37334.0</v>
      </c>
      <c r="Q538" s="1" t="s">
        <v>96</v>
      </c>
      <c r="R538" s="1" t="s">
        <v>76</v>
      </c>
      <c r="S538" s="6">
        <v>2002.0</v>
      </c>
      <c r="T538" s="6">
        <v>3.0</v>
      </c>
      <c r="U538" s="1" t="s">
        <v>97</v>
      </c>
      <c r="V538" s="1" t="s">
        <v>98</v>
      </c>
      <c r="W538" s="6">
        <v>19.0</v>
      </c>
      <c r="X538" s="1" t="s">
        <v>79</v>
      </c>
      <c r="Y538" s="1" t="s">
        <v>80</v>
      </c>
      <c r="Z538" s="6">
        <v>15.37</v>
      </c>
      <c r="AA538" s="6">
        <v>192743.0</v>
      </c>
      <c r="AB538" s="10">
        <v>0.25</v>
      </c>
      <c r="AC538" s="1" t="s">
        <v>5747</v>
      </c>
      <c r="AD538" s="1" t="s">
        <v>5748</v>
      </c>
      <c r="AE538" s="1" t="s">
        <v>5749</v>
      </c>
      <c r="AF538" s="1" t="s">
        <v>487</v>
      </c>
      <c r="AG538" s="1" t="s">
        <v>5749</v>
      </c>
      <c r="AH538" s="1" t="s">
        <v>974</v>
      </c>
      <c r="AI538" s="6">
        <v>45876.0</v>
      </c>
      <c r="AJ538" s="1" t="s">
        <v>86</v>
      </c>
      <c r="AK538" s="1" t="s">
        <v>5750</v>
      </c>
      <c r="AL538" s="1" t="s">
        <v>5751</v>
      </c>
      <c r="AM538" s="11" t="str">
        <f>VLOOKUP(N538,Sheet3!$B$4:$C$10,2,1)</f>
        <v>31-40</v>
      </c>
      <c r="AN538" s="12" t="str">
        <f>VLOOKUP(Z538,Sheet3!$F$4:$G$10,2,1)</f>
        <v>11-20</v>
      </c>
      <c r="AO538" s="5" t="str">
        <f>VLOOKUP(AA538,Sheet3!$I$3:$J$16,2,1)</f>
        <v>180000-200000</v>
      </c>
      <c r="AP538" s="5" t="str">
        <f>VLOOKUP(AB538,Sheet3!$L$4:$M$14,2,1)</f>
        <v>21% - 25%</v>
      </c>
    </row>
    <row r="539">
      <c r="A539" s="6">
        <v>244500.0</v>
      </c>
      <c r="B539" s="1" t="s">
        <v>42</v>
      </c>
      <c r="C539" s="1" t="s">
        <v>5513</v>
      </c>
      <c r="D539" s="1" t="s">
        <v>127</v>
      </c>
      <c r="E539" s="1" t="s">
        <v>5752</v>
      </c>
      <c r="F539" s="1" t="s">
        <v>46</v>
      </c>
      <c r="G539" s="1" t="s">
        <v>5753</v>
      </c>
      <c r="H539" s="1" t="s">
        <v>4643</v>
      </c>
      <c r="I539" s="1" t="s">
        <v>5754</v>
      </c>
      <c r="J539" s="1" t="s">
        <v>5755</v>
      </c>
      <c r="K539" s="1" t="s">
        <v>228</v>
      </c>
      <c r="L539" s="9">
        <v>21725.0</v>
      </c>
      <c r="M539" s="8">
        <v>0.050798611111111114</v>
      </c>
      <c r="N539" s="6">
        <v>58.13</v>
      </c>
      <c r="O539" s="6">
        <v>46.0</v>
      </c>
      <c r="P539" s="14">
        <v>32914.0</v>
      </c>
      <c r="Q539" s="1" t="s">
        <v>96</v>
      </c>
      <c r="R539" s="1" t="s">
        <v>76</v>
      </c>
      <c r="S539" s="6">
        <v>1990.0</v>
      </c>
      <c r="T539" s="6">
        <v>2.0</v>
      </c>
      <c r="U539" s="1" t="s">
        <v>117</v>
      </c>
      <c r="V539" s="1" t="s">
        <v>118</v>
      </c>
      <c r="W539" s="6">
        <v>10.0</v>
      </c>
      <c r="X539" s="1" t="s">
        <v>56</v>
      </c>
      <c r="Y539" s="1" t="s">
        <v>57</v>
      </c>
      <c r="Z539" s="6">
        <v>27.48</v>
      </c>
      <c r="AA539" s="6">
        <v>130706.0</v>
      </c>
      <c r="AB539" s="10">
        <v>0.14</v>
      </c>
      <c r="AC539" s="1" t="s">
        <v>5756</v>
      </c>
      <c r="AD539" s="1" t="s">
        <v>5757</v>
      </c>
      <c r="AE539" s="1" t="s">
        <v>5758</v>
      </c>
      <c r="AF539" s="1" t="s">
        <v>1320</v>
      </c>
      <c r="AG539" s="1" t="s">
        <v>5758</v>
      </c>
      <c r="AH539" s="1" t="s">
        <v>105</v>
      </c>
      <c r="AI539" s="6">
        <v>41159.0</v>
      </c>
      <c r="AJ539" s="1" t="s">
        <v>106</v>
      </c>
      <c r="AK539" s="1" t="s">
        <v>5759</v>
      </c>
      <c r="AL539" s="1" t="s">
        <v>5760</v>
      </c>
      <c r="AM539" s="11" t="str">
        <f>VLOOKUP(N539,Sheet3!$B$4:$C$10,2,1)</f>
        <v>51-60</v>
      </c>
      <c r="AN539" s="13" t="str">
        <f>VLOOKUP(Z539,Sheet3!$F$4:$G$10,2,1)</f>
        <v>21-30</v>
      </c>
      <c r="AO539" s="5" t="str">
        <f>VLOOKUP(AA539,Sheet3!$I$3:$J$16,2,1)</f>
        <v>120000-140000</v>
      </c>
      <c r="AP539" s="5" t="str">
        <f>VLOOKUP(AB539,Sheet3!$L$4:$M$14,2,1)</f>
        <v>11% - 15%</v>
      </c>
    </row>
    <row r="540">
      <c r="A540" s="6">
        <v>920668.0</v>
      </c>
      <c r="B540" s="1" t="s">
        <v>109</v>
      </c>
      <c r="C540" s="1" t="s">
        <v>2859</v>
      </c>
      <c r="D540" s="1" t="s">
        <v>127</v>
      </c>
      <c r="E540" s="1" t="s">
        <v>2550</v>
      </c>
      <c r="F540" s="1" t="s">
        <v>46</v>
      </c>
      <c r="G540" s="1" t="s">
        <v>5761</v>
      </c>
      <c r="H540" s="1" t="s">
        <v>4643</v>
      </c>
      <c r="I540" s="1" t="s">
        <v>5762</v>
      </c>
      <c r="J540" s="1" t="s">
        <v>5763</v>
      </c>
      <c r="K540" s="1" t="s">
        <v>5764</v>
      </c>
      <c r="L540" s="9">
        <v>31922.0</v>
      </c>
      <c r="M540" s="8">
        <v>0.3494097222222222</v>
      </c>
      <c r="N540" s="6">
        <v>30.2</v>
      </c>
      <c r="O540" s="6">
        <v>52.0</v>
      </c>
      <c r="P540" s="14">
        <v>42164.0</v>
      </c>
      <c r="Q540" s="1" t="s">
        <v>75</v>
      </c>
      <c r="R540" s="1" t="s">
        <v>76</v>
      </c>
      <c r="S540" s="6">
        <v>2015.0</v>
      </c>
      <c r="T540" s="6">
        <v>6.0</v>
      </c>
      <c r="U540" s="1" t="s">
        <v>324</v>
      </c>
      <c r="V540" s="1" t="s">
        <v>325</v>
      </c>
      <c r="W540" s="6">
        <v>9.0</v>
      </c>
      <c r="X540" s="1" t="s">
        <v>79</v>
      </c>
      <c r="Y540" s="1" t="s">
        <v>80</v>
      </c>
      <c r="Z540" s="6">
        <v>2.14</v>
      </c>
      <c r="AA540" s="6">
        <v>141884.0</v>
      </c>
      <c r="AB540" s="10">
        <v>0.28</v>
      </c>
      <c r="AC540" s="1" t="s">
        <v>5765</v>
      </c>
      <c r="AD540" s="1" t="s">
        <v>5766</v>
      </c>
      <c r="AE540" s="1" t="s">
        <v>4595</v>
      </c>
      <c r="AF540" s="1" t="s">
        <v>719</v>
      </c>
      <c r="AG540" s="1" t="s">
        <v>4595</v>
      </c>
      <c r="AH540" s="1" t="s">
        <v>857</v>
      </c>
      <c r="AI540" s="6">
        <v>64720.0</v>
      </c>
      <c r="AJ540" s="1" t="s">
        <v>86</v>
      </c>
      <c r="AK540" s="1" t="s">
        <v>5767</v>
      </c>
      <c r="AL540" s="1" t="s">
        <v>5768</v>
      </c>
      <c r="AM540" s="11" t="str">
        <f>VLOOKUP(N540,Sheet3!$B$4:$C$10,2,1)</f>
        <v>21-30</v>
      </c>
      <c r="AN540" s="13" t="str">
        <f>VLOOKUP(Z540,Sheet3!$F$4:$G$10,2,1)</f>
        <v>&lt; 5</v>
      </c>
      <c r="AO540" s="5" t="str">
        <f>VLOOKUP(AA540,Sheet3!$I$3:$J$16,2,1)</f>
        <v>140000-160000</v>
      </c>
      <c r="AP540" s="5" t="str">
        <f>VLOOKUP(AB540,Sheet3!$L$4:$M$14,2,1)</f>
        <v>26% - 30%</v>
      </c>
    </row>
    <row r="541">
      <c r="A541" s="6">
        <v>335470.0</v>
      </c>
      <c r="B541" s="1" t="s">
        <v>109</v>
      </c>
      <c r="C541" s="1" t="s">
        <v>3850</v>
      </c>
      <c r="D541" s="1" t="s">
        <v>68</v>
      </c>
      <c r="E541" s="1" t="s">
        <v>1930</v>
      </c>
      <c r="F541" s="1" t="s">
        <v>46</v>
      </c>
      <c r="G541" s="1" t="s">
        <v>5769</v>
      </c>
      <c r="H541" s="1" t="s">
        <v>4643</v>
      </c>
      <c r="I541" s="1" t="s">
        <v>5770</v>
      </c>
      <c r="J541" s="1" t="s">
        <v>5771</v>
      </c>
      <c r="K541" s="1" t="s">
        <v>3937</v>
      </c>
      <c r="L541" s="14">
        <v>26700.0</v>
      </c>
      <c r="M541" s="8">
        <v>0.007569444444444445</v>
      </c>
      <c r="N541" s="6">
        <v>44.5</v>
      </c>
      <c r="O541" s="6">
        <v>56.0</v>
      </c>
      <c r="P541" s="14">
        <v>34582.0</v>
      </c>
      <c r="Q541" s="1" t="s">
        <v>308</v>
      </c>
      <c r="R541" s="1" t="s">
        <v>53</v>
      </c>
      <c r="S541" s="6">
        <v>1994.0</v>
      </c>
      <c r="T541" s="6">
        <v>9.0</v>
      </c>
      <c r="U541" s="1" t="s">
        <v>309</v>
      </c>
      <c r="V541" s="1" t="s">
        <v>310</v>
      </c>
      <c r="W541" s="6">
        <v>5.0</v>
      </c>
      <c r="X541" s="1" t="s">
        <v>99</v>
      </c>
      <c r="Y541" s="1" t="s">
        <v>100</v>
      </c>
      <c r="Z541" s="6">
        <v>22.91</v>
      </c>
      <c r="AA541" s="6">
        <v>63144.0</v>
      </c>
      <c r="AB541" s="10">
        <v>0.27</v>
      </c>
      <c r="AC541" s="1" t="s">
        <v>5772</v>
      </c>
      <c r="AD541" s="1" t="s">
        <v>5773</v>
      </c>
      <c r="AE541" s="1" t="s">
        <v>5774</v>
      </c>
      <c r="AF541" s="1" t="s">
        <v>5775</v>
      </c>
      <c r="AG541" s="1" t="s">
        <v>5774</v>
      </c>
      <c r="AH541" s="1" t="s">
        <v>1103</v>
      </c>
      <c r="AI541" s="6">
        <v>3608.0</v>
      </c>
      <c r="AJ541" s="1" t="s">
        <v>224</v>
      </c>
      <c r="AK541" s="1" t="s">
        <v>5776</v>
      </c>
      <c r="AL541" s="1" t="s">
        <v>5777</v>
      </c>
      <c r="AM541" s="11" t="str">
        <f>VLOOKUP(N541,Sheet3!$B$4:$C$10,2,1)</f>
        <v>41-50</v>
      </c>
      <c r="AN541" s="13" t="str">
        <f>VLOOKUP(Z541,Sheet3!$F$4:$G$10,2,1)</f>
        <v>21-30</v>
      </c>
      <c r="AO541" s="5" t="str">
        <f>VLOOKUP(AA541,Sheet3!$I$3:$J$16,2,1)</f>
        <v>60000-80000</v>
      </c>
      <c r="AP541" s="5" t="str">
        <f>VLOOKUP(AB541,Sheet3!$L$4:$M$14,2,1)</f>
        <v>26% - 30%</v>
      </c>
    </row>
    <row r="542">
      <c r="A542" s="6">
        <v>150036.0</v>
      </c>
      <c r="B542" s="1" t="s">
        <v>109</v>
      </c>
      <c r="C542" s="1" t="s">
        <v>5778</v>
      </c>
      <c r="D542" s="1" t="s">
        <v>257</v>
      </c>
      <c r="E542" s="1" t="s">
        <v>4690</v>
      </c>
      <c r="F542" s="1" t="s">
        <v>46</v>
      </c>
      <c r="G542" s="1" t="s">
        <v>5779</v>
      </c>
      <c r="H542" s="1" t="s">
        <v>4643</v>
      </c>
      <c r="I542" s="1" t="s">
        <v>5780</v>
      </c>
      <c r="J542" s="1" t="s">
        <v>5781</v>
      </c>
      <c r="K542" s="1" t="s">
        <v>2379</v>
      </c>
      <c r="L542" s="9">
        <v>24985.0</v>
      </c>
      <c r="M542" s="8">
        <v>0.8582060185185185</v>
      </c>
      <c r="N542" s="6">
        <v>49.2</v>
      </c>
      <c r="O542" s="6">
        <v>47.0</v>
      </c>
      <c r="P542" s="9">
        <v>33193.0</v>
      </c>
      <c r="Q542" s="1" t="s">
        <v>52</v>
      </c>
      <c r="R542" s="1" t="s">
        <v>53</v>
      </c>
      <c r="S542" s="6">
        <v>1990.0</v>
      </c>
      <c r="T542" s="6">
        <v>11.0</v>
      </c>
      <c r="U542" s="1" t="s">
        <v>148</v>
      </c>
      <c r="V542" s="1" t="s">
        <v>149</v>
      </c>
      <c r="W542" s="6">
        <v>16.0</v>
      </c>
      <c r="X542" s="1" t="s">
        <v>263</v>
      </c>
      <c r="Y542" s="1" t="s">
        <v>264</v>
      </c>
      <c r="Z542" s="6">
        <v>26.72</v>
      </c>
      <c r="AA542" s="6">
        <v>64976.0</v>
      </c>
      <c r="AB542" s="10">
        <v>0.2</v>
      </c>
      <c r="AC542" s="1" t="s">
        <v>5782</v>
      </c>
      <c r="AD542" s="1" t="s">
        <v>5783</v>
      </c>
      <c r="AE542" s="1" t="s">
        <v>5784</v>
      </c>
      <c r="AF542" s="1" t="s">
        <v>5785</v>
      </c>
      <c r="AG542" s="1" t="s">
        <v>5784</v>
      </c>
      <c r="AH542" s="1" t="s">
        <v>2028</v>
      </c>
      <c r="AI542" s="6">
        <v>85738.0</v>
      </c>
      <c r="AJ542" s="1" t="s">
        <v>63</v>
      </c>
      <c r="AK542" s="1" t="s">
        <v>5786</v>
      </c>
      <c r="AL542" s="1" t="s">
        <v>5787</v>
      </c>
      <c r="AM542" s="11" t="str">
        <f>VLOOKUP(N542,Sheet3!$B$4:$C$10,2,1)</f>
        <v>41-50</v>
      </c>
      <c r="AN542" s="13" t="str">
        <f>VLOOKUP(Z542,Sheet3!$F$4:$G$10,2,1)</f>
        <v>21-30</v>
      </c>
      <c r="AO542" s="5" t="str">
        <f>VLOOKUP(AA542,Sheet3!$I$3:$J$16,2,1)</f>
        <v>60000-80000</v>
      </c>
      <c r="AP542" s="5" t="str">
        <f>VLOOKUP(AB542,Sheet3!$L$4:$M$14,2,1)</f>
        <v>16% - 20%</v>
      </c>
    </row>
    <row r="543">
      <c r="A543" s="6">
        <v>251640.0</v>
      </c>
      <c r="B543" s="1" t="s">
        <v>109</v>
      </c>
      <c r="C543" s="1" t="s">
        <v>1203</v>
      </c>
      <c r="D543" s="1" t="s">
        <v>360</v>
      </c>
      <c r="E543" s="1" t="s">
        <v>2790</v>
      </c>
      <c r="F543" s="1" t="s">
        <v>46</v>
      </c>
      <c r="G543" s="1" t="s">
        <v>5788</v>
      </c>
      <c r="H543" s="1" t="s">
        <v>4643</v>
      </c>
      <c r="I543" s="1" t="s">
        <v>5789</v>
      </c>
      <c r="J543" s="1" t="s">
        <v>5790</v>
      </c>
      <c r="K543" s="1" t="s">
        <v>2841</v>
      </c>
      <c r="L543" s="9">
        <v>25617.0</v>
      </c>
      <c r="M543" s="8">
        <v>0.9900810185185185</v>
      </c>
      <c r="N543" s="6">
        <v>47.47</v>
      </c>
      <c r="O543" s="6">
        <v>50.0</v>
      </c>
      <c r="P543" s="9">
        <v>34875.0</v>
      </c>
      <c r="Q543" s="1" t="s">
        <v>75</v>
      </c>
      <c r="R543" s="1" t="s">
        <v>76</v>
      </c>
      <c r="S543" s="6">
        <v>1995.0</v>
      </c>
      <c r="T543" s="6">
        <v>6.0</v>
      </c>
      <c r="U543" s="1" t="s">
        <v>324</v>
      </c>
      <c r="V543" s="1" t="s">
        <v>325</v>
      </c>
      <c r="W543" s="6">
        <v>25.0</v>
      </c>
      <c r="X543" s="1" t="s">
        <v>534</v>
      </c>
      <c r="Y543" s="1" t="s">
        <v>535</v>
      </c>
      <c r="Z543" s="6">
        <v>22.11</v>
      </c>
      <c r="AA543" s="6">
        <v>112635.0</v>
      </c>
      <c r="AB543" s="10">
        <v>0.02</v>
      </c>
      <c r="AC543" s="1" t="s">
        <v>5791</v>
      </c>
      <c r="AD543" s="1" t="s">
        <v>5792</v>
      </c>
      <c r="AE543" s="1" t="s">
        <v>5053</v>
      </c>
      <c r="AF543" s="1" t="s">
        <v>487</v>
      </c>
      <c r="AG543" s="1" t="s">
        <v>5053</v>
      </c>
      <c r="AH543" s="1" t="s">
        <v>196</v>
      </c>
      <c r="AI543" s="6">
        <v>38544.0</v>
      </c>
      <c r="AJ543" s="1" t="s">
        <v>106</v>
      </c>
      <c r="AK543" s="1" t="s">
        <v>5793</v>
      </c>
      <c r="AL543" s="1" t="s">
        <v>5794</v>
      </c>
      <c r="AM543" s="11" t="str">
        <f>VLOOKUP(N543,Sheet3!$B$4:$C$10,2,1)</f>
        <v>41-50</v>
      </c>
      <c r="AN543" s="13" t="str">
        <f>VLOOKUP(Z543,Sheet3!$F$4:$G$10,2,1)</f>
        <v>21-30</v>
      </c>
      <c r="AO543" s="5" t="str">
        <f>VLOOKUP(AA543,Sheet3!$I$3:$J$16,2,1)</f>
        <v>100000-120000</v>
      </c>
      <c r="AP543" s="5" t="str">
        <f>VLOOKUP(AB543,Sheet3!$L$4:$M$14,2,1)</f>
        <v>&lt; 5%</v>
      </c>
    </row>
    <row r="544">
      <c r="A544" s="6">
        <v>588702.0</v>
      </c>
      <c r="B544" s="1" t="s">
        <v>42</v>
      </c>
      <c r="C544" s="1" t="s">
        <v>819</v>
      </c>
      <c r="D544" s="1" t="s">
        <v>257</v>
      </c>
      <c r="E544" s="1" t="s">
        <v>1398</v>
      </c>
      <c r="F544" s="1" t="s">
        <v>46</v>
      </c>
      <c r="G544" s="1" t="s">
        <v>5795</v>
      </c>
      <c r="H544" s="1" t="s">
        <v>4643</v>
      </c>
      <c r="I544" s="1" t="s">
        <v>5796</v>
      </c>
      <c r="J544" s="1" t="s">
        <v>5797</v>
      </c>
      <c r="K544" s="1" t="s">
        <v>5798</v>
      </c>
      <c r="L544" s="9">
        <v>26371.0</v>
      </c>
      <c r="M544" s="8">
        <v>0.9048611111111111</v>
      </c>
      <c r="N544" s="6">
        <v>45.41</v>
      </c>
      <c r="O544" s="6">
        <v>48.0</v>
      </c>
      <c r="P544" s="9">
        <v>38163.0</v>
      </c>
      <c r="Q544" s="1" t="s">
        <v>75</v>
      </c>
      <c r="R544" s="1" t="s">
        <v>76</v>
      </c>
      <c r="S544" s="6">
        <v>2004.0</v>
      </c>
      <c r="T544" s="6">
        <v>6.0</v>
      </c>
      <c r="U544" s="1" t="s">
        <v>324</v>
      </c>
      <c r="V544" s="1" t="s">
        <v>325</v>
      </c>
      <c r="W544" s="6">
        <v>25.0</v>
      </c>
      <c r="X544" s="1" t="s">
        <v>263</v>
      </c>
      <c r="Y544" s="1" t="s">
        <v>264</v>
      </c>
      <c r="Z544" s="6">
        <v>13.1</v>
      </c>
      <c r="AA544" s="6">
        <v>160196.0</v>
      </c>
      <c r="AB544" s="10">
        <v>0.25</v>
      </c>
      <c r="AC544" s="1" t="s">
        <v>5799</v>
      </c>
      <c r="AD544" s="1" t="s">
        <v>5800</v>
      </c>
      <c r="AE544" s="1" t="s">
        <v>5801</v>
      </c>
      <c r="AF544" s="1" t="s">
        <v>5802</v>
      </c>
      <c r="AG544" s="1" t="s">
        <v>5801</v>
      </c>
      <c r="AH544" s="1" t="s">
        <v>2028</v>
      </c>
      <c r="AI544" s="6">
        <v>85925.0</v>
      </c>
      <c r="AJ544" s="1" t="s">
        <v>63</v>
      </c>
      <c r="AK544" s="1" t="s">
        <v>5803</v>
      </c>
      <c r="AL544" s="1" t="s">
        <v>5804</v>
      </c>
      <c r="AM544" s="11" t="str">
        <f>VLOOKUP(N544,Sheet3!$B$4:$C$10,2,1)</f>
        <v>41-50</v>
      </c>
      <c r="AN544" s="12" t="str">
        <f>VLOOKUP(Z544,Sheet3!$F$4:$G$10,2,1)</f>
        <v>11-20</v>
      </c>
      <c r="AO544" s="5" t="str">
        <f>VLOOKUP(AA544,Sheet3!$I$3:$J$16,2,1)</f>
        <v>160000-180000</v>
      </c>
      <c r="AP544" s="5" t="str">
        <f>VLOOKUP(AB544,Sheet3!$L$4:$M$14,2,1)</f>
        <v>21% - 25%</v>
      </c>
    </row>
    <row r="545">
      <c r="A545" s="6">
        <v>707453.0</v>
      </c>
      <c r="B545" s="1" t="s">
        <v>66</v>
      </c>
      <c r="C545" s="1" t="s">
        <v>1369</v>
      </c>
      <c r="D545" s="1" t="s">
        <v>46</v>
      </c>
      <c r="E545" s="1" t="s">
        <v>1664</v>
      </c>
      <c r="F545" s="1" t="s">
        <v>70</v>
      </c>
      <c r="G545" s="1" t="s">
        <v>5805</v>
      </c>
      <c r="H545" s="1" t="s">
        <v>5806</v>
      </c>
      <c r="I545" s="1" t="s">
        <v>5807</v>
      </c>
      <c r="J545" s="1" t="s">
        <v>5808</v>
      </c>
      <c r="K545" s="1" t="s">
        <v>2113</v>
      </c>
      <c r="L545" s="14">
        <v>24355.0</v>
      </c>
      <c r="M545" s="8">
        <v>0.5826041666666667</v>
      </c>
      <c r="N545" s="6">
        <v>50.93</v>
      </c>
      <c r="O545" s="6">
        <v>52.0</v>
      </c>
      <c r="P545" s="9">
        <v>34777.0</v>
      </c>
      <c r="Q545" s="1" t="s">
        <v>96</v>
      </c>
      <c r="R545" s="1" t="s">
        <v>76</v>
      </c>
      <c r="S545" s="6">
        <v>1995.0</v>
      </c>
      <c r="T545" s="6">
        <v>3.0</v>
      </c>
      <c r="U545" s="1" t="s">
        <v>97</v>
      </c>
      <c r="V545" s="1" t="s">
        <v>98</v>
      </c>
      <c r="W545" s="6">
        <v>19.0</v>
      </c>
      <c r="X545" s="1" t="s">
        <v>534</v>
      </c>
      <c r="Y545" s="1" t="s">
        <v>535</v>
      </c>
      <c r="Z545" s="6">
        <v>22.38</v>
      </c>
      <c r="AA545" s="6">
        <v>155903.0</v>
      </c>
      <c r="AB545" s="10">
        <v>0.02</v>
      </c>
      <c r="AC545" s="1" t="s">
        <v>5809</v>
      </c>
      <c r="AD545" s="1" t="s">
        <v>5810</v>
      </c>
      <c r="AE545" s="1" t="s">
        <v>5811</v>
      </c>
      <c r="AF545" s="1" t="s">
        <v>5811</v>
      </c>
      <c r="AG545" s="1" t="s">
        <v>5811</v>
      </c>
      <c r="AH545" s="1" t="s">
        <v>105</v>
      </c>
      <c r="AI545" s="6">
        <v>41829.0</v>
      </c>
      <c r="AJ545" s="1" t="s">
        <v>106</v>
      </c>
      <c r="AK545" s="1" t="s">
        <v>5812</v>
      </c>
      <c r="AL545" s="1" t="s">
        <v>5813</v>
      </c>
      <c r="AM545" s="11" t="str">
        <f>VLOOKUP(N545,Sheet3!$B$4:$C$10,2,1)</f>
        <v>41-50</v>
      </c>
      <c r="AN545" s="13" t="str">
        <f>VLOOKUP(Z545,Sheet3!$F$4:$G$10,2,1)</f>
        <v>21-30</v>
      </c>
      <c r="AO545" s="5" t="str">
        <f>VLOOKUP(AA545,Sheet3!$I$3:$J$16,2,1)</f>
        <v>140000-160000</v>
      </c>
      <c r="AP545" s="5" t="str">
        <f>VLOOKUP(AB545,Sheet3!$L$4:$M$14,2,1)</f>
        <v>&lt; 5%</v>
      </c>
    </row>
    <row r="546">
      <c r="A546" s="6">
        <v>239168.0</v>
      </c>
      <c r="B546" s="1" t="s">
        <v>89</v>
      </c>
      <c r="C546" s="1" t="s">
        <v>5814</v>
      </c>
      <c r="D546" s="1" t="s">
        <v>68</v>
      </c>
      <c r="E546" s="1" t="s">
        <v>4977</v>
      </c>
      <c r="F546" s="1" t="s">
        <v>46</v>
      </c>
      <c r="G546" s="1" t="s">
        <v>5815</v>
      </c>
      <c r="H546" s="1" t="s">
        <v>5806</v>
      </c>
      <c r="I546" s="1" t="s">
        <v>5816</v>
      </c>
      <c r="J546" s="1" t="s">
        <v>5817</v>
      </c>
      <c r="K546" s="1" t="s">
        <v>2402</v>
      </c>
      <c r="L546" s="9">
        <v>33815.0</v>
      </c>
      <c r="M546" s="8">
        <v>0.9314699074074074</v>
      </c>
      <c r="N546" s="6">
        <v>25.01</v>
      </c>
      <c r="O546" s="6">
        <v>46.0</v>
      </c>
      <c r="P546" s="9">
        <v>42634.0</v>
      </c>
      <c r="Q546" s="1" t="s">
        <v>308</v>
      </c>
      <c r="R546" s="1" t="s">
        <v>53</v>
      </c>
      <c r="S546" s="6">
        <v>2016.0</v>
      </c>
      <c r="T546" s="6">
        <v>9.0</v>
      </c>
      <c r="U546" s="1" t="s">
        <v>309</v>
      </c>
      <c r="V546" s="1" t="s">
        <v>310</v>
      </c>
      <c r="W546" s="6">
        <v>21.0</v>
      </c>
      <c r="X546" s="1" t="s">
        <v>278</v>
      </c>
      <c r="Y546" s="1" t="s">
        <v>279</v>
      </c>
      <c r="Z546" s="6">
        <v>0.85</v>
      </c>
      <c r="AA546" s="6">
        <v>183618.0</v>
      </c>
      <c r="AB546" s="10">
        <v>0.21</v>
      </c>
      <c r="AC546" s="1" t="s">
        <v>5818</v>
      </c>
      <c r="AD546" s="1" t="s">
        <v>5819</v>
      </c>
      <c r="AE546" s="1" t="s">
        <v>5820</v>
      </c>
      <c r="AF546" s="1" t="s">
        <v>5821</v>
      </c>
      <c r="AG546" s="1" t="s">
        <v>5820</v>
      </c>
      <c r="AH546" s="1" t="s">
        <v>169</v>
      </c>
      <c r="AI546" s="6">
        <v>77650.0</v>
      </c>
      <c r="AJ546" s="1" t="s">
        <v>106</v>
      </c>
      <c r="AK546" s="1" t="s">
        <v>5822</v>
      </c>
      <c r="AL546" s="1" t="s">
        <v>5823</v>
      </c>
      <c r="AM546" s="11" t="str">
        <f>VLOOKUP(N546,Sheet3!$B$4:$C$10,2,1)</f>
        <v>21-30</v>
      </c>
      <c r="AN546" s="13" t="str">
        <f>VLOOKUP(Z546,Sheet3!$F$4:$G$10,2,1)</f>
        <v>&lt; 5</v>
      </c>
      <c r="AO546" s="5" t="str">
        <f>VLOOKUP(AA546,Sheet3!$I$3:$J$16,2,1)</f>
        <v>180000-200000</v>
      </c>
      <c r="AP546" s="5" t="str">
        <f>VLOOKUP(AB546,Sheet3!$L$4:$M$14,2,1)</f>
        <v>21% - 25%</v>
      </c>
    </row>
    <row r="547">
      <c r="A547" s="6">
        <v>146790.0</v>
      </c>
      <c r="B547" s="1" t="s">
        <v>125</v>
      </c>
      <c r="C547" s="1" t="s">
        <v>5824</v>
      </c>
      <c r="D547" s="1" t="s">
        <v>70</v>
      </c>
      <c r="E547" s="1" t="s">
        <v>5226</v>
      </c>
      <c r="F547" s="1" t="s">
        <v>46</v>
      </c>
      <c r="G547" s="1" t="s">
        <v>5825</v>
      </c>
      <c r="H547" s="1" t="s">
        <v>5806</v>
      </c>
      <c r="I547" s="1" t="s">
        <v>5826</v>
      </c>
      <c r="J547" s="1" t="s">
        <v>5827</v>
      </c>
      <c r="K547" s="1" t="s">
        <v>1963</v>
      </c>
      <c r="L547" s="9">
        <v>32810.0</v>
      </c>
      <c r="M547" s="8">
        <v>0.0012152777777777778</v>
      </c>
      <c r="N547" s="6">
        <v>27.76</v>
      </c>
      <c r="O547" s="6">
        <v>42.0</v>
      </c>
      <c r="P547" s="9">
        <v>40511.0</v>
      </c>
      <c r="Q547" s="1" t="s">
        <v>52</v>
      </c>
      <c r="R547" s="1" t="s">
        <v>53</v>
      </c>
      <c r="S547" s="6">
        <v>2010.0</v>
      </c>
      <c r="T547" s="6">
        <v>11.0</v>
      </c>
      <c r="U547" s="1" t="s">
        <v>148</v>
      </c>
      <c r="V547" s="1" t="s">
        <v>149</v>
      </c>
      <c r="W547" s="6">
        <v>29.0</v>
      </c>
      <c r="X547" s="1" t="s">
        <v>99</v>
      </c>
      <c r="Y547" s="1" t="s">
        <v>100</v>
      </c>
      <c r="Z547" s="6">
        <v>6.67</v>
      </c>
      <c r="AA547" s="6">
        <v>45969.0</v>
      </c>
      <c r="AB547" s="10">
        <v>0.18</v>
      </c>
      <c r="AC547" s="1" t="s">
        <v>5828</v>
      </c>
      <c r="AD547" s="1" t="s">
        <v>5829</v>
      </c>
      <c r="AE547" s="1" t="s">
        <v>5830</v>
      </c>
      <c r="AF547" s="1" t="s">
        <v>5831</v>
      </c>
      <c r="AG547" s="1" t="s">
        <v>5830</v>
      </c>
      <c r="AH547" s="1" t="s">
        <v>1605</v>
      </c>
      <c r="AI547" s="6">
        <v>58374.0</v>
      </c>
      <c r="AJ547" s="1" t="s">
        <v>86</v>
      </c>
      <c r="AK547" s="1" t="s">
        <v>5832</v>
      </c>
      <c r="AL547" s="1" t="s">
        <v>5833</v>
      </c>
      <c r="AM547" s="11" t="str">
        <f>VLOOKUP(N547,Sheet3!$B$4:$C$10,2,1)</f>
        <v>21-30</v>
      </c>
      <c r="AN547" s="12" t="str">
        <f>VLOOKUP(Z547,Sheet3!$F$4:$G$10,2,1)</f>
        <v>5-10</v>
      </c>
      <c r="AO547" s="5" t="str">
        <f>VLOOKUP(AA547,Sheet3!$I$3:$J$16,2,1)</f>
        <v>40000-60000</v>
      </c>
      <c r="AP547" s="5" t="str">
        <f>VLOOKUP(AB547,Sheet3!$L$4:$M$14,2,1)</f>
        <v>16% - 20%</v>
      </c>
    </row>
    <row r="548">
      <c r="A548" s="6">
        <v>637843.0</v>
      </c>
      <c r="B548" s="1" t="s">
        <v>42</v>
      </c>
      <c r="C548" s="1" t="s">
        <v>5834</v>
      </c>
      <c r="D548" s="1" t="s">
        <v>44</v>
      </c>
      <c r="E548" s="1" t="s">
        <v>5835</v>
      </c>
      <c r="F548" s="1" t="s">
        <v>46</v>
      </c>
      <c r="G548" s="1" t="s">
        <v>5836</v>
      </c>
      <c r="H548" s="1" t="s">
        <v>5806</v>
      </c>
      <c r="I548" s="1" t="s">
        <v>5837</v>
      </c>
      <c r="J548" s="1" t="s">
        <v>5838</v>
      </c>
      <c r="K548" s="1" t="s">
        <v>5839</v>
      </c>
      <c r="L548" s="9">
        <v>24274.0</v>
      </c>
      <c r="M548" s="8">
        <v>0.12315972222222223</v>
      </c>
      <c r="N548" s="6">
        <v>51.15</v>
      </c>
      <c r="O548" s="6">
        <v>40.0</v>
      </c>
      <c r="P548" s="14">
        <v>34101.0</v>
      </c>
      <c r="Q548" s="1" t="s">
        <v>75</v>
      </c>
      <c r="R548" s="1" t="s">
        <v>76</v>
      </c>
      <c r="S548" s="6">
        <v>1993.0</v>
      </c>
      <c r="T548" s="6">
        <v>5.0</v>
      </c>
      <c r="U548" s="1" t="s">
        <v>294</v>
      </c>
      <c r="V548" s="1" t="s">
        <v>294</v>
      </c>
      <c r="W548" s="6">
        <v>12.0</v>
      </c>
      <c r="X548" s="1" t="s">
        <v>278</v>
      </c>
      <c r="Y548" s="1" t="s">
        <v>279</v>
      </c>
      <c r="Z548" s="6">
        <v>24.23</v>
      </c>
      <c r="AA548" s="6">
        <v>172421.0</v>
      </c>
      <c r="AB548" s="10">
        <v>0.24</v>
      </c>
      <c r="AC548" s="1" t="s">
        <v>5840</v>
      </c>
      <c r="AD548" s="1" t="s">
        <v>5841</v>
      </c>
      <c r="AE548" s="1" t="s">
        <v>5842</v>
      </c>
      <c r="AF548" s="1" t="s">
        <v>5843</v>
      </c>
      <c r="AG548" s="1" t="s">
        <v>5842</v>
      </c>
      <c r="AH548" s="1" t="s">
        <v>475</v>
      </c>
      <c r="AI548" s="6">
        <v>59771.0</v>
      </c>
      <c r="AJ548" s="1" t="s">
        <v>63</v>
      </c>
      <c r="AK548" s="1" t="s">
        <v>5844</v>
      </c>
      <c r="AL548" s="1" t="s">
        <v>5845</v>
      </c>
      <c r="AM548" s="11" t="str">
        <f>VLOOKUP(N548,Sheet3!$B$4:$C$10,2,1)</f>
        <v>51-60</v>
      </c>
      <c r="AN548" s="13" t="str">
        <f>VLOOKUP(Z548,Sheet3!$F$4:$G$10,2,1)</f>
        <v>21-30</v>
      </c>
      <c r="AO548" s="5" t="str">
        <f>VLOOKUP(AA548,Sheet3!$I$3:$J$16,2,1)</f>
        <v>160000-180000</v>
      </c>
      <c r="AP548" s="5" t="str">
        <f>VLOOKUP(AB548,Sheet3!$L$4:$M$14,2,1)</f>
        <v>21% - 25%</v>
      </c>
    </row>
    <row r="549">
      <c r="A549" s="6">
        <v>689587.0</v>
      </c>
      <c r="B549" s="1" t="s">
        <v>42</v>
      </c>
      <c r="C549" s="1" t="s">
        <v>2289</v>
      </c>
      <c r="D549" s="1" t="s">
        <v>70</v>
      </c>
      <c r="E549" s="1" t="s">
        <v>1382</v>
      </c>
      <c r="F549" s="1" t="s">
        <v>46</v>
      </c>
      <c r="G549" s="1" t="s">
        <v>5846</v>
      </c>
      <c r="H549" s="1" t="s">
        <v>5806</v>
      </c>
      <c r="I549" s="1" t="s">
        <v>5847</v>
      </c>
      <c r="J549" s="1" t="s">
        <v>5848</v>
      </c>
      <c r="K549" s="1" t="s">
        <v>1600</v>
      </c>
      <c r="L549" s="14">
        <v>30416.0</v>
      </c>
      <c r="M549" s="8">
        <v>0.0996412037037037</v>
      </c>
      <c r="N549" s="6">
        <v>34.32</v>
      </c>
      <c r="O549" s="6">
        <v>40.0</v>
      </c>
      <c r="P549" s="9">
        <v>40992.0</v>
      </c>
      <c r="Q549" s="1" t="s">
        <v>96</v>
      </c>
      <c r="R549" s="1" t="s">
        <v>76</v>
      </c>
      <c r="S549" s="6">
        <v>2012.0</v>
      </c>
      <c r="T549" s="6">
        <v>3.0</v>
      </c>
      <c r="U549" s="1" t="s">
        <v>97</v>
      </c>
      <c r="V549" s="1" t="s">
        <v>98</v>
      </c>
      <c r="W549" s="6">
        <v>24.0</v>
      </c>
      <c r="X549" s="1" t="s">
        <v>56</v>
      </c>
      <c r="Y549" s="1" t="s">
        <v>57</v>
      </c>
      <c r="Z549" s="6">
        <v>5.35</v>
      </c>
      <c r="AA549" s="6">
        <v>82550.0</v>
      </c>
      <c r="AB549" s="10">
        <v>0.3</v>
      </c>
      <c r="AC549" s="1" t="s">
        <v>5849</v>
      </c>
      <c r="AD549" s="1" t="s">
        <v>5850</v>
      </c>
      <c r="AE549" s="1" t="s">
        <v>137</v>
      </c>
      <c r="AF549" s="1" t="s">
        <v>1911</v>
      </c>
      <c r="AG549" s="1" t="s">
        <v>137</v>
      </c>
      <c r="AH549" s="1" t="s">
        <v>122</v>
      </c>
      <c r="AI549" s="6">
        <v>47849.0</v>
      </c>
      <c r="AJ549" s="1" t="s">
        <v>86</v>
      </c>
      <c r="AK549" s="1" t="s">
        <v>5851</v>
      </c>
      <c r="AL549" s="1" t="s">
        <v>5852</v>
      </c>
      <c r="AM549" s="11" t="str">
        <f>VLOOKUP(N549,Sheet3!$B$4:$C$10,2,1)</f>
        <v>31-40</v>
      </c>
      <c r="AN549" s="12" t="str">
        <f>VLOOKUP(Z549,Sheet3!$F$4:$G$10,2,1)</f>
        <v>5-10</v>
      </c>
      <c r="AO549" s="5" t="str">
        <f>VLOOKUP(AA549,Sheet3!$I$3:$J$16,2,1)</f>
        <v>80000-100000</v>
      </c>
      <c r="AP549" s="5" t="str">
        <f>VLOOKUP(AB549,Sheet3!$L$4:$M$14,2,1)</f>
        <v>26% - 30%</v>
      </c>
    </row>
    <row r="550">
      <c r="A550" s="6">
        <v>126316.0</v>
      </c>
      <c r="B550" s="1" t="s">
        <v>109</v>
      </c>
      <c r="C550" s="1" t="s">
        <v>5853</v>
      </c>
      <c r="D550" s="1" t="s">
        <v>683</v>
      </c>
      <c r="E550" s="1" t="s">
        <v>2479</v>
      </c>
      <c r="F550" s="1" t="s">
        <v>46</v>
      </c>
      <c r="G550" s="1" t="s">
        <v>5854</v>
      </c>
      <c r="H550" s="1" t="s">
        <v>5806</v>
      </c>
      <c r="I550" s="1" t="s">
        <v>5855</v>
      </c>
      <c r="J550" s="1" t="s">
        <v>5856</v>
      </c>
      <c r="K550" s="1" t="s">
        <v>4809</v>
      </c>
      <c r="L550" s="9">
        <v>27989.0</v>
      </c>
      <c r="M550" s="8">
        <v>0.7918287037037037</v>
      </c>
      <c r="N550" s="6">
        <v>40.97</v>
      </c>
      <c r="O550" s="6">
        <v>50.0</v>
      </c>
      <c r="P550" s="9">
        <v>40231.0</v>
      </c>
      <c r="Q550" s="1" t="s">
        <v>96</v>
      </c>
      <c r="R550" s="1" t="s">
        <v>76</v>
      </c>
      <c r="S550" s="6">
        <v>2010.0</v>
      </c>
      <c r="T550" s="6">
        <v>2.0</v>
      </c>
      <c r="U550" s="1" t="s">
        <v>117</v>
      </c>
      <c r="V550" s="1" t="s">
        <v>118</v>
      </c>
      <c r="W550" s="6">
        <v>22.0</v>
      </c>
      <c r="X550" s="1" t="s">
        <v>99</v>
      </c>
      <c r="Y550" s="1" t="s">
        <v>100</v>
      </c>
      <c r="Z550" s="6">
        <v>7.43</v>
      </c>
      <c r="AA550" s="6">
        <v>73715.0</v>
      </c>
      <c r="AB550" s="10">
        <v>0.17</v>
      </c>
      <c r="AC550" s="1" t="s">
        <v>5857</v>
      </c>
      <c r="AD550" s="1" t="s">
        <v>5858</v>
      </c>
      <c r="AE550" s="1" t="s">
        <v>5859</v>
      </c>
      <c r="AF550" s="1" t="s">
        <v>5860</v>
      </c>
      <c r="AG550" s="1" t="s">
        <v>5859</v>
      </c>
      <c r="AH550" s="1" t="s">
        <v>1638</v>
      </c>
      <c r="AI550" s="6">
        <v>57778.0</v>
      </c>
      <c r="AJ550" s="1" t="s">
        <v>86</v>
      </c>
      <c r="AK550" s="1" t="s">
        <v>5861</v>
      </c>
      <c r="AL550" s="1" t="s">
        <v>5862</v>
      </c>
      <c r="AM550" s="11" t="str">
        <f>VLOOKUP(N550,Sheet3!$B$4:$C$10,2,1)</f>
        <v>31-40</v>
      </c>
      <c r="AN550" s="12" t="str">
        <f>VLOOKUP(Z550,Sheet3!$F$4:$G$10,2,1)</f>
        <v>5-10</v>
      </c>
      <c r="AO550" s="5" t="str">
        <f>VLOOKUP(AA550,Sheet3!$I$3:$J$16,2,1)</f>
        <v>60000-80000</v>
      </c>
      <c r="AP550" s="5" t="str">
        <f>VLOOKUP(AB550,Sheet3!$L$4:$M$14,2,1)</f>
        <v>16% - 20%</v>
      </c>
    </row>
    <row r="551">
      <c r="A551" s="6">
        <v>318026.0</v>
      </c>
      <c r="B551" s="1" t="s">
        <v>42</v>
      </c>
      <c r="C551" s="1" t="s">
        <v>5863</v>
      </c>
      <c r="D551" s="1" t="s">
        <v>242</v>
      </c>
      <c r="E551" s="1" t="s">
        <v>5864</v>
      </c>
      <c r="F551" s="1" t="s">
        <v>46</v>
      </c>
      <c r="G551" s="1" t="s">
        <v>5865</v>
      </c>
      <c r="H551" s="1" t="s">
        <v>5806</v>
      </c>
      <c r="I551" s="1" t="s">
        <v>5866</v>
      </c>
      <c r="J551" s="1" t="s">
        <v>5867</v>
      </c>
      <c r="K551" s="1" t="s">
        <v>4891</v>
      </c>
      <c r="L551" s="14">
        <v>34884.0</v>
      </c>
      <c r="M551" s="8">
        <v>0.28225694444444444</v>
      </c>
      <c r="N551" s="6">
        <v>22.08</v>
      </c>
      <c r="O551" s="6">
        <v>50.0</v>
      </c>
      <c r="P551" s="9">
        <v>42582.0</v>
      </c>
      <c r="Q551" s="1" t="s">
        <v>308</v>
      </c>
      <c r="R551" s="1" t="s">
        <v>53</v>
      </c>
      <c r="S551" s="6">
        <v>2016.0</v>
      </c>
      <c r="T551" s="6">
        <v>7.0</v>
      </c>
      <c r="U551" s="1" t="s">
        <v>366</v>
      </c>
      <c r="V551" s="1" t="s">
        <v>367</v>
      </c>
      <c r="W551" s="6">
        <v>31.0</v>
      </c>
      <c r="X551" s="1" t="s">
        <v>534</v>
      </c>
      <c r="Y551" s="1" t="s">
        <v>535</v>
      </c>
      <c r="Z551" s="6">
        <v>0.99</v>
      </c>
      <c r="AA551" s="6">
        <v>125562.0</v>
      </c>
      <c r="AB551" s="10">
        <v>0.09</v>
      </c>
      <c r="AC551" s="1" t="s">
        <v>5868</v>
      </c>
      <c r="AD551" s="1" t="s">
        <v>5869</v>
      </c>
      <c r="AE551" s="1" t="s">
        <v>5870</v>
      </c>
      <c r="AF551" s="1" t="s">
        <v>5870</v>
      </c>
      <c r="AG551" s="1" t="s">
        <v>5870</v>
      </c>
      <c r="AH551" s="1" t="s">
        <v>156</v>
      </c>
      <c r="AI551" s="6">
        <v>23042.0</v>
      </c>
      <c r="AJ551" s="1" t="s">
        <v>106</v>
      </c>
      <c r="AK551" s="1" t="s">
        <v>5871</v>
      </c>
      <c r="AL551" s="1" t="s">
        <v>5872</v>
      </c>
      <c r="AM551" s="11" t="str">
        <f>VLOOKUP(N551,Sheet3!$B$4:$C$10,2,1)</f>
        <v>21-30</v>
      </c>
      <c r="AN551" s="13" t="str">
        <f>VLOOKUP(Z551,Sheet3!$F$4:$G$10,2,1)</f>
        <v>&lt; 5</v>
      </c>
      <c r="AO551" s="5" t="str">
        <f>VLOOKUP(AA551,Sheet3!$I$3:$J$16,2,1)</f>
        <v>120000-140000</v>
      </c>
      <c r="AP551" s="5" t="str">
        <f>VLOOKUP(AB551,Sheet3!$L$4:$M$14,2,1)</f>
        <v>5% - 10%</v>
      </c>
    </row>
    <row r="552">
      <c r="A552" s="6">
        <v>848311.0</v>
      </c>
      <c r="B552" s="1" t="s">
        <v>109</v>
      </c>
      <c r="C552" s="1" t="s">
        <v>5873</v>
      </c>
      <c r="D552" s="1" t="s">
        <v>334</v>
      </c>
      <c r="E552" s="1" t="s">
        <v>5874</v>
      </c>
      <c r="F552" s="1" t="s">
        <v>46</v>
      </c>
      <c r="G552" s="1" t="s">
        <v>5875</v>
      </c>
      <c r="H552" s="1" t="s">
        <v>5806</v>
      </c>
      <c r="I552" s="1" t="s">
        <v>5876</v>
      </c>
      <c r="J552" s="1" t="s">
        <v>5877</v>
      </c>
      <c r="K552" s="1" t="s">
        <v>795</v>
      </c>
      <c r="L552" s="9">
        <v>21052.0</v>
      </c>
      <c r="M552" s="8">
        <v>0.005069444444444444</v>
      </c>
      <c r="N552" s="6">
        <v>59.98</v>
      </c>
      <c r="O552" s="6">
        <v>44.0</v>
      </c>
      <c r="P552" s="9">
        <v>34872.0</v>
      </c>
      <c r="Q552" s="1" t="s">
        <v>75</v>
      </c>
      <c r="R552" s="1" t="s">
        <v>76</v>
      </c>
      <c r="S552" s="6">
        <v>1995.0</v>
      </c>
      <c r="T552" s="6">
        <v>6.0</v>
      </c>
      <c r="U552" s="1" t="s">
        <v>324</v>
      </c>
      <c r="V552" s="1" t="s">
        <v>325</v>
      </c>
      <c r="W552" s="6">
        <v>22.0</v>
      </c>
      <c r="X552" s="1" t="s">
        <v>150</v>
      </c>
      <c r="Y552" s="1" t="s">
        <v>151</v>
      </c>
      <c r="Z552" s="6">
        <v>22.12</v>
      </c>
      <c r="AA552" s="6">
        <v>83996.0</v>
      </c>
      <c r="AB552" s="10">
        <v>0.26</v>
      </c>
      <c r="AC552" s="1" t="s">
        <v>5878</v>
      </c>
      <c r="AD552" s="1" t="s">
        <v>5879</v>
      </c>
      <c r="AE552" s="1" t="s">
        <v>5880</v>
      </c>
      <c r="AF552" s="1" t="s">
        <v>5881</v>
      </c>
      <c r="AG552" s="1" t="s">
        <v>5880</v>
      </c>
      <c r="AH552" s="1" t="s">
        <v>1972</v>
      </c>
      <c r="AI552" s="6">
        <v>84620.0</v>
      </c>
      <c r="AJ552" s="1" t="s">
        <v>63</v>
      </c>
      <c r="AK552" s="1" t="s">
        <v>5882</v>
      </c>
      <c r="AL552" s="1" t="s">
        <v>5883</v>
      </c>
      <c r="AM552" s="11" t="str">
        <f>VLOOKUP(N552,Sheet3!$B$4:$C$10,2,1)</f>
        <v>51-60</v>
      </c>
      <c r="AN552" s="13" t="str">
        <f>VLOOKUP(Z552,Sheet3!$F$4:$G$10,2,1)</f>
        <v>21-30</v>
      </c>
      <c r="AO552" s="5" t="str">
        <f>VLOOKUP(AA552,Sheet3!$I$3:$J$16,2,1)</f>
        <v>80000-100000</v>
      </c>
      <c r="AP552" s="5" t="str">
        <f>VLOOKUP(AB552,Sheet3!$L$4:$M$14,2,1)</f>
        <v>26% - 30%</v>
      </c>
    </row>
    <row r="553">
      <c r="A553" s="6">
        <v>774548.0</v>
      </c>
      <c r="B553" s="1" t="s">
        <v>42</v>
      </c>
      <c r="C553" s="1" t="s">
        <v>779</v>
      </c>
      <c r="D553" s="1" t="s">
        <v>466</v>
      </c>
      <c r="E553" s="1" t="s">
        <v>5884</v>
      </c>
      <c r="F553" s="1" t="s">
        <v>46</v>
      </c>
      <c r="G553" s="1" t="s">
        <v>5885</v>
      </c>
      <c r="H553" s="1" t="s">
        <v>5806</v>
      </c>
      <c r="I553" s="1" t="s">
        <v>5886</v>
      </c>
      <c r="J553" s="1" t="s">
        <v>5887</v>
      </c>
      <c r="K553" s="1" t="s">
        <v>5888</v>
      </c>
      <c r="L553" s="9">
        <v>32128.0</v>
      </c>
      <c r="M553" s="8">
        <v>0.7398148148148148</v>
      </c>
      <c r="N553" s="6">
        <v>29.63</v>
      </c>
      <c r="O553" s="6">
        <v>56.0</v>
      </c>
      <c r="P553" s="9">
        <v>40587.0</v>
      </c>
      <c r="Q553" s="1" t="s">
        <v>96</v>
      </c>
      <c r="R553" s="1" t="s">
        <v>76</v>
      </c>
      <c r="S553" s="6">
        <v>2011.0</v>
      </c>
      <c r="T553" s="6">
        <v>2.0</v>
      </c>
      <c r="U553" s="1" t="s">
        <v>117</v>
      </c>
      <c r="V553" s="1" t="s">
        <v>118</v>
      </c>
      <c r="W553" s="6">
        <v>13.0</v>
      </c>
      <c r="X553" s="1" t="s">
        <v>534</v>
      </c>
      <c r="Y553" s="1" t="s">
        <v>535</v>
      </c>
      <c r="Z553" s="6">
        <v>6.46</v>
      </c>
      <c r="AA553" s="6">
        <v>96768.0</v>
      </c>
      <c r="AB553" s="10">
        <v>0.16</v>
      </c>
      <c r="AC553" s="1" t="s">
        <v>5889</v>
      </c>
      <c r="AD553" s="1" t="s">
        <v>5890</v>
      </c>
      <c r="AE553" s="1" t="s">
        <v>5891</v>
      </c>
      <c r="AF553" s="1" t="s">
        <v>138</v>
      </c>
      <c r="AG553" s="1" t="s">
        <v>5891</v>
      </c>
      <c r="AH553" s="1" t="s">
        <v>139</v>
      </c>
      <c r="AI553" s="6">
        <v>99705.0</v>
      </c>
      <c r="AJ553" s="1" t="s">
        <v>63</v>
      </c>
      <c r="AK553" s="1" t="s">
        <v>5892</v>
      </c>
      <c r="AL553" s="1" t="s">
        <v>5893</v>
      </c>
      <c r="AM553" s="11" t="str">
        <f>VLOOKUP(N553,Sheet3!$B$4:$C$10,2,1)</f>
        <v>21-30</v>
      </c>
      <c r="AN553" s="12" t="str">
        <f>VLOOKUP(Z553,Sheet3!$F$4:$G$10,2,1)</f>
        <v>5-10</v>
      </c>
      <c r="AO553" s="5" t="str">
        <f>VLOOKUP(AA553,Sheet3!$I$3:$J$16,2,1)</f>
        <v>80000-100000</v>
      </c>
      <c r="AP553" s="5" t="str">
        <f>VLOOKUP(AB553,Sheet3!$L$4:$M$14,2,1)</f>
        <v>16% - 20%</v>
      </c>
    </row>
    <row r="554">
      <c r="A554" s="6">
        <v>611233.0</v>
      </c>
      <c r="B554" s="1" t="s">
        <v>42</v>
      </c>
      <c r="C554" s="1" t="s">
        <v>5894</v>
      </c>
      <c r="D554" s="1" t="s">
        <v>1663</v>
      </c>
      <c r="E554" s="1" t="s">
        <v>982</v>
      </c>
      <c r="F554" s="1" t="s">
        <v>46</v>
      </c>
      <c r="G554" s="1" t="s">
        <v>5895</v>
      </c>
      <c r="H554" s="1" t="s">
        <v>5806</v>
      </c>
      <c r="I554" s="1" t="s">
        <v>5896</v>
      </c>
      <c r="J554" s="1" t="s">
        <v>5897</v>
      </c>
      <c r="K554" s="1" t="s">
        <v>5898</v>
      </c>
      <c r="L554" s="14">
        <v>35068.0</v>
      </c>
      <c r="M554" s="8">
        <v>0.20171296296296296</v>
      </c>
      <c r="N554" s="6">
        <v>21.58</v>
      </c>
      <c r="O554" s="6">
        <v>48.0</v>
      </c>
      <c r="P554" s="9">
        <v>42788.0</v>
      </c>
      <c r="Q554" s="1" t="s">
        <v>96</v>
      </c>
      <c r="R554" s="1" t="s">
        <v>76</v>
      </c>
      <c r="S554" s="6">
        <v>2017.0</v>
      </c>
      <c r="T554" s="6">
        <v>2.0</v>
      </c>
      <c r="U554" s="1" t="s">
        <v>117</v>
      </c>
      <c r="V554" s="1" t="s">
        <v>118</v>
      </c>
      <c r="W554" s="6">
        <v>22.0</v>
      </c>
      <c r="X554" s="1" t="s">
        <v>278</v>
      </c>
      <c r="Y554" s="1" t="s">
        <v>279</v>
      </c>
      <c r="Z554" s="6">
        <v>0.43</v>
      </c>
      <c r="AA554" s="6">
        <v>184223.0</v>
      </c>
      <c r="AB554" s="10">
        <v>0.07</v>
      </c>
      <c r="AC554" s="1" t="s">
        <v>5899</v>
      </c>
      <c r="AD554" s="1" t="s">
        <v>5900</v>
      </c>
      <c r="AE554" s="1" t="s">
        <v>5901</v>
      </c>
      <c r="AF554" s="1" t="s">
        <v>5902</v>
      </c>
      <c r="AG554" s="1" t="s">
        <v>5901</v>
      </c>
      <c r="AH554" s="1" t="s">
        <v>1079</v>
      </c>
      <c r="AI554" s="6">
        <v>83676.0</v>
      </c>
      <c r="AJ554" s="1" t="s">
        <v>63</v>
      </c>
      <c r="AK554" s="1" t="s">
        <v>5903</v>
      </c>
      <c r="AL554" s="1" t="s">
        <v>5904</v>
      </c>
      <c r="AM554" s="11" t="str">
        <f>VLOOKUP(N554,Sheet3!$B$4:$C$10,2,1)</f>
        <v>21-30</v>
      </c>
      <c r="AN554" s="13" t="str">
        <f>VLOOKUP(Z554,Sheet3!$F$4:$G$10,2,1)</f>
        <v>&lt; 5</v>
      </c>
      <c r="AO554" s="5" t="str">
        <f>VLOOKUP(AA554,Sheet3!$I$3:$J$16,2,1)</f>
        <v>180000-200000</v>
      </c>
      <c r="AP554" s="5" t="str">
        <f>VLOOKUP(AB554,Sheet3!$L$4:$M$14,2,1)</f>
        <v>5% - 10%</v>
      </c>
    </row>
    <row r="555">
      <c r="A555" s="6">
        <v>421652.0</v>
      </c>
      <c r="B555" s="1" t="s">
        <v>66</v>
      </c>
      <c r="C555" s="1" t="s">
        <v>2967</v>
      </c>
      <c r="D555" s="1" t="s">
        <v>318</v>
      </c>
      <c r="E555" s="1" t="s">
        <v>2117</v>
      </c>
      <c r="F555" s="1" t="s">
        <v>70</v>
      </c>
      <c r="G555" s="1" t="s">
        <v>5905</v>
      </c>
      <c r="H555" s="1" t="s">
        <v>5806</v>
      </c>
      <c r="I555" s="1" t="s">
        <v>5906</v>
      </c>
      <c r="J555" s="1" t="s">
        <v>5907</v>
      </c>
      <c r="K555" s="1" t="s">
        <v>4349</v>
      </c>
      <c r="L555" s="9">
        <v>23646.0</v>
      </c>
      <c r="M555" s="8">
        <v>0.13702546296296297</v>
      </c>
      <c r="N555" s="6">
        <v>52.87</v>
      </c>
      <c r="O555" s="6">
        <v>67.0</v>
      </c>
      <c r="P555" s="9">
        <v>38282.0</v>
      </c>
      <c r="Q555" s="1" t="s">
        <v>52</v>
      </c>
      <c r="R555" s="1" t="s">
        <v>53</v>
      </c>
      <c r="S555" s="6">
        <v>2004.0</v>
      </c>
      <c r="T555" s="6">
        <v>10.0</v>
      </c>
      <c r="U555" s="1" t="s">
        <v>133</v>
      </c>
      <c r="V555" s="1" t="s">
        <v>134</v>
      </c>
      <c r="W555" s="6">
        <v>22.0</v>
      </c>
      <c r="X555" s="1" t="s">
        <v>263</v>
      </c>
      <c r="Y555" s="1" t="s">
        <v>264</v>
      </c>
      <c r="Z555" s="6">
        <v>12.77</v>
      </c>
      <c r="AA555" s="6">
        <v>174547.0</v>
      </c>
      <c r="AB555" s="10">
        <v>0.21</v>
      </c>
      <c r="AC555" s="1" t="s">
        <v>5908</v>
      </c>
      <c r="AD555" s="1" t="s">
        <v>5909</v>
      </c>
      <c r="AE555" s="1" t="s">
        <v>3054</v>
      </c>
      <c r="AF555" s="1" t="s">
        <v>1560</v>
      </c>
      <c r="AG555" s="1" t="s">
        <v>3054</v>
      </c>
      <c r="AH555" s="1" t="s">
        <v>210</v>
      </c>
      <c r="AI555" s="6">
        <v>61106.0</v>
      </c>
      <c r="AJ555" s="1" t="s">
        <v>86</v>
      </c>
      <c r="AK555" s="1" t="s">
        <v>5910</v>
      </c>
      <c r="AL555" s="1" t="s">
        <v>5911</v>
      </c>
      <c r="AM555" s="11" t="str">
        <f>VLOOKUP(N555,Sheet3!$B$4:$C$10,2,1)</f>
        <v>51-60</v>
      </c>
      <c r="AN555" s="12" t="str">
        <f>VLOOKUP(Z555,Sheet3!$F$4:$G$10,2,1)</f>
        <v>11-20</v>
      </c>
      <c r="AO555" s="5" t="str">
        <f>VLOOKUP(AA555,Sheet3!$I$3:$J$16,2,1)</f>
        <v>160000-180000</v>
      </c>
      <c r="AP555" s="5" t="str">
        <f>VLOOKUP(AB555,Sheet3!$L$4:$M$14,2,1)</f>
        <v>21% - 25%</v>
      </c>
    </row>
    <row r="556">
      <c r="A556" s="6">
        <v>528969.0</v>
      </c>
      <c r="B556" s="1" t="s">
        <v>125</v>
      </c>
      <c r="C556" s="1" t="s">
        <v>5912</v>
      </c>
      <c r="D556" s="1" t="s">
        <v>242</v>
      </c>
      <c r="E556" s="1" t="s">
        <v>5504</v>
      </c>
      <c r="F556" s="1" t="s">
        <v>46</v>
      </c>
      <c r="G556" s="1" t="s">
        <v>5913</v>
      </c>
      <c r="H556" s="1" t="s">
        <v>5806</v>
      </c>
      <c r="I556" s="1" t="s">
        <v>5914</v>
      </c>
      <c r="J556" s="1" t="s">
        <v>5915</v>
      </c>
      <c r="K556" s="1" t="s">
        <v>5916</v>
      </c>
      <c r="L556" s="9">
        <v>28362.0</v>
      </c>
      <c r="M556" s="8">
        <v>0.765636574074074</v>
      </c>
      <c r="N556" s="6">
        <v>39.95</v>
      </c>
      <c r="O556" s="6">
        <v>59.0</v>
      </c>
      <c r="P556" s="9">
        <v>37514.0</v>
      </c>
      <c r="Q556" s="1" t="s">
        <v>308</v>
      </c>
      <c r="R556" s="1" t="s">
        <v>53</v>
      </c>
      <c r="S556" s="6">
        <v>2002.0</v>
      </c>
      <c r="T556" s="6">
        <v>9.0</v>
      </c>
      <c r="U556" s="1" t="s">
        <v>309</v>
      </c>
      <c r="V556" s="1" t="s">
        <v>310</v>
      </c>
      <c r="W556" s="6">
        <v>15.0</v>
      </c>
      <c r="X556" s="1" t="s">
        <v>534</v>
      </c>
      <c r="Y556" s="1" t="s">
        <v>535</v>
      </c>
      <c r="Z556" s="6">
        <v>14.88</v>
      </c>
      <c r="AA556" s="6">
        <v>115518.0</v>
      </c>
      <c r="AB556" s="10">
        <v>0.2</v>
      </c>
      <c r="AC556" s="1" t="s">
        <v>5917</v>
      </c>
      <c r="AD556" s="1" t="s">
        <v>5918</v>
      </c>
      <c r="AE556" s="1" t="s">
        <v>5919</v>
      </c>
      <c r="AF556" s="1" t="s">
        <v>5920</v>
      </c>
      <c r="AG556" s="1" t="s">
        <v>5919</v>
      </c>
      <c r="AH556" s="1" t="s">
        <v>1413</v>
      </c>
      <c r="AI556" s="6">
        <v>81253.0</v>
      </c>
      <c r="AJ556" s="1" t="s">
        <v>63</v>
      </c>
      <c r="AK556" s="1" t="s">
        <v>5921</v>
      </c>
      <c r="AL556" s="1" t="s">
        <v>5922</v>
      </c>
      <c r="AM556" s="11" t="str">
        <f>VLOOKUP(N556,Sheet3!$B$4:$C$10,2,1)</f>
        <v>31-40</v>
      </c>
      <c r="AN556" s="12" t="str">
        <f>VLOOKUP(Z556,Sheet3!$F$4:$G$10,2,1)</f>
        <v>11-20</v>
      </c>
      <c r="AO556" s="5" t="str">
        <f>VLOOKUP(AA556,Sheet3!$I$3:$J$16,2,1)</f>
        <v>100000-120000</v>
      </c>
      <c r="AP556" s="5" t="str">
        <f>VLOOKUP(AB556,Sheet3!$L$4:$M$14,2,1)</f>
        <v>16% - 20%</v>
      </c>
    </row>
    <row r="557">
      <c r="A557" s="6">
        <v>202408.0</v>
      </c>
      <c r="B557" s="1" t="s">
        <v>42</v>
      </c>
      <c r="C557" s="1" t="s">
        <v>5923</v>
      </c>
      <c r="D557" s="1" t="s">
        <v>46</v>
      </c>
      <c r="E557" s="1" t="s">
        <v>1036</v>
      </c>
      <c r="F557" s="1" t="s">
        <v>46</v>
      </c>
      <c r="G557" s="1" t="s">
        <v>5924</v>
      </c>
      <c r="H557" s="1" t="s">
        <v>5806</v>
      </c>
      <c r="I557" s="1" t="s">
        <v>5925</v>
      </c>
      <c r="J557" s="1" t="s">
        <v>5926</v>
      </c>
      <c r="K557" s="1" t="s">
        <v>5927</v>
      </c>
      <c r="L557" s="9">
        <v>34753.0</v>
      </c>
      <c r="M557" s="8">
        <v>0.972025462962963</v>
      </c>
      <c r="N557" s="6">
        <v>22.44</v>
      </c>
      <c r="O557" s="6">
        <v>52.0</v>
      </c>
      <c r="P557" s="14">
        <v>42736.0</v>
      </c>
      <c r="Q557" s="1" t="s">
        <v>96</v>
      </c>
      <c r="R557" s="1" t="s">
        <v>76</v>
      </c>
      <c r="S557" s="6">
        <v>2017.0</v>
      </c>
      <c r="T557" s="6">
        <v>1.0</v>
      </c>
      <c r="U557" s="1" t="s">
        <v>276</v>
      </c>
      <c r="V557" s="1" t="s">
        <v>277</v>
      </c>
      <c r="W557" s="6">
        <v>1.0</v>
      </c>
      <c r="X557" s="1" t="s">
        <v>534</v>
      </c>
      <c r="Y557" s="1" t="s">
        <v>535</v>
      </c>
      <c r="Z557" s="6">
        <v>0.57</v>
      </c>
      <c r="AA557" s="6">
        <v>146772.0</v>
      </c>
      <c r="AB557" s="10">
        <v>0.08</v>
      </c>
      <c r="AC557" s="1" t="s">
        <v>5928</v>
      </c>
      <c r="AD557" s="1" t="s">
        <v>5929</v>
      </c>
      <c r="AE557" s="1" t="s">
        <v>5930</v>
      </c>
      <c r="AF557" s="1" t="s">
        <v>5217</v>
      </c>
      <c r="AG557" s="1" t="s">
        <v>5930</v>
      </c>
      <c r="AH557" s="1" t="s">
        <v>385</v>
      </c>
      <c r="AI557" s="6">
        <v>98948.0</v>
      </c>
      <c r="AJ557" s="1" t="s">
        <v>63</v>
      </c>
      <c r="AK557" s="1" t="s">
        <v>5931</v>
      </c>
      <c r="AL557" s="1" t="s">
        <v>5932</v>
      </c>
      <c r="AM557" s="11" t="str">
        <f>VLOOKUP(N557,Sheet3!$B$4:$C$10,2,1)</f>
        <v>21-30</v>
      </c>
      <c r="AN557" s="13" t="str">
        <f>VLOOKUP(Z557,Sheet3!$F$4:$G$10,2,1)</f>
        <v>&lt; 5</v>
      </c>
      <c r="AO557" s="5" t="str">
        <f>VLOOKUP(AA557,Sheet3!$I$3:$J$16,2,1)</f>
        <v>140000-160000</v>
      </c>
      <c r="AP557" s="5" t="str">
        <f>VLOOKUP(AB557,Sheet3!$L$4:$M$14,2,1)</f>
        <v>5% - 10%</v>
      </c>
    </row>
    <row r="558">
      <c r="A558" s="6">
        <v>918148.0</v>
      </c>
      <c r="B558" s="1" t="s">
        <v>109</v>
      </c>
      <c r="C558" s="1" t="s">
        <v>5933</v>
      </c>
      <c r="D558" s="1" t="s">
        <v>186</v>
      </c>
      <c r="E558" s="1" t="s">
        <v>926</v>
      </c>
      <c r="F558" s="1" t="s">
        <v>46</v>
      </c>
      <c r="G558" s="1" t="s">
        <v>5934</v>
      </c>
      <c r="H558" s="1" t="s">
        <v>5806</v>
      </c>
      <c r="I558" s="1" t="s">
        <v>5935</v>
      </c>
      <c r="J558" s="1" t="s">
        <v>5936</v>
      </c>
      <c r="K558" s="1" t="s">
        <v>5723</v>
      </c>
      <c r="L558" s="14">
        <v>31230.0</v>
      </c>
      <c r="M558" s="8">
        <v>0.5788773148148149</v>
      </c>
      <c r="N558" s="6">
        <v>32.09</v>
      </c>
      <c r="O558" s="6">
        <v>51.0</v>
      </c>
      <c r="P558" s="9">
        <v>39766.0</v>
      </c>
      <c r="Q558" s="1" t="s">
        <v>52</v>
      </c>
      <c r="R558" s="1" t="s">
        <v>53</v>
      </c>
      <c r="S558" s="6">
        <v>2008.0</v>
      </c>
      <c r="T558" s="6">
        <v>11.0</v>
      </c>
      <c r="U558" s="1" t="s">
        <v>148</v>
      </c>
      <c r="V558" s="1" t="s">
        <v>149</v>
      </c>
      <c r="W558" s="6">
        <v>14.0</v>
      </c>
      <c r="X558" s="1" t="s">
        <v>263</v>
      </c>
      <c r="Y558" s="1" t="s">
        <v>264</v>
      </c>
      <c r="Z558" s="6">
        <v>8.71</v>
      </c>
      <c r="AA558" s="6">
        <v>120502.0</v>
      </c>
      <c r="AB558" s="10">
        <v>0.13</v>
      </c>
      <c r="AC558" s="1" t="s">
        <v>5937</v>
      </c>
      <c r="AD558" s="1" t="s">
        <v>5938</v>
      </c>
      <c r="AE558" s="1" t="s">
        <v>283</v>
      </c>
      <c r="AF558" s="1" t="s">
        <v>5939</v>
      </c>
      <c r="AG558" s="1" t="s">
        <v>283</v>
      </c>
      <c r="AH558" s="1" t="s">
        <v>105</v>
      </c>
      <c r="AI558" s="6">
        <v>42064.0</v>
      </c>
      <c r="AJ558" s="1" t="s">
        <v>106</v>
      </c>
      <c r="AK558" s="1" t="s">
        <v>5940</v>
      </c>
      <c r="AL558" s="1" t="s">
        <v>5941</v>
      </c>
      <c r="AM558" s="11" t="str">
        <f>VLOOKUP(N558,Sheet3!$B$4:$C$10,2,1)</f>
        <v>31-40</v>
      </c>
      <c r="AN558" s="12" t="str">
        <f>VLOOKUP(Z558,Sheet3!$F$4:$G$10,2,1)</f>
        <v>5-10</v>
      </c>
      <c r="AO558" s="5" t="str">
        <f>VLOOKUP(AA558,Sheet3!$I$3:$J$16,2,1)</f>
        <v>120000-140000</v>
      </c>
      <c r="AP558" s="5" t="str">
        <f>VLOOKUP(AB558,Sheet3!$L$4:$M$14,2,1)</f>
        <v>11% - 15%</v>
      </c>
    </row>
    <row r="559">
      <c r="A559" s="6">
        <v>396091.0</v>
      </c>
      <c r="B559" s="1" t="s">
        <v>42</v>
      </c>
      <c r="C559" s="1" t="s">
        <v>5733</v>
      </c>
      <c r="D559" s="1" t="s">
        <v>683</v>
      </c>
      <c r="E559" s="1" t="s">
        <v>1439</v>
      </c>
      <c r="F559" s="1" t="s">
        <v>46</v>
      </c>
      <c r="G559" s="1" t="s">
        <v>5942</v>
      </c>
      <c r="H559" s="1" t="s">
        <v>5806</v>
      </c>
      <c r="I559" s="1" t="s">
        <v>5943</v>
      </c>
      <c r="J559" s="1" t="s">
        <v>5944</v>
      </c>
      <c r="K559" s="1" t="s">
        <v>5764</v>
      </c>
      <c r="L559" s="9">
        <v>26712.0</v>
      </c>
      <c r="M559" s="8">
        <v>0.7966898148148148</v>
      </c>
      <c r="N559" s="6">
        <v>44.47</v>
      </c>
      <c r="O559" s="6">
        <v>56.0</v>
      </c>
      <c r="P559" s="14">
        <v>36439.0</v>
      </c>
      <c r="Q559" s="1" t="s">
        <v>52</v>
      </c>
      <c r="R559" s="1" t="s">
        <v>53</v>
      </c>
      <c r="S559" s="6">
        <v>1999.0</v>
      </c>
      <c r="T559" s="6">
        <v>10.0</v>
      </c>
      <c r="U559" s="1" t="s">
        <v>133</v>
      </c>
      <c r="V559" s="1" t="s">
        <v>134</v>
      </c>
      <c r="W559" s="6">
        <v>6.0</v>
      </c>
      <c r="X559" s="1" t="s">
        <v>278</v>
      </c>
      <c r="Y559" s="1" t="s">
        <v>279</v>
      </c>
      <c r="Z559" s="6">
        <v>17.82</v>
      </c>
      <c r="AA559" s="6">
        <v>146840.0</v>
      </c>
      <c r="AB559" s="10">
        <v>0.28</v>
      </c>
      <c r="AC559" s="1" t="s">
        <v>5945</v>
      </c>
      <c r="AD559" s="1" t="s">
        <v>5946</v>
      </c>
      <c r="AE559" s="1" t="s">
        <v>5947</v>
      </c>
      <c r="AF559" s="1" t="s">
        <v>5948</v>
      </c>
      <c r="AG559" s="1" t="s">
        <v>5947</v>
      </c>
      <c r="AH559" s="1" t="s">
        <v>284</v>
      </c>
      <c r="AI559" s="6">
        <v>50102.0</v>
      </c>
      <c r="AJ559" s="1" t="s">
        <v>86</v>
      </c>
      <c r="AK559" s="1" t="s">
        <v>5949</v>
      </c>
      <c r="AL559" s="1" t="s">
        <v>5950</v>
      </c>
      <c r="AM559" s="11" t="str">
        <f>VLOOKUP(N559,Sheet3!$B$4:$C$10,2,1)</f>
        <v>41-50</v>
      </c>
      <c r="AN559" s="12" t="str">
        <f>VLOOKUP(Z559,Sheet3!$F$4:$G$10,2,1)</f>
        <v>11-20</v>
      </c>
      <c r="AO559" s="5" t="str">
        <f>VLOOKUP(AA559,Sheet3!$I$3:$J$16,2,1)</f>
        <v>140000-160000</v>
      </c>
      <c r="AP559" s="5" t="str">
        <f>VLOOKUP(AB559,Sheet3!$L$4:$M$14,2,1)</f>
        <v>26% - 30%</v>
      </c>
    </row>
    <row r="560">
      <c r="A560" s="6">
        <v>808996.0</v>
      </c>
      <c r="B560" s="1" t="s">
        <v>66</v>
      </c>
      <c r="C560" s="1" t="s">
        <v>5951</v>
      </c>
      <c r="D560" s="1" t="s">
        <v>111</v>
      </c>
      <c r="E560" s="1" t="s">
        <v>661</v>
      </c>
      <c r="F560" s="1" t="s">
        <v>70</v>
      </c>
      <c r="G560" s="1" t="s">
        <v>5952</v>
      </c>
      <c r="H560" s="1" t="s">
        <v>5806</v>
      </c>
      <c r="I560" s="1" t="s">
        <v>5953</v>
      </c>
      <c r="J560" s="1" t="s">
        <v>5954</v>
      </c>
      <c r="K560" s="1" t="s">
        <v>2343</v>
      </c>
      <c r="L560" s="9">
        <v>24271.0</v>
      </c>
      <c r="M560" s="8">
        <v>0.48369212962962965</v>
      </c>
      <c r="N560" s="6">
        <v>51.16</v>
      </c>
      <c r="O560" s="6">
        <v>70.0</v>
      </c>
      <c r="P560" s="9">
        <v>39262.0</v>
      </c>
      <c r="Q560" s="1" t="s">
        <v>75</v>
      </c>
      <c r="R560" s="1" t="s">
        <v>76</v>
      </c>
      <c r="S560" s="6">
        <v>2007.0</v>
      </c>
      <c r="T560" s="6">
        <v>6.0</v>
      </c>
      <c r="U560" s="1" t="s">
        <v>324</v>
      </c>
      <c r="V560" s="1" t="s">
        <v>325</v>
      </c>
      <c r="W560" s="6">
        <v>29.0</v>
      </c>
      <c r="X560" s="1" t="s">
        <v>263</v>
      </c>
      <c r="Y560" s="1" t="s">
        <v>264</v>
      </c>
      <c r="Z560" s="6">
        <v>10.09</v>
      </c>
      <c r="AA560" s="6">
        <v>95240.0</v>
      </c>
      <c r="AB560" s="10">
        <v>0.26</v>
      </c>
      <c r="AC560" s="1" t="s">
        <v>5955</v>
      </c>
      <c r="AD560" s="1" t="s">
        <v>5956</v>
      </c>
      <c r="AE560" s="1" t="s">
        <v>5957</v>
      </c>
      <c r="AF560" s="1" t="s">
        <v>2471</v>
      </c>
      <c r="AG560" s="1" t="s">
        <v>5957</v>
      </c>
      <c r="AH560" s="1" t="s">
        <v>439</v>
      </c>
      <c r="AI560" s="6">
        <v>4081.0</v>
      </c>
      <c r="AJ560" s="1" t="s">
        <v>224</v>
      </c>
      <c r="AK560" s="1" t="s">
        <v>5958</v>
      </c>
      <c r="AL560" s="1" t="s">
        <v>5959</v>
      </c>
      <c r="AM560" s="11" t="str">
        <f>VLOOKUP(N560,Sheet3!$B$4:$C$10,2,1)</f>
        <v>51-60</v>
      </c>
      <c r="AN560" s="12" t="str">
        <f>VLOOKUP(Z560,Sheet3!$F$4:$G$10,2,1)</f>
        <v>5-10</v>
      </c>
      <c r="AO560" s="5" t="str">
        <f>VLOOKUP(AA560,Sheet3!$I$3:$J$16,2,1)</f>
        <v>80000-100000</v>
      </c>
      <c r="AP560" s="5" t="str">
        <f>VLOOKUP(AB560,Sheet3!$L$4:$M$14,2,1)</f>
        <v>26% - 30%</v>
      </c>
    </row>
    <row r="561">
      <c r="A561" s="6">
        <v>752301.0</v>
      </c>
      <c r="B561" s="1" t="s">
        <v>66</v>
      </c>
      <c r="C561" s="1" t="s">
        <v>2224</v>
      </c>
      <c r="D561" s="1" t="s">
        <v>242</v>
      </c>
      <c r="E561" s="1" t="s">
        <v>5960</v>
      </c>
      <c r="F561" s="1" t="s">
        <v>70</v>
      </c>
      <c r="G561" s="1" t="s">
        <v>5961</v>
      </c>
      <c r="H561" s="1" t="s">
        <v>5806</v>
      </c>
      <c r="I561" s="1" t="s">
        <v>5962</v>
      </c>
      <c r="J561" s="1" t="s">
        <v>5963</v>
      </c>
      <c r="K561" s="1" t="s">
        <v>3347</v>
      </c>
      <c r="L561" s="9">
        <v>25979.0</v>
      </c>
      <c r="M561" s="8">
        <v>0.55875</v>
      </c>
      <c r="N561" s="6">
        <v>46.48</v>
      </c>
      <c r="O561" s="6">
        <v>52.0</v>
      </c>
      <c r="P561" s="9">
        <v>40601.0</v>
      </c>
      <c r="Q561" s="1" t="s">
        <v>96</v>
      </c>
      <c r="R561" s="1" t="s">
        <v>76</v>
      </c>
      <c r="S561" s="6">
        <v>2011.0</v>
      </c>
      <c r="T561" s="6">
        <v>2.0</v>
      </c>
      <c r="U561" s="1" t="s">
        <v>117</v>
      </c>
      <c r="V561" s="1" t="s">
        <v>118</v>
      </c>
      <c r="W561" s="6">
        <v>27.0</v>
      </c>
      <c r="X561" s="1" t="s">
        <v>534</v>
      </c>
      <c r="Y561" s="1" t="s">
        <v>535</v>
      </c>
      <c r="Z561" s="6">
        <v>6.42</v>
      </c>
      <c r="AA561" s="6">
        <v>77803.0</v>
      </c>
      <c r="AB561" s="10">
        <v>0.12</v>
      </c>
      <c r="AC561" s="1" t="s">
        <v>5964</v>
      </c>
      <c r="AD561" s="1" t="s">
        <v>5965</v>
      </c>
      <c r="AE561" s="1" t="s">
        <v>2186</v>
      </c>
      <c r="AF561" s="1" t="s">
        <v>1019</v>
      </c>
      <c r="AG561" s="1" t="s">
        <v>2186</v>
      </c>
      <c r="AH561" s="1" t="s">
        <v>525</v>
      </c>
      <c r="AI561" s="6">
        <v>72742.0</v>
      </c>
      <c r="AJ561" s="1" t="s">
        <v>106</v>
      </c>
      <c r="AK561" s="1" t="s">
        <v>5966</v>
      </c>
      <c r="AL561" s="1" t="s">
        <v>5967</v>
      </c>
      <c r="AM561" s="11" t="str">
        <f>VLOOKUP(N561,Sheet3!$B$4:$C$10,2,1)</f>
        <v>41-50</v>
      </c>
      <c r="AN561" s="12" t="str">
        <f>VLOOKUP(Z561,Sheet3!$F$4:$G$10,2,1)</f>
        <v>5-10</v>
      </c>
      <c r="AO561" s="5" t="str">
        <f>VLOOKUP(AA561,Sheet3!$I$3:$J$16,2,1)</f>
        <v>60000-80000</v>
      </c>
      <c r="AP561" s="5" t="str">
        <f>VLOOKUP(AB561,Sheet3!$L$4:$M$14,2,1)</f>
        <v>11% - 15%</v>
      </c>
    </row>
    <row r="562">
      <c r="A562" s="6">
        <v>654102.0</v>
      </c>
      <c r="B562" s="1" t="s">
        <v>66</v>
      </c>
      <c r="C562" s="1" t="s">
        <v>5968</v>
      </c>
      <c r="D562" s="1" t="s">
        <v>111</v>
      </c>
      <c r="E562" s="1" t="s">
        <v>5969</v>
      </c>
      <c r="F562" s="1" t="s">
        <v>70</v>
      </c>
      <c r="G562" s="1" t="s">
        <v>5970</v>
      </c>
      <c r="H562" s="1" t="s">
        <v>5806</v>
      </c>
      <c r="I562" s="1" t="s">
        <v>5971</v>
      </c>
      <c r="J562" s="1" t="s">
        <v>5972</v>
      </c>
      <c r="K562" s="1" t="s">
        <v>5973</v>
      </c>
      <c r="L562" s="9">
        <v>33805.0</v>
      </c>
      <c r="M562" s="8">
        <v>0.2345949074074074</v>
      </c>
      <c r="N562" s="6">
        <v>25.04</v>
      </c>
      <c r="O562" s="6">
        <v>86.0</v>
      </c>
      <c r="P562" s="9">
        <v>41958.0</v>
      </c>
      <c r="Q562" s="1" t="s">
        <v>52</v>
      </c>
      <c r="R562" s="1" t="s">
        <v>53</v>
      </c>
      <c r="S562" s="6">
        <v>2014.0</v>
      </c>
      <c r="T562" s="6">
        <v>11.0</v>
      </c>
      <c r="U562" s="1" t="s">
        <v>148</v>
      </c>
      <c r="V562" s="1" t="s">
        <v>149</v>
      </c>
      <c r="W562" s="6">
        <v>15.0</v>
      </c>
      <c r="X562" s="1" t="s">
        <v>56</v>
      </c>
      <c r="Y562" s="1" t="s">
        <v>57</v>
      </c>
      <c r="Z562" s="6">
        <v>2.7</v>
      </c>
      <c r="AA562" s="6">
        <v>116822.0</v>
      </c>
      <c r="AB562" s="10">
        <v>0.1</v>
      </c>
      <c r="AC562" s="1" t="s">
        <v>5974</v>
      </c>
      <c r="AD562" s="1" t="s">
        <v>5975</v>
      </c>
      <c r="AE562" s="1" t="s">
        <v>4561</v>
      </c>
      <c r="AF562" s="1" t="s">
        <v>5976</v>
      </c>
      <c r="AG562" s="1" t="s">
        <v>4561</v>
      </c>
      <c r="AH562" s="1" t="s">
        <v>811</v>
      </c>
      <c r="AI562" s="6">
        <v>39710.0</v>
      </c>
      <c r="AJ562" s="1" t="s">
        <v>106</v>
      </c>
      <c r="AK562" s="1" t="s">
        <v>5977</v>
      </c>
      <c r="AL562" s="1" t="s">
        <v>5978</v>
      </c>
      <c r="AM562" s="11" t="str">
        <f>VLOOKUP(N562,Sheet3!$B$4:$C$10,2,1)</f>
        <v>21-30</v>
      </c>
      <c r="AN562" s="13" t="str">
        <f>VLOOKUP(Z562,Sheet3!$F$4:$G$10,2,1)</f>
        <v>&lt; 5</v>
      </c>
      <c r="AO562" s="5" t="str">
        <f>VLOOKUP(AA562,Sheet3!$I$3:$J$16,2,1)</f>
        <v>100000-120000</v>
      </c>
      <c r="AP562" s="5" t="str">
        <f>VLOOKUP(AB562,Sheet3!$L$4:$M$14,2,1)</f>
        <v>5% - 10%</v>
      </c>
    </row>
    <row r="563">
      <c r="A563" s="6">
        <v>809104.0</v>
      </c>
      <c r="B563" s="1" t="s">
        <v>66</v>
      </c>
      <c r="C563" s="1" t="s">
        <v>5979</v>
      </c>
      <c r="D563" s="1" t="s">
        <v>466</v>
      </c>
      <c r="E563" s="1" t="s">
        <v>5980</v>
      </c>
      <c r="F563" s="1" t="s">
        <v>70</v>
      </c>
      <c r="G563" s="1" t="s">
        <v>5981</v>
      </c>
      <c r="H563" s="1" t="s">
        <v>5806</v>
      </c>
      <c r="I563" s="1" t="s">
        <v>5982</v>
      </c>
      <c r="J563" s="1" t="s">
        <v>5983</v>
      </c>
      <c r="K563" s="1" t="s">
        <v>5884</v>
      </c>
      <c r="L563" s="9">
        <v>29214.0</v>
      </c>
      <c r="M563" s="8">
        <v>0.452037037037037</v>
      </c>
      <c r="N563" s="6">
        <v>37.62</v>
      </c>
      <c r="O563" s="6">
        <v>82.0</v>
      </c>
      <c r="P563" s="9">
        <v>40772.0</v>
      </c>
      <c r="Q563" s="1" t="s">
        <v>308</v>
      </c>
      <c r="R563" s="1" t="s">
        <v>53</v>
      </c>
      <c r="S563" s="6">
        <v>2011.0</v>
      </c>
      <c r="T563" s="6">
        <v>8.0</v>
      </c>
      <c r="U563" s="1" t="s">
        <v>433</v>
      </c>
      <c r="V563" s="1" t="s">
        <v>434</v>
      </c>
      <c r="W563" s="6">
        <v>17.0</v>
      </c>
      <c r="X563" s="1" t="s">
        <v>278</v>
      </c>
      <c r="Y563" s="1" t="s">
        <v>279</v>
      </c>
      <c r="Z563" s="6">
        <v>5.95</v>
      </c>
      <c r="AA563" s="6">
        <v>189640.0</v>
      </c>
      <c r="AB563" s="10">
        <v>0.23</v>
      </c>
      <c r="AC563" s="1" t="s">
        <v>5984</v>
      </c>
      <c r="AD563" s="1" t="s">
        <v>5985</v>
      </c>
      <c r="AE563" s="1" t="s">
        <v>3788</v>
      </c>
      <c r="AF563" s="1" t="s">
        <v>3789</v>
      </c>
      <c r="AG563" s="1" t="s">
        <v>3788</v>
      </c>
      <c r="AH563" s="1" t="s">
        <v>169</v>
      </c>
      <c r="AI563" s="6">
        <v>76110.0</v>
      </c>
      <c r="AJ563" s="1" t="s">
        <v>106</v>
      </c>
      <c r="AK563" s="1" t="s">
        <v>5986</v>
      </c>
      <c r="AL563" s="1" t="s">
        <v>5987</v>
      </c>
      <c r="AM563" s="11" t="str">
        <f>VLOOKUP(N563,Sheet3!$B$4:$C$10,2,1)</f>
        <v>31-40</v>
      </c>
      <c r="AN563" s="12" t="str">
        <f>VLOOKUP(Z563,Sheet3!$F$4:$G$10,2,1)</f>
        <v>5-10</v>
      </c>
      <c r="AO563" s="5" t="str">
        <f>VLOOKUP(AA563,Sheet3!$I$3:$J$16,2,1)</f>
        <v>180000-200000</v>
      </c>
      <c r="AP563" s="5" t="str">
        <f>VLOOKUP(AB563,Sheet3!$L$4:$M$14,2,1)</f>
        <v>21% - 25%</v>
      </c>
    </row>
    <row r="564">
      <c r="A564" s="6">
        <v>929548.0</v>
      </c>
      <c r="B564" s="1" t="s">
        <v>109</v>
      </c>
      <c r="C564" s="1" t="s">
        <v>5988</v>
      </c>
      <c r="D564" s="1" t="s">
        <v>200</v>
      </c>
      <c r="E564" s="1" t="s">
        <v>926</v>
      </c>
      <c r="F564" s="1" t="s">
        <v>46</v>
      </c>
      <c r="G564" s="1" t="s">
        <v>5989</v>
      </c>
      <c r="H564" s="1" t="s">
        <v>5806</v>
      </c>
      <c r="I564" s="1" t="s">
        <v>5990</v>
      </c>
      <c r="J564" s="1" t="s">
        <v>5991</v>
      </c>
      <c r="K564" s="1" t="s">
        <v>5948</v>
      </c>
      <c r="L564" s="9">
        <v>31560.0</v>
      </c>
      <c r="M564" s="8">
        <v>0.6329166666666667</v>
      </c>
      <c r="N564" s="6">
        <v>31.19</v>
      </c>
      <c r="O564" s="6">
        <v>48.0</v>
      </c>
      <c r="P564" s="9">
        <v>41023.0</v>
      </c>
      <c r="Q564" s="1" t="s">
        <v>75</v>
      </c>
      <c r="R564" s="1" t="s">
        <v>76</v>
      </c>
      <c r="S564" s="6">
        <v>2012.0</v>
      </c>
      <c r="T564" s="6">
        <v>4.0</v>
      </c>
      <c r="U564" s="1" t="s">
        <v>77</v>
      </c>
      <c r="V564" s="1" t="s">
        <v>78</v>
      </c>
      <c r="W564" s="6">
        <v>24.0</v>
      </c>
      <c r="X564" s="1" t="s">
        <v>79</v>
      </c>
      <c r="Y564" s="1" t="s">
        <v>80</v>
      </c>
      <c r="Z564" s="6">
        <v>5.26</v>
      </c>
      <c r="AA564" s="6">
        <v>71568.0</v>
      </c>
      <c r="AB564" s="10">
        <v>0.03</v>
      </c>
      <c r="AC564" s="1" t="s">
        <v>5992</v>
      </c>
      <c r="AD564" s="1" t="s">
        <v>5993</v>
      </c>
      <c r="AE564" s="1" t="s">
        <v>5994</v>
      </c>
      <c r="AF564" s="1" t="s">
        <v>649</v>
      </c>
      <c r="AG564" s="1" t="s">
        <v>5994</v>
      </c>
      <c r="AH564" s="1" t="s">
        <v>223</v>
      </c>
      <c r="AI564" s="6">
        <v>15865.0</v>
      </c>
      <c r="AJ564" s="1" t="s">
        <v>224</v>
      </c>
      <c r="AK564" s="1" t="s">
        <v>5995</v>
      </c>
      <c r="AL564" s="1" t="s">
        <v>5996</v>
      </c>
      <c r="AM564" s="11" t="str">
        <f>VLOOKUP(N564,Sheet3!$B$4:$C$10,2,1)</f>
        <v>31-40</v>
      </c>
      <c r="AN564" s="12" t="str">
        <f>VLOOKUP(Z564,Sheet3!$F$4:$G$10,2,1)</f>
        <v>5-10</v>
      </c>
      <c r="AO564" s="5" t="str">
        <f>VLOOKUP(AA564,Sheet3!$I$3:$J$16,2,1)</f>
        <v>60000-80000</v>
      </c>
      <c r="AP564" s="5" t="str">
        <f>VLOOKUP(AB564,Sheet3!$L$4:$M$14,2,1)</f>
        <v>&lt; 5%</v>
      </c>
    </row>
    <row r="565">
      <c r="A565" s="6">
        <v>978535.0</v>
      </c>
      <c r="B565" s="1" t="s">
        <v>66</v>
      </c>
      <c r="C565" s="1" t="s">
        <v>3641</v>
      </c>
      <c r="D565" s="1" t="s">
        <v>1300</v>
      </c>
      <c r="E565" s="1" t="s">
        <v>3793</v>
      </c>
      <c r="F565" s="1" t="s">
        <v>70</v>
      </c>
      <c r="G565" s="1" t="s">
        <v>5997</v>
      </c>
      <c r="H565" s="1" t="s">
        <v>5806</v>
      </c>
      <c r="I565" s="1" t="s">
        <v>5998</v>
      </c>
      <c r="J565" s="1" t="s">
        <v>5999</v>
      </c>
      <c r="K565" s="1" t="s">
        <v>2240</v>
      </c>
      <c r="L565" s="14">
        <v>25750.0</v>
      </c>
      <c r="M565" s="8">
        <v>0.83</v>
      </c>
      <c r="N565" s="6">
        <v>47.11</v>
      </c>
      <c r="O565" s="6">
        <v>90.0</v>
      </c>
      <c r="P565" s="14">
        <v>42776.0</v>
      </c>
      <c r="Q565" s="1" t="s">
        <v>96</v>
      </c>
      <c r="R565" s="1" t="s">
        <v>76</v>
      </c>
      <c r="S565" s="6">
        <v>2017.0</v>
      </c>
      <c r="T565" s="6">
        <v>2.0</v>
      </c>
      <c r="U565" s="1" t="s">
        <v>117</v>
      </c>
      <c r="V565" s="1" t="s">
        <v>118</v>
      </c>
      <c r="W565" s="6">
        <v>10.0</v>
      </c>
      <c r="X565" s="1" t="s">
        <v>263</v>
      </c>
      <c r="Y565" s="1" t="s">
        <v>264</v>
      </c>
      <c r="Z565" s="6">
        <v>0.46</v>
      </c>
      <c r="AA565" s="6">
        <v>194639.0</v>
      </c>
      <c r="AB565" s="10">
        <v>0.17</v>
      </c>
      <c r="AC565" s="1" t="s">
        <v>6000</v>
      </c>
      <c r="AD565" s="1" t="s">
        <v>6001</v>
      </c>
      <c r="AE565" s="1" t="s">
        <v>6002</v>
      </c>
      <c r="AF565" s="1" t="s">
        <v>6003</v>
      </c>
      <c r="AG565" s="1" t="s">
        <v>6002</v>
      </c>
      <c r="AH565" s="1" t="s">
        <v>169</v>
      </c>
      <c r="AI565" s="6">
        <v>78261.0</v>
      </c>
      <c r="AJ565" s="1" t="s">
        <v>106</v>
      </c>
      <c r="AK565" s="1" t="s">
        <v>6004</v>
      </c>
      <c r="AL565" s="1" t="s">
        <v>6005</v>
      </c>
      <c r="AM565" s="11" t="str">
        <f>VLOOKUP(N565,Sheet3!$B$4:$C$10,2,1)</f>
        <v>41-50</v>
      </c>
      <c r="AN565" s="13" t="str">
        <f>VLOOKUP(Z565,Sheet3!$F$4:$G$10,2,1)</f>
        <v>&lt; 5</v>
      </c>
      <c r="AO565" s="5" t="str">
        <f>VLOOKUP(AA565,Sheet3!$I$3:$J$16,2,1)</f>
        <v>180000-200000</v>
      </c>
      <c r="AP565" s="5" t="str">
        <f>VLOOKUP(AB565,Sheet3!$L$4:$M$14,2,1)</f>
        <v>16% - 20%</v>
      </c>
    </row>
    <row r="566">
      <c r="A566" s="6">
        <v>211729.0</v>
      </c>
      <c r="B566" s="1" t="s">
        <v>109</v>
      </c>
      <c r="C566" s="1" t="s">
        <v>6006</v>
      </c>
      <c r="D566" s="1" t="s">
        <v>529</v>
      </c>
      <c r="E566" s="1" t="s">
        <v>4219</v>
      </c>
      <c r="F566" s="1" t="s">
        <v>46</v>
      </c>
      <c r="G566" s="1" t="s">
        <v>6007</v>
      </c>
      <c r="H566" s="1" t="s">
        <v>5806</v>
      </c>
      <c r="I566" s="1" t="s">
        <v>6008</v>
      </c>
      <c r="J566" s="1" t="s">
        <v>6009</v>
      </c>
      <c r="K566" s="1" t="s">
        <v>2225</v>
      </c>
      <c r="L566" s="9">
        <v>22975.0</v>
      </c>
      <c r="M566" s="8">
        <v>0.7877430555555556</v>
      </c>
      <c r="N566" s="6">
        <v>54.71</v>
      </c>
      <c r="O566" s="6">
        <v>51.0</v>
      </c>
      <c r="P566" s="14">
        <v>34183.0</v>
      </c>
      <c r="Q566" s="1" t="s">
        <v>308</v>
      </c>
      <c r="R566" s="1" t="s">
        <v>53</v>
      </c>
      <c r="S566" s="6">
        <v>1993.0</v>
      </c>
      <c r="T566" s="6">
        <v>8.0</v>
      </c>
      <c r="U566" s="1" t="s">
        <v>433</v>
      </c>
      <c r="V566" s="1" t="s">
        <v>434</v>
      </c>
      <c r="W566" s="6">
        <v>2.0</v>
      </c>
      <c r="X566" s="1" t="s">
        <v>99</v>
      </c>
      <c r="Y566" s="1" t="s">
        <v>100</v>
      </c>
      <c r="Z566" s="6">
        <v>24.0</v>
      </c>
      <c r="AA566" s="6">
        <v>148855.0</v>
      </c>
      <c r="AB566" s="10">
        <v>0.15</v>
      </c>
      <c r="AC566" s="1" t="s">
        <v>6010</v>
      </c>
      <c r="AD566" s="1" t="s">
        <v>6011</v>
      </c>
      <c r="AE566" s="1" t="s">
        <v>6012</v>
      </c>
      <c r="AF566" s="1" t="s">
        <v>623</v>
      </c>
      <c r="AG566" s="1" t="s">
        <v>6012</v>
      </c>
      <c r="AH566" s="1" t="s">
        <v>223</v>
      </c>
      <c r="AI566" s="6">
        <v>16025.0</v>
      </c>
      <c r="AJ566" s="1" t="s">
        <v>224</v>
      </c>
      <c r="AK566" s="1" t="s">
        <v>6013</v>
      </c>
      <c r="AL566" s="1" t="s">
        <v>6014</v>
      </c>
      <c r="AM566" s="11" t="str">
        <f>VLOOKUP(N566,Sheet3!$B$4:$C$10,2,1)</f>
        <v>51-60</v>
      </c>
      <c r="AN566" s="13" t="str">
        <f>VLOOKUP(Z566,Sheet3!$F$4:$G$10,2,1)</f>
        <v>21-30</v>
      </c>
      <c r="AO566" s="5" t="str">
        <f>VLOOKUP(AA566,Sheet3!$I$3:$J$16,2,1)</f>
        <v>140000-160000</v>
      </c>
      <c r="AP566" s="5" t="str">
        <f>VLOOKUP(AB566,Sheet3!$L$4:$M$14,2,1)</f>
        <v>11% - 15%</v>
      </c>
    </row>
    <row r="567">
      <c r="A567" s="6">
        <v>760573.0</v>
      </c>
      <c r="B567" s="1" t="s">
        <v>125</v>
      </c>
      <c r="C567" s="1" t="s">
        <v>6015</v>
      </c>
      <c r="D567" s="1" t="s">
        <v>403</v>
      </c>
      <c r="E567" s="1" t="s">
        <v>1374</v>
      </c>
      <c r="F567" s="1" t="s">
        <v>46</v>
      </c>
      <c r="G567" s="1" t="s">
        <v>6016</v>
      </c>
      <c r="H567" s="1" t="s">
        <v>5806</v>
      </c>
      <c r="I567" s="1" t="s">
        <v>6017</v>
      </c>
      <c r="J567" s="1" t="s">
        <v>6018</v>
      </c>
      <c r="K567" s="1" t="s">
        <v>6019</v>
      </c>
      <c r="L567" s="14">
        <v>23622.0</v>
      </c>
      <c r="M567" s="8">
        <v>0.549050925925926</v>
      </c>
      <c r="N567" s="6">
        <v>52.94</v>
      </c>
      <c r="O567" s="6">
        <v>58.0</v>
      </c>
      <c r="P567" s="14">
        <v>41650.0</v>
      </c>
      <c r="Q567" s="1" t="s">
        <v>96</v>
      </c>
      <c r="R567" s="1" t="s">
        <v>76</v>
      </c>
      <c r="S567" s="6">
        <v>2014.0</v>
      </c>
      <c r="T567" s="6">
        <v>1.0</v>
      </c>
      <c r="U567" s="1" t="s">
        <v>276</v>
      </c>
      <c r="V567" s="1" t="s">
        <v>277</v>
      </c>
      <c r="W567" s="6">
        <v>11.0</v>
      </c>
      <c r="X567" s="1" t="s">
        <v>56</v>
      </c>
      <c r="Y567" s="1" t="s">
        <v>57</v>
      </c>
      <c r="Z567" s="6">
        <v>3.55</v>
      </c>
      <c r="AA567" s="6">
        <v>105923.0</v>
      </c>
      <c r="AB567" s="10">
        <v>0.23</v>
      </c>
      <c r="AC567" s="1" t="s">
        <v>6020</v>
      </c>
      <c r="AD567" s="1" t="s">
        <v>6021</v>
      </c>
      <c r="AE567" s="1" t="s">
        <v>6022</v>
      </c>
      <c r="AF567" s="1" t="s">
        <v>1637</v>
      </c>
      <c r="AG567" s="1" t="s">
        <v>6022</v>
      </c>
      <c r="AH567" s="1" t="s">
        <v>1638</v>
      </c>
      <c r="AI567" s="6">
        <v>57015.0</v>
      </c>
      <c r="AJ567" s="1" t="s">
        <v>86</v>
      </c>
      <c r="AK567" s="1" t="s">
        <v>6023</v>
      </c>
      <c r="AL567" s="1" t="s">
        <v>6024</v>
      </c>
      <c r="AM567" s="11" t="str">
        <f>VLOOKUP(N567,Sheet3!$B$4:$C$10,2,1)</f>
        <v>51-60</v>
      </c>
      <c r="AN567" s="13" t="str">
        <f>VLOOKUP(Z567,Sheet3!$F$4:$G$10,2,1)</f>
        <v>&lt; 5</v>
      </c>
      <c r="AO567" s="5" t="str">
        <f>VLOOKUP(AA567,Sheet3!$I$3:$J$16,2,1)</f>
        <v>100000-120000</v>
      </c>
      <c r="AP567" s="5" t="str">
        <f>VLOOKUP(AB567,Sheet3!$L$4:$M$14,2,1)</f>
        <v>21% - 25%</v>
      </c>
    </row>
    <row r="568">
      <c r="A568" s="6">
        <v>979873.0</v>
      </c>
      <c r="B568" s="1" t="s">
        <v>42</v>
      </c>
      <c r="C568" s="1" t="s">
        <v>6025</v>
      </c>
      <c r="D568" s="1" t="s">
        <v>288</v>
      </c>
      <c r="E568" s="1" t="s">
        <v>5839</v>
      </c>
      <c r="F568" s="1" t="s">
        <v>46</v>
      </c>
      <c r="G568" s="1" t="s">
        <v>6026</v>
      </c>
      <c r="H568" s="1" t="s">
        <v>5806</v>
      </c>
      <c r="I568" s="1" t="s">
        <v>6027</v>
      </c>
      <c r="J568" s="1" t="s">
        <v>6028</v>
      </c>
      <c r="K568" s="1" t="s">
        <v>2837</v>
      </c>
      <c r="L568" s="7">
        <v>25183.0</v>
      </c>
      <c r="M568" s="8">
        <v>0.21081018518518518</v>
      </c>
      <c r="N568" s="6">
        <v>48.66</v>
      </c>
      <c r="O568" s="6">
        <v>47.0</v>
      </c>
      <c r="P568" s="9">
        <v>37361.0</v>
      </c>
      <c r="Q568" s="1" t="s">
        <v>75</v>
      </c>
      <c r="R568" s="1" t="s">
        <v>76</v>
      </c>
      <c r="S568" s="6">
        <v>2002.0</v>
      </c>
      <c r="T568" s="6">
        <v>4.0</v>
      </c>
      <c r="U568" s="1" t="s">
        <v>77</v>
      </c>
      <c r="V568" s="1" t="s">
        <v>78</v>
      </c>
      <c r="W568" s="6">
        <v>15.0</v>
      </c>
      <c r="X568" s="1" t="s">
        <v>99</v>
      </c>
      <c r="Y568" s="1" t="s">
        <v>100</v>
      </c>
      <c r="Z568" s="6">
        <v>15.3</v>
      </c>
      <c r="AA568" s="6">
        <v>165568.0</v>
      </c>
      <c r="AB568" s="10">
        <v>0.27</v>
      </c>
      <c r="AC568" s="1" t="s">
        <v>6029</v>
      </c>
      <c r="AD568" s="1" t="s">
        <v>6030</v>
      </c>
      <c r="AE568" s="1" t="s">
        <v>6031</v>
      </c>
      <c r="AF568" s="1" t="s">
        <v>1755</v>
      </c>
      <c r="AG568" s="1" t="s">
        <v>6031</v>
      </c>
      <c r="AH568" s="1" t="s">
        <v>223</v>
      </c>
      <c r="AI568" s="6">
        <v>16827.0</v>
      </c>
      <c r="AJ568" s="1" t="s">
        <v>224</v>
      </c>
      <c r="AK568" s="1" t="s">
        <v>6032</v>
      </c>
      <c r="AL568" s="1" t="s">
        <v>6033</v>
      </c>
      <c r="AM568" s="11" t="str">
        <f>VLOOKUP(N568,Sheet3!$B$4:$C$10,2,1)</f>
        <v>41-50</v>
      </c>
      <c r="AN568" s="12" t="str">
        <f>VLOOKUP(Z568,Sheet3!$F$4:$G$10,2,1)</f>
        <v>11-20</v>
      </c>
      <c r="AO568" s="5" t="str">
        <f>VLOOKUP(AA568,Sheet3!$I$3:$J$16,2,1)</f>
        <v>160000-180000</v>
      </c>
      <c r="AP568" s="5" t="str">
        <f>VLOOKUP(AB568,Sheet3!$L$4:$M$14,2,1)</f>
        <v>26% - 30%</v>
      </c>
    </row>
    <row r="569">
      <c r="A569" s="6">
        <v>446702.0</v>
      </c>
      <c r="B569" s="1" t="s">
        <v>66</v>
      </c>
      <c r="C569" s="1" t="s">
        <v>6034</v>
      </c>
      <c r="D569" s="1" t="s">
        <v>200</v>
      </c>
      <c r="E569" s="1" t="s">
        <v>4744</v>
      </c>
      <c r="F569" s="1" t="s">
        <v>70</v>
      </c>
      <c r="G569" s="1" t="s">
        <v>6035</v>
      </c>
      <c r="H569" s="1" t="s">
        <v>5806</v>
      </c>
      <c r="I569" s="1" t="s">
        <v>6036</v>
      </c>
      <c r="J569" s="1" t="s">
        <v>6037</v>
      </c>
      <c r="K569" s="1" t="s">
        <v>1408</v>
      </c>
      <c r="L569" s="7">
        <v>22201.0</v>
      </c>
      <c r="M569" s="8">
        <v>0.795</v>
      </c>
      <c r="N569" s="6">
        <v>56.83</v>
      </c>
      <c r="O569" s="6">
        <v>67.0</v>
      </c>
      <c r="P569" s="14">
        <v>33879.0</v>
      </c>
      <c r="Q569" s="1" t="s">
        <v>52</v>
      </c>
      <c r="R569" s="1" t="s">
        <v>53</v>
      </c>
      <c r="S569" s="6">
        <v>1992.0</v>
      </c>
      <c r="T569" s="6">
        <v>10.0</v>
      </c>
      <c r="U569" s="1" t="s">
        <v>133</v>
      </c>
      <c r="V569" s="1" t="s">
        <v>134</v>
      </c>
      <c r="W569" s="6">
        <v>2.0</v>
      </c>
      <c r="X569" s="1" t="s">
        <v>263</v>
      </c>
      <c r="Y569" s="1" t="s">
        <v>264</v>
      </c>
      <c r="Z569" s="6">
        <v>24.84</v>
      </c>
      <c r="AA569" s="6">
        <v>104084.0</v>
      </c>
      <c r="AB569" s="10">
        <v>0.05</v>
      </c>
      <c r="AC569" s="1" t="s">
        <v>6038</v>
      </c>
      <c r="AD569" s="1" t="s">
        <v>6039</v>
      </c>
      <c r="AE569" s="1" t="s">
        <v>6040</v>
      </c>
      <c r="AF569" s="1" t="s">
        <v>6041</v>
      </c>
      <c r="AG569" s="1" t="s">
        <v>6040</v>
      </c>
      <c r="AH569" s="1" t="s">
        <v>238</v>
      </c>
      <c r="AI569" s="6">
        <v>96111.0</v>
      </c>
      <c r="AJ569" s="1" t="s">
        <v>63</v>
      </c>
      <c r="AK569" s="1" t="s">
        <v>6042</v>
      </c>
      <c r="AL569" s="1" t="s">
        <v>6043</v>
      </c>
      <c r="AM569" s="11" t="str">
        <f>VLOOKUP(N569,Sheet3!$B$4:$C$10,2,1)</f>
        <v>51-60</v>
      </c>
      <c r="AN569" s="13" t="str">
        <f>VLOOKUP(Z569,Sheet3!$F$4:$G$10,2,1)</f>
        <v>21-30</v>
      </c>
      <c r="AO569" s="5" t="str">
        <f>VLOOKUP(AA569,Sheet3!$I$3:$J$16,2,1)</f>
        <v>100000-120000</v>
      </c>
      <c r="AP569" s="5" t="str">
        <f>VLOOKUP(AB569,Sheet3!$L$4:$M$14,2,1)</f>
        <v>5% - 10%</v>
      </c>
    </row>
    <row r="570">
      <c r="A570" s="6">
        <v>505362.0</v>
      </c>
      <c r="B570" s="1" t="s">
        <v>66</v>
      </c>
      <c r="C570" s="1" t="s">
        <v>5140</v>
      </c>
      <c r="D570" s="1" t="s">
        <v>466</v>
      </c>
      <c r="E570" s="1" t="s">
        <v>417</v>
      </c>
      <c r="F570" s="1" t="s">
        <v>70</v>
      </c>
      <c r="G570" s="1" t="s">
        <v>6044</v>
      </c>
      <c r="H570" s="1" t="s">
        <v>5806</v>
      </c>
      <c r="I570" s="1" t="s">
        <v>6045</v>
      </c>
      <c r="J570" s="1" t="s">
        <v>6046</v>
      </c>
      <c r="K570" s="1" t="s">
        <v>6047</v>
      </c>
      <c r="L570" s="14">
        <v>34309.0</v>
      </c>
      <c r="M570" s="8">
        <v>0.4213078703703704</v>
      </c>
      <c r="N570" s="6">
        <v>23.66</v>
      </c>
      <c r="O570" s="6">
        <v>83.0</v>
      </c>
      <c r="P570" s="9">
        <v>42060.0</v>
      </c>
      <c r="Q570" s="1" t="s">
        <v>96</v>
      </c>
      <c r="R570" s="1" t="s">
        <v>76</v>
      </c>
      <c r="S570" s="6">
        <v>2015.0</v>
      </c>
      <c r="T570" s="6">
        <v>2.0</v>
      </c>
      <c r="U570" s="1" t="s">
        <v>117</v>
      </c>
      <c r="V570" s="1" t="s">
        <v>118</v>
      </c>
      <c r="W570" s="6">
        <v>25.0</v>
      </c>
      <c r="X570" s="1" t="s">
        <v>278</v>
      </c>
      <c r="Y570" s="1" t="s">
        <v>279</v>
      </c>
      <c r="Z570" s="6">
        <v>2.42</v>
      </c>
      <c r="AA570" s="6">
        <v>46181.0</v>
      </c>
      <c r="AB570" s="10">
        <v>0.04</v>
      </c>
      <c r="AC570" s="1" t="s">
        <v>6048</v>
      </c>
      <c r="AD570" s="1" t="s">
        <v>6049</v>
      </c>
      <c r="AE570" s="1" t="s">
        <v>6050</v>
      </c>
      <c r="AF570" s="1" t="s">
        <v>2452</v>
      </c>
      <c r="AG570" s="1" t="s">
        <v>6050</v>
      </c>
      <c r="AH570" s="1" t="s">
        <v>156</v>
      </c>
      <c r="AI570" s="6">
        <v>24368.0</v>
      </c>
      <c r="AJ570" s="1" t="s">
        <v>106</v>
      </c>
      <c r="AK570" s="1" t="s">
        <v>6051</v>
      </c>
      <c r="AL570" s="1" t="s">
        <v>6052</v>
      </c>
      <c r="AM570" s="11" t="str">
        <f>VLOOKUP(N570,Sheet3!$B$4:$C$10,2,1)</f>
        <v>21-30</v>
      </c>
      <c r="AN570" s="13" t="str">
        <f>VLOOKUP(Z570,Sheet3!$F$4:$G$10,2,1)</f>
        <v>&lt; 5</v>
      </c>
      <c r="AO570" s="5" t="str">
        <f>VLOOKUP(AA570,Sheet3!$I$3:$J$16,2,1)</f>
        <v>40000-60000</v>
      </c>
      <c r="AP570" s="5" t="str">
        <f>VLOOKUP(AB570,Sheet3!$L$4:$M$14,2,1)</f>
        <v>&lt; 5%</v>
      </c>
    </row>
    <row r="571">
      <c r="A571" s="6">
        <v>451940.0</v>
      </c>
      <c r="B571" s="1" t="s">
        <v>66</v>
      </c>
      <c r="C571" s="1" t="s">
        <v>6053</v>
      </c>
      <c r="D571" s="1" t="s">
        <v>318</v>
      </c>
      <c r="E571" s="1" t="s">
        <v>3039</v>
      </c>
      <c r="F571" s="1" t="s">
        <v>70</v>
      </c>
      <c r="G571" s="1" t="s">
        <v>6054</v>
      </c>
      <c r="H571" s="1" t="s">
        <v>5806</v>
      </c>
      <c r="I571" s="1" t="s">
        <v>6055</v>
      </c>
      <c r="J571" s="1" t="s">
        <v>6056</v>
      </c>
      <c r="K571" s="1" t="s">
        <v>335</v>
      </c>
      <c r="L571" s="9">
        <v>31104.0</v>
      </c>
      <c r="M571" s="8">
        <v>0.4326273148148148</v>
      </c>
      <c r="N571" s="6">
        <v>32.44</v>
      </c>
      <c r="O571" s="6">
        <v>80.0</v>
      </c>
      <c r="P571" s="9">
        <v>38859.0</v>
      </c>
      <c r="Q571" s="1" t="s">
        <v>75</v>
      </c>
      <c r="R571" s="1" t="s">
        <v>76</v>
      </c>
      <c r="S571" s="6">
        <v>2006.0</v>
      </c>
      <c r="T571" s="6">
        <v>5.0</v>
      </c>
      <c r="U571" s="1" t="s">
        <v>294</v>
      </c>
      <c r="V571" s="1" t="s">
        <v>294</v>
      </c>
      <c r="W571" s="6">
        <v>22.0</v>
      </c>
      <c r="X571" s="1" t="s">
        <v>99</v>
      </c>
      <c r="Y571" s="1" t="s">
        <v>100</v>
      </c>
      <c r="Z571" s="6">
        <v>11.19</v>
      </c>
      <c r="AA571" s="6">
        <v>136951.0</v>
      </c>
      <c r="AB571" s="10">
        <v>0.18</v>
      </c>
      <c r="AC571" s="1" t="s">
        <v>6057</v>
      </c>
      <c r="AD571" s="1" t="s">
        <v>6058</v>
      </c>
      <c r="AE571" s="1" t="s">
        <v>1859</v>
      </c>
      <c r="AF571" s="1" t="s">
        <v>1959</v>
      </c>
      <c r="AG571" s="1" t="s">
        <v>1859</v>
      </c>
      <c r="AH571" s="1" t="s">
        <v>488</v>
      </c>
      <c r="AI571" s="6">
        <v>33776.0</v>
      </c>
      <c r="AJ571" s="1" t="s">
        <v>106</v>
      </c>
      <c r="AK571" s="1" t="s">
        <v>6059</v>
      </c>
      <c r="AL571" s="1" t="s">
        <v>6060</v>
      </c>
      <c r="AM571" s="11" t="str">
        <f>VLOOKUP(N571,Sheet3!$B$4:$C$10,2,1)</f>
        <v>31-40</v>
      </c>
      <c r="AN571" s="12" t="str">
        <f>VLOOKUP(Z571,Sheet3!$F$4:$G$10,2,1)</f>
        <v>11-20</v>
      </c>
      <c r="AO571" s="5" t="str">
        <f>VLOOKUP(AA571,Sheet3!$I$3:$J$16,2,1)</f>
        <v>120000-140000</v>
      </c>
      <c r="AP571" s="5" t="str">
        <f>VLOOKUP(AB571,Sheet3!$L$4:$M$14,2,1)</f>
        <v>16% - 20%</v>
      </c>
    </row>
    <row r="572">
      <c r="A572" s="6">
        <v>411196.0</v>
      </c>
      <c r="B572" s="1" t="s">
        <v>42</v>
      </c>
      <c r="C572" s="1" t="s">
        <v>6061</v>
      </c>
      <c r="D572" s="1" t="s">
        <v>111</v>
      </c>
      <c r="E572" s="1" t="s">
        <v>1374</v>
      </c>
      <c r="F572" s="1" t="s">
        <v>46</v>
      </c>
      <c r="G572" s="1" t="s">
        <v>6062</v>
      </c>
      <c r="H572" s="1" t="s">
        <v>5806</v>
      </c>
      <c r="I572" s="1" t="s">
        <v>6063</v>
      </c>
      <c r="J572" s="1" t="s">
        <v>6064</v>
      </c>
      <c r="K572" s="1" t="s">
        <v>3625</v>
      </c>
      <c r="L572" s="9">
        <v>24805.0</v>
      </c>
      <c r="M572" s="8">
        <v>0.040219907407407406</v>
      </c>
      <c r="N572" s="6">
        <v>49.7</v>
      </c>
      <c r="O572" s="6">
        <v>48.0</v>
      </c>
      <c r="P572" s="9">
        <v>42021.0</v>
      </c>
      <c r="Q572" s="1" t="s">
        <v>96</v>
      </c>
      <c r="R572" s="1" t="s">
        <v>76</v>
      </c>
      <c r="S572" s="6">
        <v>2015.0</v>
      </c>
      <c r="T572" s="6">
        <v>1.0</v>
      </c>
      <c r="U572" s="1" t="s">
        <v>276</v>
      </c>
      <c r="V572" s="1" t="s">
        <v>277</v>
      </c>
      <c r="W572" s="6">
        <v>17.0</v>
      </c>
      <c r="X572" s="1" t="s">
        <v>56</v>
      </c>
      <c r="Y572" s="1" t="s">
        <v>57</v>
      </c>
      <c r="Z572" s="6">
        <v>2.53</v>
      </c>
      <c r="AA572" s="6">
        <v>143460.0</v>
      </c>
      <c r="AB572" s="10">
        <v>0.05</v>
      </c>
      <c r="AC572" s="1" t="s">
        <v>6065</v>
      </c>
      <c r="AD572" s="1" t="s">
        <v>6066</v>
      </c>
      <c r="AE572" s="1" t="s">
        <v>6067</v>
      </c>
      <c r="AF572" s="1" t="s">
        <v>6067</v>
      </c>
      <c r="AG572" s="1" t="s">
        <v>6067</v>
      </c>
      <c r="AH572" s="1" t="s">
        <v>893</v>
      </c>
      <c r="AI572" s="6">
        <v>28696.0</v>
      </c>
      <c r="AJ572" s="1" t="s">
        <v>106</v>
      </c>
      <c r="AK572" s="1" t="s">
        <v>6068</v>
      </c>
      <c r="AL572" s="1" t="s">
        <v>6069</v>
      </c>
      <c r="AM572" s="11" t="str">
        <f>VLOOKUP(N572,Sheet3!$B$4:$C$10,2,1)</f>
        <v>41-50</v>
      </c>
      <c r="AN572" s="13" t="str">
        <f>VLOOKUP(Z572,Sheet3!$F$4:$G$10,2,1)</f>
        <v>&lt; 5</v>
      </c>
      <c r="AO572" s="5" t="str">
        <f>VLOOKUP(AA572,Sheet3!$I$3:$J$16,2,1)</f>
        <v>140000-160000</v>
      </c>
      <c r="AP572" s="5" t="str">
        <f>VLOOKUP(AB572,Sheet3!$L$4:$M$14,2,1)</f>
        <v>5% - 10%</v>
      </c>
    </row>
    <row r="573">
      <c r="A573" s="6">
        <v>636457.0</v>
      </c>
      <c r="B573" s="1" t="s">
        <v>66</v>
      </c>
      <c r="C573" s="1" t="s">
        <v>1255</v>
      </c>
      <c r="D573" s="1" t="s">
        <v>360</v>
      </c>
      <c r="E573" s="1" t="s">
        <v>1500</v>
      </c>
      <c r="F573" s="1" t="s">
        <v>70</v>
      </c>
      <c r="G573" s="1" t="s">
        <v>6070</v>
      </c>
      <c r="H573" s="1" t="s">
        <v>5806</v>
      </c>
      <c r="I573" s="1" t="s">
        <v>6071</v>
      </c>
      <c r="J573" s="1" t="s">
        <v>6072</v>
      </c>
      <c r="K573" s="1" t="s">
        <v>2316</v>
      </c>
      <c r="L573" s="9">
        <v>21483.0</v>
      </c>
      <c r="M573" s="8">
        <v>0.30887731481481484</v>
      </c>
      <c r="N573" s="6">
        <v>58.8</v>
      </c>
      <c r="O573" s="6">
        <v>78.0</v>
      </c>
      <c r="P573" s="14">
        <v>41917.0</v>
      </c>
      <c r="Q573" s="1" t="s">
        <v>52</v>
      </c>
      <c r="R573" s="1" t="s">
        <v>53</v>
      </c>
      <c r="S573" s="6">
        <v>2014.0</v>
      </c>
      <c r="T573" s="6">
        <v>10.0</v>
      </c>
      <c r="U573" s="1" t="s">
        <v>133</v>
      </c>
      <c r="V573" s="1" t="s">
        <v>134</v>
      </c>
      <c r="W573" s="6">
        <v>5.0</v>
      </c>
      <c r="X573" s="1" t="s">
        <v>534</v>
      </c>
      <c r="Y573" s="1" t="s">
        <v>535</v>
      </c>
      <c r="Z573" s="6">
        <v>2.81</v>
      </c>
      <c r="AA573" s="6">
        <v>157479.0</v>
      </c>
      <c r="AB573" s="10">
        <v>0.3</v>
      </c>
      <c r="AC573" s="1" t="s">
        <v>6073</v>
      </c>
      <c r="AD573" s="1" t="s">
        <v>6074</v>
      </c>
      <c r="AE573" s="1" t="s">
        <v>6075</v>
      </c>
      <c r="AF573" s="1" t="s">
        <v>5690</v>
      </c>
      <c r="AG573" s="1" t="s">
        <v>6075</v>
      </c>
      <c r="AH573" s="1" t="s">
        <v>563</v>
      </c>
      <c r="AI573" s="6">
        <v>24827.0</v>
      </c>
      <c r="AJ573" s="1" t="s">
        <v>106</v>
      </c>
      <c r="AK573" s="1" t="s">
        <v>6076</v>
      </c>
      <c r="AL573" s="1" t="s">
        <v>6077</v>
      </c>
      <c r="AM573" s="11" t="str">
        <f>VLOOKUP(N573,Sheet3!$B$4:$C$10,2,1)</f>
        <v>51-60</v>
      </c>
      <c r="AN573" s="13" t="str">
        <f>VLOOKUP(Z573,Sheet3!$F$4:$G$10,2,1)</f>
        <v>&lt; 5</v>
      </c>
      <c r="AO573" s="5" t="str">
        <f>VLOOKUP(AA573,Sheet3!$I$3:$J$16,2,1)</f>
        <v>140000-160000</v>
      </c>
      <c r="AP573" s="5" t="str">
        <f>VLOOKUP(AB573,Sheet3!$L$4:$M$14,2,1)</f>
        <v>26% - 30%</v>
      </c>
    </row>
    <row r="574">
      <c r="A574" s="6">
        <v>262702.0</v>
      </c>
      <c r="B574" s="1" t="s">
        <v>66</v>
      </c>
      <c r="C574" s="1" t="s">
        <v>2413</v>
      </c>
      <c r="D574" s="1" t="s">
        <v>257</v>
      </c>
      <c r="E574" s="1" t="s">
        <v>6078</v>
      </c>
      <c r="F574" s="1" t="s">
        <v>70</v>
      </c>
      <c r="G574" s="1" t="s">
        <v>6079</v>
      </c>
      <c r="H574" s="1" t="s">
        <v>5806</v>
      </c>
      <c r="I574" s="1" t="s">
        <v>6080</v>
      </c>
      <c r="J574" s="1" t="s">
        <v>6081</v>
      </c>
      <c r="K574" s="1" t="s">
        <v>1637</v>
      </c>
      <c r="L574" s="9">
        <v>23521.0</v>
      </c>
      <c r="M574" s="8">
        <v>0.35660879629629627</v>
      </c>
      <c r="N574" s="6">
        <v>53.21</v>
      </c>
      <c r="O574" s="6">
        <v>67.0</v>
      </c>
      <c r="P574" s="14">
        <v>37870.0</v>
      </c>
      <c r="Q574" s="1" t="s">
        <v>308</v>
      </c>
      <c r="R574" s="1" t="s">
        <v>53</v>
      </c>
      <c r="S574" s="6">
        <v>2003.0</v>
      </c>
      <c r="T574" s="6">
        <v>9.0</v>
      </c>
      <c r="U574" s="1" t="s">
        <v>309</v>
      </c>
      <c r="V574" s="1" t="s">
        <v>310</v>
      </c>
      <c r="W574" s="6">
        <v>6.0</v>
      </c>
      <c r="X574" s="1" t="s">
        <v>56</v>
      </c>
      <c r="Y574" s="1" t="s">
        <v>57</v>
      </c>
      <c r="Z574" s="6">
        <v>13.9</v>
      </c>
      <c r="AA574" s="6">
        <v>124788.0</v>
      </c>
      <c r="AB574" s="10">
        <v>0.17</v>
      </c>
      <c r="AC574" s="1" t="s">
        <v>6082</v>
      </c>
      <c r="AD574" s="1" t="s">
        <v>6083</v>
      </c>
      <c r="AE574" s="1" t="s">
        <v>6084</v>
      </c>
      <c r="AF574" s="1" t="s">
        <v>2633</v>
      </c>
      <c r="AG574" s="1" t="s">
        <v>6084</v>
      </c>
      <c r="AH574" s="1" t="s">
        <v>284</v>
      </c>
      <c r="AI574" s="6">
        <v>50148.0</v>
      </c>
      <c r="AJ574" s="1" t="s">
        <v>86</v>
      </c>
      <c r="AK574" s="1" t="s">
        <v>6085</v>
      </c>
      <c r="AL574" s="1" t="s">
        <v>6086</v>
      </c>
      <c r="AM574" s="11" t="str">
        <f>VLOOKUP(N574,Sheet3!$B$4:$C$10,2,1)</f>
        <v>51-60</v>
      </c>
      <c r="AN574" s="12" t="str">
        <f>VLOOKUP(Z574,Sheet3!$F$4:$G$10,2,1)</f>
        <v>11-20</v>
      </c>
      <c r="AO574" s="5" t="str">
        <f>VLOOKUP(AA574,Sheet3!$I$3:$J$16,2,1)</f>
        <v>120000-140000</v>
      </c>
      <c r="AP574" s="5" t="str">
        <f>VLOOKUP(AB574,Sheet3!$L$4:$M$14,2,1)</f>
        <v>16% - 20%</v>
      </c>
    </row>
    <row r="575">
      <c r="A575" s="6">
        <v>422323.0</v>
      </c>
      <c r="B575" s="1" t="s">
        <v>109</v>
      </c>
      <c r="C575" s="1" t="s">
        <v>6087</v>
      </c>
      <c r="D575" s="1" t="s">
        <v>173</v>
      </c>
      <c r="E575" s="1" t="s">
        <v>3441</v>
      </c>
      <c r="F575" s="1" t="s">
        <v>46</v>
      </c>
      <c r="G575" s="1" t="s">
        <v>6088</v>
      </c>
      <c r="H575" s="1" t="s">
        <v>5806</v>
      </c>
      <c r="I575" s="1" t="s">
        <v>6089</v>
      </c>
      <c r="J575" s="1" t="s">
        <v>6090</v>
      </c>
      <c r="K575" s="1" t="s">
        <v>6091</v>
      </c>
      <c r="L575" s="9">
        <v>23223.0</v>
      </c>
      <c r="M575" s="8">
        <v>0.07725694444444445</v>
      </c>
      <c r="N575" s="6">
        <v>54.03</v>
      </c>
      <c r="O575" s="6">
        <v>46.0</v>
      </c>
      <c r="P575" s="9">
        <v>37310.0</v>
      </c>
      <c r="Q575" s="1" t="s">
        <v>96</v>
      </c>
      <c r="R575" s="1" t="s">
        <v>76</v>
      </c>
      <c r="S575" s="6">
        <v>2002.0</v>
      </c>
      <c r="T575" s="6">
        <v>2.0</v>
      </c>
      <c r="U575" s="1" t="s">
        <v>117</v>
      </c>
      <c r="V575" s="1" t="s">
        <v>118</v>
      </c>
      <c r="W575" s="6">
        <v>23.0</v>
      </c>
      <c r="X575" s="1" t="s">
        <v>56</v>
      </c>
      <c r="Y575" s="1" t="s">
        <v>57</v>
      </c>
      <c r="Z575" s="6">
        <v>15.44</v>
      </c>
      <c r="AA575" s="6">
        <v>184765.0</v>
      </c>
      <c r="AB575" s="10">
        <v>0.23</v>
      </c>
      <c r="AC575" s="1" t="s">
        <v>6092</v>
      </c>
      <c r="AD575" s="1" t="s">
        <v>6093</v>
      </c>
      <c r="AE575" s="1" t="s">
        <v>6094</v>
      </c>
      <c r="AF575" s="1" t="s">
        <v>1424</v>
      </c>
      <c r="AG575" s="1" t="s">
        <v>6094</v>
      </c>
      <c r="AH575" s="1" t="s">
        <v>372</v>
      </c>
      <c r="AI575" s="6">
        <v>68348.0</v>
      </c>
      <c r="AJ575" s="1" t="s">
        <v>86</v>
      </c>
      <c r="AK575" s="1" t="s">
        <v>6095</v>
      </c>
      <c r="AL575" s="1" t="s">
        <v>6096</v>
      </c>
      <c r="AM575" s="11" t="str">
        <f>VLOOKUP(N575,Sheet3!$B$4:$C$10,2,1)</f>
        <v>51-60</v>
      </c>
      <c r="AN575" s="12" t="str">
        <f>VLOOKUP(Z575,Sheet3!$F$4:$G$10,2,1)</f>
        <v>11-20</v>
      </c>
      <c r="AO575" s="5" t="str">
        <f>VLOOKUP(AA575,Sheet3!$I$3:$J$16,2,1)</f>
        <v>180000-200000</v>
      </c>
      <c r="AP575" s="5" t="str">
        <f>VLOOKUP(AB575,Sheet3!$L$4:$M$14,2,1)</f>
        <v>21% - 25%</v>
      </c>
    </row>
    <row r="576">
      <c r="A576" s="6">
        <v>328389.0</v>
      </c>
      <c r="B576" s="1" t="s">
        <v>66</v>
      </c>
      <c r="C576" s="1" t="s">
        <v>3369</v>
      </c>
      <c r="D576" s="1" t="s">
        <v>861</v>
      </c>
      <c r="E576" s="1" t="s">
        <v>4891</v>
      </c>
      <c r="F576" s="1" t="s">
        <v>70</v>
      </c>
      <c r="G576" s="1" t="s">
        <v>6097</v>
      </c>
      <c r="H576" s="1" t="s">
        <v>5806</v>
      </c>
      <c r="I576" s="1" t="s">
        <v>6098</v>
      </c>
      <c r="J576" s="1" t="s">
        <v>6099</v>
      </c>
      <c r="K576" s="1" t="s">
        <v>1362</v>
      </c>
      <c r="L576" s="9">
        <v>30739.0</v>
      </c>
      <c r="M576" s="8">
        <v>0.8758449074074074</v>
      </c>
      <c r="N576" s="6">
        <v>33.44</v>
      </c>
      <c r="O576" s="6">
        <v>81.0</v>
      </c>
      <c r="P576" s="14">
        <v>39822.0</v>
      </c>
      <c r="Q576" s="1" t="s">
        <v>96</v>
      </c>
      <c r="R576" s="1" t="s">
        <v>76</v>
      </c>
      <c r="S576" s="6">
        <v>2009.0</v>
      </c>
      <c r="T576" s="6">
        <v>1.0</v>
      </c>
      <c r="U576" s="1" t="s">
        <v>276</v>
      </c>
      <c r="V576" s="1" t="s">
        <v>277</v>
      </c>
      <c r="W576" s="6">
        <v>9.0</v>
      </c>
      <c r="X576" s="1" t="s">
        <v>263</v>
      </c>
      <c r="Y576" s="1" t="s">
        <v>264</v>
      </c>
      <c r="Z576" s="6">
        <v>8.55</v>
      </c>
      <c r="AA576" s="6">
        <v>149121.0</v>
      </c>
      <c r="AB576" s="10">
        <v>0.21</v>
      </c>
      <c r="AC576" s="1" t="s">
        <v>6100</v>
      </c>
      <c r="AD576" s="1" t="s">
        <v>6101</v>
      </c>
      <c r="AE576" s="1" t="s">
        <v>6102</v>
      </c>
      <c r="AF576" s="1" t="s">
        <v>1343</v>
      </c>
      <c r="AG576" s="1" t="s">
        <v>6102</v>
      </c>
      <c r="AH576" s="1" t="s">
        <v>740</v>
      </c>
      <c r="AI576" s="6">
        <v>1474.0</v>
      </c>
      <c r="AJ576" s="1" t="s">
        <v>224</v>
      </c>
      <c r="AK576" s="1" t="s">
        <v>6103</v>
      </c>
      <c r="AL576" s="1" t="s">
        <v>6104</v>
      </c>
      <c r="AM576" s="11" t="str">
        <f>VLOOKUP(N576,Sheet3!$B$4:$C$10,2,1)</f>
        <v>31-40</v>
      </c>
      <c r="AN576" s="12" t="str">
        <f>VLOOKUP(Z576,Sheet3!$F$4:$G$10,2,1)</f>
        <v>5-10</v>
      </c>
      <c r="AO576" s="5" t="str">
        <f>VLOOKUP(AA576,Sheet3!$I$3:$J$16,2,1)</f>
        <v>140000-160000</v>
      </c>
      <c r="AP576" s="5" t="str">
        <f>VLOOKUP(AB576,Sheet3!$L$4:$M$14,2,1)</f>
        <v>21% - 25%</v>
      </c>
    </row>
    <row r="577">
      <c r="A577" s="6">
        <v>733184.0</v>
      </c>
      <c r="B577" s="1" t="s">
        <v>125</v>
      </c>
      <c r="C577" s="1" t="s">
        <v>6105</v>
      </c>
      <c r="D577" s="1" t="s">
        <v>127</v>
      </c>
      <c r="E577" s="1" t="s">
        <v>2302</v>
      </c>
      <c r="F577" s="1" t="s">
        <v>46</v>
      </c>
      <c r="G577" s="1" t="s">
        <v>6106</v>
      </c>
      <c r="H577" s="1" t="s">
        <v>5806</v>
      </c>
      <c r="I577" s="1" t="s">
        <v>6107</v>
      </c>
      <c r="J577" s="1" t="s">
        <v>6108</v>
      </c>
      <c r="K577" s="1" t="s">
        <v>3177</v>
      </c>
      <c r="L577" s="9">
        <v>26411.0</v>
      </c>
      <c r="M577" s="8">
        <v>0.6228703703703704</v>
      </c>
      <c r="N577" s="6">
        <v>45.3</v>
      </c>
      <c r="O577" s="6">
        <v>48.0</v>
      </c>
      <c r="P577" s="9">
        <v>40683.0</v>
      </c>
      <c r="Q577" s="1" t="s">
        <v>75</v>
      </c>
      <c r="R577" s="1" t="s">
        <v>76</v>
      </c>
      <c r="S577" s="6">
        <v>2011.0</v>
      </c>
      <c r="T577" s="6">
        <v>5.0</v>
      </c>
      <c r="U577" s="1" t="s">
        <v>294</v>
      </c>
      <c r="V577" s="1" t="s">
        <v>294</v>
      </c>
      <c r="W577" s="6">
        <v>20.0</v>
      </c>
      <c r="X577" s="1" t="s">
        <v>263</v>
      </c>
      <c r="Y577" s="1" t="s">
        <v>264</v>
      </c>
      <c r="Z577" s="6">
        <v>6.19</v>
      </c>
      <c r="AA577" s="6">
        <v>53190.0</v>
      </c>
      <c r="AB577" s="10">
        <v>0.27</v>
      </c>
      <c r="AC577" s="1" t="s">
        <v>6109</v>
      </c>
      <c r="AD577" s="1" t="s">
        <v>6110</v>
      </c>
      <c r="AE577" s="1" t="s">
        <v>6111</v>
      </c>
      <c r="AF577" s="1" t="s">
        <v>6111</v>
      </c>
      <c r="AG577" s="1" t="s">
        <v>6111</v>
      </c>
      <c r="AH577" s="1" t="s">
        <v>238</v>
      </c>
      <c r="AI577" s="6">
        <v>92134.0</v>
      </c>
      <c r="AJ577" s="1" t="s">
        <v>63</v>
      </c>
      <c r="AK577" s="1" t="s">
        <v>6112</v>
      </c>
      <c r="AL577" s="1" t="s">
        <v>6113</v>
      </c>
      <c r="AM577" s="11" t="str">
        <f>VLOOKUP(N577,Sheet3!$B$4:$C$10,2,1)</f>
        <v>41-50</v>
      </c>
      <c r="AN577" s="12" t="str">
        <f>VLOOKUP(Z577,Sheet3!$F$4:$G$10,2,1)</f>
        <v>5-10</v>
      </c>
      <c r="AO577" s="5" t="str">
        <f>VLOOKUP(AA577,Sheet3!$I$3:$J$16,2,1)</f>
        <v>40000-60000</v>
      </c>
      <c r="AP577" s="5" t="str">
        <f>VLOOKUP(AB577,Sheet3!$L$4:$M$14,2,1)</f>
        <v>26% - 30%</v>
      </c>
    </row>
    <row r="578">
      <c r="A578" s="6">
        <v>649821.0</v>
      </c>
      <c r="B578" s="1" t="s">
        <v>66</v>
      </c>
      <c r="C578" s="1" t="s">
        <v>6114</v>
      </c>
      <c r="D578" s="1" t="s">
        <v>1300</v>
      </c>
      <c r="E578" s="1" t="s">
        <v>6115</v>
      </c>
      <c r="F578" s="1" t="s">
        <v>70</v>
      </c>
      <c r="G578" s="1" t="s">
        <v>6116</v>
      </c>
      <c r="H578" s="1" t="s">
        <v>5806</v>
      </c>
      <c r="I578" s="1" t="s">
        <v>6117</v>
      </c>
      <c r="J578" s="1" t="s">
        <v>6118</v>
      </c>
      <c r="K578" s="1" t="s">
        <v>3898</v>
      </c>
      <c r="L578" s="9">
        <v>30184.0</v>
      </c>
      <c r="M578" s="8">
        <v>0.26016203703703705</v>
      </c>
      <c r="N578" s="6">
        <v>34.96</v>
      </c>
      <c r="O578" s="6">
        <v>58.0</v>
      </c>
      <c r="P578" s="9">
        <v>42361.0</v>
      </c>
      <c r="Q578" s="1" t="s">
        <v>52</v>
      </c>
      <c r="R578" s="1" t="s">
        <v>53</v>
      </c>
      <c r="S578" s="6">
        <v>2015.0</v>
      </c>
      <c r="T578" s="6">
        <v>12.0</v>
      </c>
      <c r="U578" s="1" t="s">
        <v>54</v>
      </c>
      <c r="V578" s="1" t="s">
        <v>55</v>
      </c>
      <c r="W578" s="6">
        <v>23.0</v>
      </c>
      <c r="X578" s="1" t="s">
        <v>278</v>
      </c>
      <c r="Y578" s="1" t="s">
        <v>279</v>
      </c>
      <c r="Z578" s="6">
        <v>1.6</v>
      </c>
      <c r="AA578" s="6">
        <v>99567.0</v>
      </c>
      <c r="AB578" s="10">
        <v>0.26</v>
      </c>
      <c r="AC578" s="1" t="s">
        <v>6119</v>
      </c>
      <c r="AD578" s="1" t="s">
        <v>6120</v>
      </c>
      <c r="AE578" s="1" t="s">
        <v>2767</v>
      </c>
      <c r="AF578" s="1" t="s">
        <v>6121</v>
      </c>
      <c r="AG578" s="1" t="s">
        <v>2767</v>
      </c>
      <c r="AH578" s="1" t="s">
        <v>356</v>
      </c>
      <c r="AI578" s="6">
        <v>13635.0</v>
      </c>
      <c r="AJ578" s="1" t="s">
        <v>224</v>
      </c>
      <c r="AK578" s="1" t="s">
        <v>6122</v>
      </c>
      <c r="AL578" s="1" t="s">
        <v>6123</v>
      </c>
      <c r="AM578" s="11" t="str">
        <f>VLOOKUP(N578,Sheet3!$B$4:$C$10,2,1)</f>
        <v>31-40</v>
      </c>
      <c r="AN578" s="13" t="str">
        <f>VLOOKUP(Z578,Sheet3!$F$4:$G$10,2,1)</f>
        <v>&lt; 5</v>
      </c>
      <c r="AO578" s="5" t="str">
        <f>VLOOKUP(AA578,Sheet3!$I$3:$J$16,2,1)</f>
        <v>80000-100000</v>
      </c>
      <c r="AP578" s="5" t="str">
        <f>VLOOKUP(AB578,Sheet3!$L$4:$M$14,2,1)</f>
        <v>26% - 30%</v>
      </c>
    </row>
    <row r="579">
      <c r="A579" s="6">
        <v>117956.0</v>
      </c>
      <c r="B579" s="1" t="s">
        <v>66</v>
      </c>
      <c r="C579" s="1" t="s">
        <v>2062</v>
      </c>
      <c r="D579" s="1" t="s">
        <v>334</v>
      </c>
      <c r="E579" s="1" t="s">
        <v>768</v>
      </c>
      <c r="F579" s="1" t="s">
        <v>70</v>
      </c>
      <c r="G579" s="1" t="s">
        <v>6124</v>
      </c>
      <c r="H579" s="1" t="s">
        <v>5806</v>
      </c>
      <c r="I579" s="1" t="s">
        <v>6125</v>
      </c>
      <c r="J579" s="1" t="s">
        <v>6126</v>
      </c>
      <c r="K579" s="1" t="s">
        <v>2727</v>
      </c>
      <c r="L579" s="14">
        <v>28707.0</v>
      </c>
      <c r="M579" s="8">
        <v>0.04144675925925926</v>
      </c>
      <c r="N579" s="6">
        <v>39.01</v>
      </c>
      <c r="O579" s="6">
        <v>83.0</v>
      </c>
      <c r="P579" s="14">
        <v>42075.0</v>
      </c>
      <c r="Q579" s="1" t="s">
        <v>96</v>
      </c>
      <c r="R579" s="1" t="s">
        <v>76</v>
      </c>
      <c r="S579" s="6">
        <v>2015.0</v>
      </c>
      <c r="T579" s="6">
        <v>3.0</v>
      </c>
      <c r="U579" s="1" t="s">
        <v>97</v>
      </c>
      <c r="V579" s="1" t="s">
        <v>98</v>
      </c>
      <c r="W579" s="6">
        <v>12.0</v>
      </c>
      <c r="X579" s="1" t="s">
        <v>150</v>
      </c>
      <c r="Y579" s="1" t="s">
        <v>151</v>
      </c>
      <c r="Z579" s="6">
        <v>2.38</v>
      </c>
      <c r="AA579" s="6">
        <v>194686.0</v>
      </c>
      <c r="AB579" s="10">
        <v>0.1</v>
      </c>
      <c r="AC579" s="1" t="s">
        <v>6127</v>
      </c>
      <c r="AD579" s="1" t="s">
        <v>6128</v>
      </c>
      <c r="AE579" s="1" t="s">
        <v>2893</v>
      </c>
      <c r="AF579" s="1" t="s">
        <v>6129</v>
      </c>
      <c r="AG579" s="1" t="s">
        <v>2893</v>
      </c>
      <c r="AH579" s="1" t="s">
        <v>1505</v>
      </c>
      <c r="AI579" s="6">
        <v>56720.0</v>
      </c>
      <c r="AJ579" s="1" t="s">
        <v>86</v>
      </c>
      <c r="AK579" s="1" t="s">
        <v>6130</v>
      </c>
      <c r="AL579" s="1" t="s">
        <v>6131</v>
      </c>
      <c r="AM579" s="11" t="str">
        <f>VLOOKUP(N579,Sheet3!$B$4:$C$10,2,1)</f>
        <v>31-40</v>
      </c>
      <c r="AN579" s="13" t="str">
        <f>VLOOKUP(Z579,Sheet3!$F$4:$G$10,2,1)</f>
        <v>&lt; 5</v>
      </c>
      <c r="AO579" s="5" t="str">
        <f>VLOOKUP(AA579,Sheet3!$I$3:$J$16,2,1)</f>
        <v>180000-200000</v>
      </c>
      <c r="AP579" s="5" t="str">
        <f>VLOOKUP(AB579,Sheet3!$L$4:$M$14,2,1)</f>
        <v>5% - 10%</v>
      </c>
    </row>
    <row r="580">
      <c r="A580" s="6">
        <v>670526.0</v>
      </c>
      <c r="B580" s="1" t="s">
        <v>109</v>
      </c>
      <c r="C580" s="1" t="s">
        <v>4595</v>
      </c>
      <c r="D580" s="1" t="s">
        <v>44</v>
      </c>
      <c r="E580" s="1" t="s">
        <v>1795</v>
      </c>
      <c r="F580" s="1" t="s">
        <v>46</v>
      </c>
      <c r="G580" s="1" t="s">
        <v>6132</v>
      </c>
      <c r="H580" s="1" t="s">
        <v>5806</v>
      </c>
      <c r="I580" s="1" t="s">
        <v>6133</v>
      </c>
      <c r="J580" s="1" t="s">
        <v>6134</v>
      </c>
      <c r="K580" s="1" t="s">
        <v>3472</v>
      </c>
      <c r="L580" s="9">
        <v>31063.0</v>
      </c>
      <c r="M580" s="8">
        <v>0.7761342592592593</v>
      </c>
      <c r="N580" s="6">
        <v>32.55</v>
      </c>
      <c r="O580" s="6">
        <v>60.0</v>
      </c>
      <c r="P580" s="9">
        <v>41512.0</v>
      </c>
      <c r="Q580" s="1" t="s">
        <v>308</v>
      </c>
      <c r="R580" s="1" t="s">
        <v>53</v>
      </c>
      <c r="S580" s="6">
        <v>2013.0</v>
      </c>
      <c r="T580" s="6">
        <v>8.0</v>
      </c>
      <c r="U580" s="1" t="s">
        <v>433</v>
      </c>
      <c r="V580" s="1" t="s">
        <v>434</v>
      </c>
      <c r="W580" s="6">
        <v>26.0</v>
      </c>
      <c r="X580" s="1" t="s">
        <v>99</v>
      </c>
      <c r="Y580" s="1" t="s">
        <v>100</v>
      </c>
      <c r="Z580" s="6">
        <v>3.92</v>
      </c>
      <c r="AA580" s="6">
        <v>196585.0</v>
      </c>
      <c r="AB580" s="10">
        <v>0.01</v>
      </c>
      <c r="AC580" s="1" t="s">
        <v>6135</v>
      </c>
      <c r="AD580" s="1" t="s">
        <v>6136</v>
      </c>
      <c r="AE580" s="1" t="s">
        <v>6137</v>
      </c>
      <c r="AF580" s="1" t="s">
        <v>6137</v>
      </c>
      <c r="AG580" s="1" t="s">
        <v>6137</v>
      </c>
      <c r="AH580" s="1" t="s">
        <v>1344</v>
      </c>
      <c r="AI580" s="6">
        <v>6105.0</v>
      </c>
      <c r="AJ580" s="1" t="s">
        <v>224</v>
      </c>
      <c r="AK580" s="1" t="s">
        <v>6138</v>
      </c>
      <c r="AL580" s="1" t="s">
        <v>6139</v>
      </c>
      <c r="AM580" s="11" t="str">
        <f>VLOOKUP(N580,Sheet3!$B$4:$C$10,2,1)</f>
        <v>31-40</v>
      </c>
      <c r="AN580" s="13" t="str">
        <f>VLOOKUP(Z580,Sheet3!$F$4:$G$10,2,1)</f>
        <v>&lt; 5</v>
      </c>
      <c r="AO580" s="5" t="str">
        <f>VLOOKUP(AA580,Sheet3!$I$3:$J$16,2,1)</f>
        <v>180000-200000</v>
      </c>
      <c r="AP580" s="5" t="str">
        <f>VLOOKUP(AB580,Sheet3!$L$4:$M$14,2,1)</f>
        <v>&lt; 5%</v>
      </c>
    </row>
    <row r="581">
      <c r="A581" s="6">
        <v>752997.0</v>
      </c>
      <c r="B581" s="1" t="s">
        <v>125</v>
      </c>
      <c r="C581" s="1" t="s">
        <v>6140</v>
      </c>
      <c r="D581" s="1" t="s">
        <v>242</v>
      </c>
      <c r="E581" s="1" t="s">
        <v>4238</v>
      </c>
      <c r="F581" s="1" t="s">
        <v>46</v>
      </c>
      <c r="G581" s="1" t="s">
        <v>6141</v>
      </c>
      <c r="H581" s="1" t="s">
        <v>5806</v>
      </c>
      <c r="I581" s="1" t="s">
        <v>6142</v>
      </c>
      <c r="J581" s="1" t="s">
        <v>6143</v>
      </c>
      <c r="K581" s="1" t="s">
        <v>571</v>
      </c>
      <c r="L581" s="14">
        <v>29346.0</v>
      </c>
      <c r="M581" s="8">
        <v>0.4486111111111111</v>
      </c>
      <c r="N581" s="6">
        <v>37.25</v>
      </c>
      <c r="O581" s="6">
        <v>46.0</v>
      </c>
      <c r="P581" s="9">
        <v>42203.0</v>
      </c>
      <c r="Q581" s="1" t="s">
        <v>308</v>
      </c>
      <c r="R581" s="1" t="s">
        <v>53</v>
      </c>
      <c r="S581" s="6">
        <v>2015.0</v>
      </c>
      <c r="T581" s="6">
        <v>7.0</v>
      </c>
      <c r="U581" s="1" t="s">
        <v>366</v>
      </c>
      <c r="V581" s="1" t="s">
        <v>367</v>
      </c>
      <c r="W581" s="6">
        <v>18.0</v>
      </c>
      <c r="X581" s="1" t="s">
        <v>56</v>
      </c>
      <c r="Y581" s="1" t="s">
        <v>57</v>
      </c>
      <c r="Z581" s="6">
        <v>2.03</v>
      </c>
      <c r="AA581" s="6">
        <v>199120.0</v>
      </c>
      <c r="AB581" s="10">
        <v>0.24</v>
      </c>
      <c r="AC581" s="1" t="s">
        <v>6144</v>
      </c>
      <c r="AD581" s="1" t="s">
        <v>6145</v>
      </c>
      <c r="AE581" s="1" t="s">
        <v>6146</v>
      </c>
      <c r="AF581" s="1" t="s">
        <v>6147</v>
      </c>
      <c r="AG581" s="1" t="s">
        <v>6146</v>
      </c>
      <c r="AH581" s="1" t="s">
        <v>284</v>
      </c>
      <c r="AI581" s="6">
        <v>52308.0</v>
      </c>
      <c r="AJ581" s="1" t="s">
        <v>86</v>
      </c>
      <c r="AK581" s="1" t="s">
        <v>6148</v>
      </c>
      <c r="AL581" s="1" t="s">
        <v>6149</v>
      </c>
      <c r="AM581" s="11" t="str">
        <f>VLOOKUP(N581,Sheet3!$B$4:$C$10,2,1)</f>
        <v>31-40</v>
      </c>
      <c r="AN581" s="13" t="str">
        <f>VLOOKUP(Z581,Sheet3!$F$4:$G$10,2,1)</f>
        <v>&lt; 5</v>
      </c>
      <c r="AO581" s="5" t="str">
        <f>VLOOKUP(AA581,Sheet3!$I$3:$J$16,2,1)</f>
        <v>180000-200000</v>
      </c>
      <c r="AP581" s="5" t="str">
        <f>VLOOKUP(AB581,Sheet3!$L$4:$M$14,2,1)</f>
        <v>21% - 25%</v>
      </c>
    </row>
    <row r="582">
      <c r="A582" s="6">
        <v>340599.0</v>
      </c>
      <c r="B582" s="1" t="s">
        <v>66</v>
      </c>
      <c r="C582" s="1" t="s">
        <v>6150</v>
      </c>
      <c r="D582" s="1" t="s">
        <v>1663</v>
      </c>
      <c r="E582" s="1" t="s">
        <v>6151</v>
      </c>
      <c r="F582" s="1" t="s">
        <v>70</v>
      </c>
      <c r="G582" s="1" t="s">
        <v>6152</v>
      </c>
      <c r="H582" s="1" t="s">
        <v>5806</v>
      </c>
      <c r="I582" s="1" t="s">
        <v>6153</v>
      </c>
      <c r="J582" s="1" t="s">
        <v>6154</v>
      </c>
      <c r="K582" s="1" t="s">
        <v>3775</v>
      </c>
      <c r="L582" s="14">
        <v>28252.0</v>
      </c>
      <c r="M582" s="8">
        <v>0.23689814814814814</v>
      </c>
      <c r="N582" s="6">
        <v>40.25</v>
      </c>
      <c r="O582" s="6">
        <v>62.0</v>
      </c>
      <c r="P582" s="9">
        <v>36123.0</v>
      </c>
      <c r="Q582" s="1" t="s">
        <v>52</v>
      </c>
      <c r="R582" s="1" t="s">
        <v>53</v>
      </c>
      <c r="S582" s="6">
        <v>1998.0</v>
      </c>
      <c r="T582" s="6">
        <v>11.0</v>
      </c>
      <c r="U582" s="1" t="s">
        <v>148</v>
      </c>
      <c r="V582" s="1" t="s">
        <v>149</v>
      </c>
      <c r="W582" s="6">
        <v>24.0</v>
      </c>
      <c r="X582" s="1" t="s">
        <v>79</v>
      </c>
      <c r="Y582" s="1" t="s">
        <v>80</v>
      </c>
      <c r="Z582" s="6">
        <v>18.69</v>
      </c>
      <c r="AA582" s="6">
        <v>116817.0</v>
      </c>
      <c r="AB582" s="10">
        <v>0.22</v>
      </c>
      <c r="AC582" s="1" t="s">
        <v>6155</v>
      </c>
      <c r="AD582" s="1" t="s">
        <v>6156</v>
      </c>
      <c r="AE582" s="1" t="s">
        <v>6157</v>
      </c>
      <c r="AF582" s="1" t="s">
        <v>6157</v>
      </c>
      <c r="AG582" s="1" t="s">
        <v>6157</v>
      </c>
      <c r="AH582" s="1" t="s">
        <v>488</v>
      </c>
      <c r="AI582" s="6">
        <v>34290.0</v>
      </c>
      <c r="AJ582" s="1" t="s">
        <v>106</v>
      </c>
      <c r="AK582" s="1" t="s">
        <v>6158</v>
      </c>
      <c r="AL582" s="1" t="s">
        <v>6159</v>
      </c>
      <c r="AM582" s="11" t="str">
        <f>VLOOKUP(N582,Sheet3!$B$4:$C$10,2,1)</f>
        <v>31-40</v>
      </c>
      <c r="AN582" s="12" t="str">
        <f>VLOOKUP(Z582,Sheet3!$F$4:$G$10,2,1)</f>
        <v>11-20</v>
      </c>
      <c r="AO582" s="5" t="str">
        <f>VLOOKUP(AA582,Sheet3!$I$3:$J$16,2,1)</f>
        <v>100000-120000</v>
      </c>
      <c r="AP582" s="5" t="str">
        <f>VLOOKUP(AB582,Sheet3!$L$4:$M$14,2,1)</f>
        <v>21% - 25%</v>
      </c>
    </row>
    <row r="583">
      <c r="A583" s="6">
        <v>239415.0</v>
      </c>
      <c r="B583" s="1" t="s">
        <v>109</v>
      </c>
      <c r="C583" s="1" t="s">
        <v>6160</v>
      </c>
      <c r="D583" s="1" t="s">
        <v>200</v>
      </c>
      <c r="E583" s="1" t="s">
        <v>1082</v>
      </c>
      <c r="F583" s="1" t="s">
        <v>46</v>
      </c>
      <c r="G583" s="1" t="s">
        <v>6161</v>
      </c>
      <c r="H583" s="1" t="s">
        <v>5806</v>
      </c>
      <c r="I583" s="1" t="s">
        <v>6162</v>
      </c>
      <c r="J583" s="1" t="s">
        <v>6163</v>
      </c>
      <c r="K583" s="1" t="s">
        <v>2750</v>
      </c>
      <c r="L583" s="9">
        <v>26683.0</v>
      </c>
      <c r="M583" s="8">
        <v>0.8446412037037037</v>
      </c>
      <c r="N583" s="6">
        <v>44.55</v>
      </c>
      <c r="O583" s="6">
        <v>54.0</v>
      </c>
      <c r="P583" s="9">
        <v>42305.0</v>
      </c>
      <c r="Q583" s="1" t="s">
        <v>52</v>
      </c>
      <c r="R583" s="1" t="s">
        <v>53</v>
      </c>
      <c r="S583" s="6">
        <v>2015.0</v>
      </c>
      <c r="T583" s="6">
        <v>10.0</v>
      </c>
      <c r="U583" s="1" t="s">
        <v>133</v>
      </c>
      <c r="V583" s="1" t="s">
        <v>134</v>
      </c>
      <c r="W583" s="6">
        <v>28.0</v>
      </c>
      <c r="X583" s="1" t="s">
        <v>278</v>
      </c>
      <c r="Y583" s="1" t="s">
        <v>279</v>
      </c>
      <c r="Z583" s="6">
        <v>1.75</v>
      </c>
      <c r="AA583" s="6">
        <v>97818.0</v>
      </c>
      <c r="AB583" s="10">
        <v>0.1</v>
      </c>
      <c r="AC583" s="1" t="s">
        <v>6164</v>
      </c>
      <c r="AD583" s="1" t="s">
        <v>6165</v>
      </c>
      <c r="AE583" s="1" t="s">
        <v>6166</v>
      </c>
      <c r="AF583" s="1" t="s">
        <v>5577</v>
      </c>
      <c r="AG583" s="1" t="s">
        <v>6166</v>
      </c>
      <c r="AH583" s="1" t="s">
        <v>223</v>
      </c>
      <c r="AI583" s="6">
        <v>17033.0</v>
      </c>
      <c r="AJ583" s="1" t="s">
        <v>224</v>
      </c>
      <c r="AK583" s="1" t="s">
        <v>6167</v>
      </c>
      <c r="AL583" s="1" t="s">
        <v>6168</v>
      </c>
      <c r="AM583" s="11" t="str">
        <f>VLOOKUP(N583,Sheet3!$B$4:$C$10,2,1)</f>
        <v>41-50</v>
      </c>
      <c r="AN583" s="13" t="str">
        <f>VLOOKUP(Z583,Sheet3!$F$4:$G$10,2,1)</f>
        <v>&lt; 5</v>
      </c>
      <c r="AO583" s="5" t="str">
        <f>VLOOKUP(AA583,Sheet3!$I$3:$J$16,2,1)</f>
        <v>80000-100000</v>
      </c>
      <c r="AP583" s="5" t="str">
        <f>VLOOKUP(AB583,Sheet3!$L$4:$M$14,2,1)</f>
        <v>5% - 10%</v>
      </c>
    </row>
    <row r="584">
      <c r="A584" s="6">
        <v>280326.0</v>
      </c>
      <c r="B584" s="1" t="s">
        <v>66</v>
      </c>
      <c r="C584" s="1" t="s">
        <v>6169</v>
      </c>
      <c r="D584" s="1" t="s">
        <v>186</v>
      </c>
      <c r="E584" s="1" t="s">
        <v>3117</v>
      </c>
      <c r="F584" s="1" t="s">
        <v>70</v>
      </c>
      <c r="G584" s="1" t="s">
        <v>6170</v>
      </c>
      <c r="H584" s="1" t="s">
        <v>5806</v>
      </c>
      <c r="I584" s="1" t="s">
        <v>6171</v>
      </c>
      <c r="J584" s="1" t="s">
        <v>6172</v>
      </c>
      <c r="K584" s="1" t="s">
        <v>147</v>
      </c>
      <c r="L584" s="9">
        <v>22977.0</v>
      </c>
      <c r="M584" s="8">
        <v>0.34629629629629627</v>
      </c>
      <c r="N584" s="6">
        <v>54.7</v>
      </c>
      <c r="O584" s="6">
        <v>82.0</v>
      </c>
      <c r="P584" s="9">
        <v>31214.0</v>
      </c>
      <c r="Q584" s="1" t="s">
        <v>75</v>
      </c>
      <c r="R584" s="1" t="s">
        <v>76</v>
      </c>
      <c r="S584" s="6">
        <v>1985.0</v>
      </c>
      <c r="T584" s="6">
        <v>6.0</v>
      </c>
      <c r="U584" s="1" t="s">
        <v>324</v>
      </c>
      <c r="V584" s="1" t="s">
        <v>325</v>
      </c>
      <c r="W584" s="6">
        <v>16.0</v>
      </c>
      <c r="X584" s="1" t="s">
        <v>534</v>
      </c>
      <c r="Y584" s="1" t="s">
        <v>535</v>
      </c>
      <c r="Z584" s="6">
        <v>32.14</v>
      </c>
      <c r="AA584" s="6">
        <v>182540.0</v>
      </c>
      <c r="AB584" s="10">
        <v>0.11</v>
      </c>
      <c r="AC584" s="1" t="s">
        <v>6173</v>
      </c>
      <c r="AD584" s="1" t="s">
        <v>6174</v>
      </c>
      <c r="AE584" s="1" t="s">
        <v>6175</v>
      </c>
      <c r="AF584" s="1" t="s">
        <v>3707</v>
      </c>
      <c r="AG584" s="1" t="s">
        <v>6175</v>
      </c>
      <c r="AH584" s="1" t="s">
        <v>196</v>
      </c>
      <c r="AI584" s="6">
        <v>37408.0</v>
      </c>
      <c r="AJ584" s="1" t="s">
        <v>106</v>
      </c>
      <c r="AK584" s="1" t="s">
        <v>6176</v>
      </c>
      <c r="AL584" s="1" t="s">
        <v>6177</v>
      </c>
      <c r="AM584" s="11" t="str">
        <f>VLOOKUP(N584,Sheet3!$B$4:$C$10,2,1)</f>
        <v>51-60</v>
      </c>
      <c r="AN584" s="13" t="str">
        <f>VLOOKUP(Z584,Sheet3!$F$4:$G$10,2,1)</f>
        <v>31-40</v>
      </c>
      <c r="AO584" s="5" t="str">
        <f>VLOOKUP(AA584,Sheet3!$I$3:$J$16,2,1)</f>
        <v>180000-200000</v>
      </c>
      <c r="AP584" s="5" t="str">
        <f>VLOOKUP(AB584,Sheet3!$L$4:$M$14,2,1)</f>
        <v>11% - 15%</v>
      </c>
    </row>
    <row r="585">
      <c r="A585" s="6">
        <v>445516.0</v>
      </c>
      <c r="B585" s="1" t="s">
        <v>66</v>
      </c>
      <c r="C585" s="1" t="s">
        <v>2479</v>
      </c>
      <c r="D585" s="1" t="s">
        <v>443</v>
      </c>
      <c r="E585" s="1" t="s">
        <v>6178</v>
      </c>
      <c r="F585" s="1" t="s">
        <v>70</v>
      </c>
      <c r="G585" s="1" t="s">
        <v>6179</v>
      </c>
      <c r="H585" s="1" t="s">
        <v>5806</v>
      </c>
      <c r="I585" s="1" t="s">
        <v>6180</v>
      </c>
      <c r="J585" s="1" t="s">
        <v>6181</v>
      </c>
      <c r="K585" s="1" t="s">
        <v>837</v>
      </c>
      <c r="L585" s="14">
        <v>33548.0</v>
      </c>
      <c r="M585" s="8">
        <v>0.9037847222222222</v>
      </c>
      <c r="N585" s="6">
        <v>25.74</v>
      </c>
      <c r="O585" s="6">
        <v>70.0</v>
      </c>
      <c r="P585" s="14">
        <v>41435.0</v>
      </c>
      <c r="Q585" s="1" t="s">
        <v>75</v>
      </c>
      <c r="R585" s="1" t="s">
        <v>76</v>
      </c>
      <c r="S585" s="6">
        <v>2013.0</v>
      </c>
      <c r="T585" s="6">
        <v>6.0</v>
      </c>
      <c r="U585" s="1" t="s">
        <v>324</v>
      </c>
      <c r="V585" s="1" t="s">
        <v>325</v>
      </c>
      <c r="W585" s="6">
        <v>10.0</v>
      </c>
      <c r="X585" s="1" t="s">
        <v>99</v>
      </c>
      <c r="Y585" s="1" t="s">
        <v>100</v>
      </c>
      <c r="Z585" s="6">
        <v>4.13</v>
      </c>
      <c r="AA585" s="6">
        <v>75199.0</v>
      </c>
      <c r="AB585" s="10">
        <v>0.29</v>
      </c>
      <c r="AC585" s="1" t="s">
        <v>6182</v>
      </c>
      <c r="AD585" s="1" t="s">
        <v>6183</v>
      </c>
      <c r="AE585" s="1" t="s">
        <v>4512</v>
      </c>
      <c r="AF585" s="1" t="s">
        <v>4512</v>
      </c>
      <c r="AG585" s="1" t="s">
        <v>4512</v>
      </c>
      <c r="AH585" s="1" t="s">
        <v>169</v>
      </c>
      <c r="AI585" s="6">
        <v>88518.0</v>
      </c>
      <c r="AJ585" s="1" t="s">
        <v>106</v>
      </c>
      <c r="AK585" s="1" t="s">
        <v>6184</v>
      </c>
      <c r="AL585" s="1" t="s">
        <v>6185</v>
      </c>
      <c r="AM585" s="11" t="str">
        <f>VLOOKUP(N585,Sheet3!$B$4:$C$10,2,1)</f>
        <v>21-30</v>
      </c>
      <c r="AN585" s="13" t="str">
        <f>VLOOKUP(Z585,Sheet3!$F$4:$G$10,2,1)</f>
        <v>&lt; 5</v>
      </c>
      <c r="AO585" s="5" t="str">
        <f>VLOOKUP(AA585,Sheet3!$I$3:$J$16,2,1)</f>
        <v>60000-80000</v>
      </c>
      <c r="AP585" s="5" t="str">
        <f>VLOOKUP(AB585,Sheet3!$L$4:$M$14,2,1)</f>
        <v>26% - 30%</v>
      </c>
    </row>
    <row r="586">
      <c r="A586" s="6">
        <v>586177.0</v>
      </c>
      <c r="B586" s="1" t="s">
        <v>66</v>
      </c>
      <c r="C586" s="1" t="s">
        <v>5132</v>
      </c>
      <c r="D586" s="1" t="s">
        <v>318</v>
      </c>
      <c r="E586" s="1" t="s">
        <v>4071</v>
      </c>
      <c r="F586" s="1" t="s">
        <v>70</v>
      </c>
      <c r="G586" s="1" t="s">
        <v>6186</v>
      </c>
      <c r="H586" s="1" t="s">
        <v>5806</v>
      </c>
      <c r="I586" s="1" t="s">
        <v>6187</v>
      </c>
      <c r="J586" s="1" t="s">
        <v>6188</v>
      </c>
      <c r="K586" s="1" t="s">
        <v>6189</v>
      </c>
      <c r="L586" s="9">
        <v>32830.0</v>
      </c>
      <c r="M586" s="8">
        <v>0.9631828703703704</v>
      </c>
      <c r="N586" s="6">
        <v>27.71</v>
      </c>
      <c r="O586" s="6">
        <v>53.0</v>
      </c>
      <c r="P586" s="9">
        <v>41271.0</v>
      </c>
      <c r="Q586" s="1" t="s">
        <v>52</v>
      </c>
      <c r="R586" s="1" t="s">
        <v>53</v>
      </c>
      <c r="S586" s="6">
        <v>2012.0</v>
      </c>
      <c r="T586" s="6">
        <v>12.0</v>
      </c>
      <c r="U586" s="1" t="s">
        <v>54</v>
      </c>
      <c r="V586" s="1" t="s">
        <v>55</v>
      </c>
      <c r="W586" s="6">
        <v>28.0</v>
      </c>
      <c r="X586" s="1" t="s">
        <v>263</v>
      </c>
      <c r="Y586" s="1" t="s">
        <v>264</v>
      </c>
      <c r="Z586" s="6">
        <v>4.58</v>
      </c>
      <c r="AA586" s="6">
        <v>66743.0</v>
      </c>
      <c r="AB586" s="10">
        <v>0.28</v>
      </c>
      <c r="AC586" s="1" t="s">
        <v>6190</v>
      </c>
      <c r="AD586" s="1" t="s">
        <v>6191</v>
      </c>
      <c r="AE586" s="1" t="s">
        <v>6192</v>
      </c>
      <c r="AF586" s="1" t="s">
        <v>6193</v>
      </c>
      <c r="AG586" s="1" t="s">
        <v>6192</v>
      </c>
      <c r="AH586" s="1" t="s">
        <v>1413</v>
      </c>
      <c r="AI586" s="6">
        <v>80117.0</v>
      </c>
      <c r="AJ586" s="1" t="s">
        <v>63</v>
      </c>
      <c r="AK586" s="1" t="s">
        <v>6194</v>
      </c>
      <c r="AL586" s="1" t="s">
        <v>6195</v>
      </c>
      <c r="AM586" s="11" t="str">
        <f>VLOOKUP(N586,Sheet3!$B$4:$C$10,2,1)</f>
        <v>21-30</v>
      </c>
      <c r="AN586" s="13" t="str">
        <f>VLOOKUP(Z586,Sheet3!$F$4:$G$10,2,1)</f>
        <v>&lt; 5</v>
      </c>
      <c r="AO586" s="5" t="str">
        <f>VLOOKUP(AA586,Sheet3!$I$3:$J$16,2,1)</f>
        <v>60000-80000</v>
      </c>
      <c r="AP586" s="5" t="str">
        <f>VLOOKUP(AB586,Sheet3!$L$4:$M$14,2,1)</f>
        <v>26% - 30%</v>
      </c>
    </row>
    <row r="587">
      <c r="A587" s="6">
        <v>866614.0</v>
      </c>
      <c r="B587" s="1" t="s">
        <v>125</v>
      </c>
      <c r="C587" s="1" t="s">
        <v>6196</v>
      </c>
      <c r="D587" s="1" t="s">
        <v>416</v>
      </c>
      <c r="E587" s="1" t="s">
        <v>1324</v>
      </c>
      <c r="F587" s="1" t="s">
        <v>70</v>
      </c>
      <c r="G587" s="1" t="s">
        <v>6197</v>
      </c>
      <c r="H587" s="1" t="s">
        <v>5806</v>
      </c>
      <c r="I587" s="1" t="s">
        <v>6198</v>
      </c>
      <c r="J587" s="1" t="s">
        <v>6199</v>
      </c>
      <c r="K587" s="1" t="s">
        <v>2195</v>
      </c>
      <c r="L587" s="14">
        <v>24970.0</v>
      </c>
      <c r="M587" s="8">
        <v>0.6531944444444444</v>
      </c>
      <c r="N587" s="6">
        <v>49.24</v>
      </c>
      <c r="O587" s="6">
        <v>72.0</v>
      </c>
      <c r="P587" s="14">
        <v>38394.0</v>
      </c>
      <c r="Q587" s="1" t="s">
        <v>96</v>
      </c>
      <c r="R587" s="1" t="s">
        <v>76</v>
      </c>
      <c r="S587" s="6">
        <v>2005.0</v>
      </c>
      <c r="T587" s="6">
        <v>2.0</v>
      </c>
      <c r="U587" s="1" t="s">
        <v>117</v>
      </c>
      <c r="V587" s="1" t="s">
        <v>118</v>
      </c>
      <c r="W587" s="6">
        <v>11.0</v>
      </c>
      <c r="X587" s="1" t="s">
        <v>263</v>
      </c>
      <c r="Y587" s="1" t="s">
        <v>264</v>
      </c>
      <c r="Z587" s="6">
        <v>12.47</v>
      </c>
      <c r="AA587" s="6">
        <v>113546.0</v>
      </c>
      <c r="AB587" s="10">
        <v>0.28</v>
      </c>
      <c r="AC587" s="1" t="s">
        <v>6200</v>
      </c>
      <c r="AD587" s="1" t="s">
        <v>6201</v>
      </c>
      <c r="AE587" s="1" t="s">
        <v>6202</v>
      </c>
      <c r="AF587" s="1" t="s">
        <v>6203</v>
      </c>
      <c r="AG587" s="1" t="s">
        <v>6202</v>
      </c>
      <c r="AH587" s="1" t="s">
        <v>169</v>
      </c>
      <c r="AI587" s="6">
        <v>77459.0</v>
      </c>
      <c r="AJ587" s="1" t="s">
        <v>106</v>
      </c>
      <c r="AK587" s="1" t="s">
        <v>6204</v>
      </c>
      <c r="AL587" s="1" t="s">
        <v>6205</v>
      </c>
      <c r="AM587" s="11" t="str">
        <f>VLOOKUP(N587,Sheet3!$B$4:$C$10,2,1)</f>
        <v>41-50</v>
      </c>
      <c r="AN587" s="12" t="str">
        <f>VLOOKUP(Z587,Sheet3!$F$4:$G$10,2,1)</f>
        <v>11-20</v>
      </c>
      <c r="AO587" s="5" t="str">
        <f>VLOOKUP(AA587,Sheet3!$I$3:$J$16,2,1)</f>
        <v>100000-120000</v>
      </c>
      <c r="AP587" s="5" t="str">
        <f>VLOOKUP(AB587,Sheet3!$L$4:$M$14,2,1)</f>
        <v>26% - 30%</v>
      </c>
    </row>
    <row r="588">
      <c r="A588" s="6">
        <v>751376.0</v>
      </c>
      <c r="B588" s="1" t="s">
        <v>66</v>
      </c>
      <c r="C588" s="1" t="s">
        <v>6206</v>
      </c>
      <c r="D588" s="1" t="s">
        <v>1300</v>
      </c>
      <c r="E588" s="1" t="s">
        <v>4949</v>
      </c>
      <c r="F588" s="1" t="s">
        <v>70</v>
      </c>
      <c r="G588" s="1" t="s">
        <v>6207</v>
      </c>
      <c r="H588" s="1" t="s">
        <v>5806</v>
      </c>
      <c r="I588" s="1" t="s">
        <v>6208</v>
      </c>
      <c r="J588" s="1" t="s">
        <v>6209</v>
      </c>
      <c r="K588" s="1" t="s">
        <v>856</v>
      </c>
      <c r="L588" s="14">
        <v>34153.0</v>
      </c>
      <c r="M588" s="8">
        <v>0.7147453703703703</v>
      </c>
      <c r="N588" s="6">
        <v>24.08</v>
      </c>
      <c r="O588" s="6">
        <v>58.0</v>
      </c>
      <c r="P588" s="14">
        <v>41974.0</v>
      </c>
      <c r="Q588" s="1" t="s">
        <v>52</v>
      </c>
      <c r="R588" s="1" t="s">
        <v>53</v>
      </c>
      <c r="S588" s="6">
        <v>2014.0</v>
      </c>
      <c r="T588" s="6">
        <v>12.0</v>
      </c>
      <c r="U588" s="1" t="s">
        <v>54</v>
      </c>
      <c r="V588" s="1" t="s">
        <v>55</v>
      </c>
      <c r="W588" s="6">
        <v>1.0</v>
      </c>
      <c r="X588" s="1" t="s">
        <v>99</v>
      </c>
      <c r="Y588" s="1" t="s">
        <v>100</v>
      </c>
      <c r="Z588" s="6">
        <v>2.66</v>
      </c>
      <c r="AA588" s="6">
        <v>98833.0</v>
      </c>
      <c r="AB588" s="10">
        <v>0.08</v>
      </c>
      <c r="AC588" s="1" t="s">
        <v>6210</v>
      </c>
      <c r="AD588" s="1" t="s">
        <v>6211</v>
      </c>
      <c r="AE588" s="1" t="s">
        <v>6212</v>
      </c>
      <c r="AF588" s="1" t="s">
        <v>6213</v>
      </c>
      <c r="AG588" s="1" t="s">
        <v>6212</v>
      </c>
      <c r="AH588" s="1" t="s">
        <v>156</v>
      </c>
      <c r="AI588" s="6">
        <v>24087.0</v>
      </c>
      <c r="AJ588" s="1" t="s">
        <v>106</v>
      </c>
      <c r="AK588" s="1" t="s">
        <v>6214</v>
      </c>
      <c r="AL588" s="1" t="s">
        <v>6215</v>
      </c>
      <c r="AM588" s="11" t="str">
        <f>VLOOKUP(N588,Sheet3!$B$4:$C$10,2,1)</f>
        <v>21-30</v>
      </c>
      <c r="AN588" s="13" t="str">
        <f>VLOOKUP(Z588,Sheet3!$F$4:$G$10,2,1)</f>
        <v>&lt; 5</v>
      </c>
      <c r="AO588" s="5" t="str">
        <f>VLOOKUP(AA588,Sheet3!$I$3:$J$16,2,1)</f>
        <v>80000-100000</v>
      </c>
      <c r="AP588" s="5" t="str">
        <f>VLOOKUP(AB588,Sheet3!$L$4:$M$14,2,1)</f>
        <v>5% - 10%</v>
      </c>
    </row>
    <row r="589">
      <c r="A589" s="6">
        <v>196645.0</v>
      </c>
      <c r="B589" s="1" t="s">
        <v>109</v>
      </c>
      <c r="C589" s="1" t="s">
        <v>6216</v>
      </c>
      <c r="D589" s="1" t="s">
        <v>443</v>
      </c>
      <c r="E589" s="1" t="s">
        <v>6217</v>
      </c>
      <c r="F589" s="1" t="s">
        <v>46</v>
      </c>
      <c r="G589" s="1" t="s">
        <v>6218</v>
      </c>
      <c r="H589" s="1" t="s">
        <v>5806</v>
      </c>
      <c r="I589" s="1" t="s">
        <v>6219</v>
      </c>
      <c r="J589" s="1" t="s">
        <v>6220</v>
      </c>
      <c r="K589" s="1" t="s">
        <v>6221</v>
      </c>
      <c r="L589" s="9">
        <v>31823.0</v>
      </c>
      <c r="M589" s="8">
        <v>0.5531828703703704</v>
      </c>
      <c r="N589" s="6">
        <v>30.47</v>
      </c>
      <c r="O589" s="6">
        <v>46.0</v>
      </c>
      <c r="P589" s="9">
        <v>41292.0</v>
      </c>
      <c r="Q589" s="1" t="s">
        <v>96</v>
      </c>
      <c r="R589" s="1" t="s">
        <v>76</v>
      </c>
      <c r="S589" s="6">
        <v>2013.0</v>
      </c>
      <c r="T589" s="6">
        <v>1.0</v>
      </c>
      <c r="U589" s="1" t="s">
        <v>276</v>
      </c>
      <c r="V589" s="1" t="s">
        <v>277</v>
      </c>
      <c r="W589" s="6">
        <v>18.0</v>
      </c>
      <c r="X589" s="1" t="s">
        <v>263</v>
      </c>
      <c r="Y589" s="1" t="s">
        <v>264</v>
      </c>
      <c r="Z589" s="6">
        <v>4.53</v>
      </c>
      <c r="AA589" s="6">
        <v>155891.0</v>
      </c>
      <c r="AB589" s="10">
        <v>0.16</v>
      </c>
      <c r="AC589" s="1" t="s">
        <v>6222</v>
      </c>
      <c r="AD589" s="1" t="s">
        <v>6223</v>
      </c>
      <c r="AE589" s="1" t="s">
        <v>2472</v>
      </c>
      <c r="AF589" s="1" t="s">
        <v>2472</v>
      </c>
      <c r="AG589" s="1" t="s">
        <v>2472</v>
      </c>
      <c r="AH589" s="1" t="s">
        <v>740</v>
      </c>
      <c r="AI589" s="6">
        <v>1601.0</v>
      </c>
      <c r="AJ589" s="1" t="s">
        <v>224</v>
      </c>
      <c r="AK589" s="1" t="s">
        <v>6224</v>
      </c>
      <c r="AL589" s="1" t="s">
        <v>6225</v>
      </c>
      <c r="AM589" s="11" t="str">
        <f>VLOOKUP(N589,Sheet3!$B$4:$C$10,2,1)</f>
        <v>21-30</v>
      </c>
      <c r="AN589" s="13" t="str">
        <f>VLOOKUP(Z589,Sheet3!$F$4:$G$10,2,1)</f>
        <v>&lt; 5</v>
      </c>
      <c r="AO589" s="5" t="str">
        <f>VLOOKUP(AA589,Sheet3!$I$3:$J$16,2,1)</f>
        <v>140000-160000</v>
      </c>
      <c r="AP589" s="5" t="str">
        <f>VLOOKUP(AB589,Sheet3!$L$4:$M$14,2,1)</f>
        <v>16% - 20%</v>
      </c>
    </row>
    <row r="590">
      <c r="A590" s="6">
        <v>728839.0</v>
      </c>
      <c r="B590" s="1" t="s">
        <v>66</v>
      </c>
      <c r="C590" s="1" t="s">
        <v>6226</v>
      </c>
      <c r="D590" s="1" t="s">
        <v>360</v>
      </c>
      <c r="E590" s="1" t="s">
        <v>2727</v>
      </c>
      <c r="F590" s="1" t="s">
        <v>70</v>
      </c>
      <c r="G590" s="1" t="s">
        <v>6227</v>
      </c>
      <c r="H590" s="1" t="s">
        <v>5806</v>
      </c>
      <c r="I590" s="1" t="s">
        <v>6228</v>
      </c>
      <c r="J590" s="1" t="s">
        <v>6229</v>
      </c>
      <c r="K590" s="1" t="s">
        <v>6230</v>
      </c>
      <c r="L590" s="9">
        <v>21876.0</v>
      </c>
      <c r="M590" s="8">
        <v>0.7886689814814815</v>
      </c>
      <c r="N590" s="6">
        <v>57.72</v>
      </c>
      <c r="O590" s="6">
        <v>57.0</v>
      </c>
      <c r="P590" s="14">
        <v>41518.0</v>
      </c>
      <c r="Q590" s="1" t="s">
        <v>308</v>
      </c>
      <c r="R590" s="1" t="s">
        <v>53</v>
      </c>
      <c r="S590" s="6">
        <v>2013.0</v>
      </c>
      <c r="T590" s="6">
        <v>9.0</v>
      </c>
      <c r="U590" s="1" t="s">
        <v>309</v>
      </c>
      <c r="V590" s="1" t="s">
        <v>310</v>
      </c>
      <c r="W590" s="6">
        <v>1.0</v>
      </c>
      <c r="X590" s="1" t="s">
        <v>534</v>
      </c>
      <c r="Y590" s="1" t="s">
        <v>535</v>
      </c>
      <c r="Z590" s="6">
        <v>3.91</v>
      </c>
      <c r="AA590" s="6">
        <v>55958.0</v>
      </c>
      <c r="AB590" s="10">
        <v>0.17</v>
      </c>
      <c r="AC590" s="1" t="s">
        <v>6231</v>
      </c>
      <c r="AD590" s="1" t="s">
        <v>6232</v>
      </c>
      <c r="AE590" s="1" t="s">
        <v>6233</v>
      </c>
      <c r="AF590" s="1" t="s">
        <v>5948</v>
      </c>
      <c r="AG590" s="1" t="s">
        <v>6233</v>
      </c>
      <c r="AH590" s="1" t="s">
        <v>105</v>
      </c>
      <c r="AI590" s="6">
        <v>40162.0</v>
      </c>
      <c r="AJ590" s="1" t="s">
        <v>106</v>
      </c>
      <c r="AK590" s="1" t="s">
        <v>6234</v>
      </c>
      <c r="AL590" s="1" t="s">
        <v>6235</v>
      </c>
      <c r="AM590" s="11" t="str">
        <f>VLOOKUP(N590,Sheet3!$B$4:$C$10,2,1)</f>
        <v>51-60</v>
      </c>
      <c r="AN590" s="13" t="str">
        <f>VLOOKUP(Z590,Sheet3!$F$4:$G$10,2,1)</f>
        <v>&lt; 5</v>
      </c>
      <c r="AO590" s="5" t="str">
        <f>VLOOKUP(AA590,Sheet3!$I$3:$J$16,2,1)</f>
        <v>40000-60000</v>
      </c>
      <c r="AP590" s="5" t="str">
        <f>VLOOKUP(AB590,Sheet3!$L$4:$M$14,2,1)</f>
        <v>16% - 20%</v>
      </c>
    </row>
    <row r="591">
      <c r="A591" s="6">
        <v>694921.0</v>
      </c>
      <c r="B591" s="1" t="s">
        <v>42</v>
      </c>
      <c r="C591" s="1" t="s">
        <v>6236</v>
      </c>
      <c r="D591" s="1" t="s">
        <v>127</v>
      </c>
      <c r="E591" s="1" t="s">
        <v>4462</v>
      </c>
      <c r="F591" s="1" t="s">
        <v>46</v>
      </c>
      <c r="G591" s="1" t="s">
        <v>6237</v>
      </c>
      <c r="H591" s="1" t="s">
        <v>5806</v>
      </c>
      <c r="I591" s="1" t="s">
        <v>6238</v>
      </c>
      <c r="J591" s="1" t="s">
        <v>6239</v>
      </c>
      <c r="K591" s="1" t="s">
        <v>6240</v>
      </c>
      <c r="L591" s="9">
        <v>24492.0</v>
      </c>
      <c r="M591" s="8">
        <v>0.757650462962963</v>
      </c>
      <c r="N591" s="6">
        <v>50.55</v>
      </c>
      <c r="O591" s="6">
        <v>48.0</v>
      </c>
      <c r="P591" s="9">
        <v>32932.0</v>
      </c>
      <c r="Q591" s="1" t="s">
        <v>96</v>
      </c>
      <c r="R591" s="1" t="s">
        <v>76</v>
      </c>
      <c r="S591" s="6">
        <v>1990.0</v>
      </c>
      <c r="T591" s="6">
        <v>2.0</v>
      </c>
      <c r="U591" s="1" t="s">
        <v>117</v>
      </c>
      <c r="V591" s="1" t="s">
        <v>118</v>
      </c>
      <c r="W591" s="6">
        <v>28.0</v>
      </c>
      <c r="X591" s="1" t="s">
        <v>278</v>
      </c>
      <c r="Y591" s="1" t="s">
        <v>279</v>
      </c>
      <c r="Z591" s="6">
        <v>27.43</v>
      </c>
      <c r="AA591" s="6">
        <v>132035.0</v>
      </c>
      <c r="AB591" s="10">
        <v>0.03</v>
      </c>
      <c r="AC591" s="1" t="s">
        <v>6241</v>
      </c>
      <c r="AD591" s="1" t="s">
        <v>6242</v>
      </c>
      <c r="AE591" s="1" t="s">
        <v>6243</v>
      </c>
      <c r="AF591" s="1" t="s">
        <v>2472</v>
      </c>
      <c r="AG591" s="1" t="s">
        <v>6243</v>
      </c>
      <c r="AH591" s="1" t="s">
        <v>330</v>
      </c>
      <c r="AI591" s="6">
        <v>21864.0</v>
      </c>
      <c r="AJ591" s="1" t="s">
        <v>106</v>
      </c>
      <c r="AK591" s="1" t="s">
        <v>6244</v>
      </c>
      <c r="AL591" s="1" t="s">
        <v>6245</v>
      </c>
      <c r="AM591" s="11" t="str">
        <f>VLOOKUP(N591,Sheet3!$B$4:$C$10,2,1)</f>
        <v>41-50</v>
      </c>
      <c r="AN591" s="13" t="str">
        <f>VLOOKUP(Z591,Sheet3!$F$4:$G$10,2,1)</f>
        <v>21-30</v>
      </c>
      <c r="AO591" s="5" t="str">
        <f>VLOOKUP(AA591,Sheet3!$I$3:$J$16,2,1)</f>
        <v>120000-140000</v>
      </c>
      <c r="AP591" s="5" t="str">
        <f>VLOOKUP(AB591,Sheet3!$L$4:$M$14,2,1)</f>
        <v>&lt; 5%</v>
      </c>
    </row>
    <row r="592">
      <c r="A592" s="6">
        <v>719798.0</v>
      </c>
      <c r="B592" s="1" t="s">
        <v>66</v>
      </c>
      <c r="C592" s="1" t="s">
        <v>6246</v>
      </c>
      <c r="D592" s="1" t="s">
        <v>70</v>
      </c>
      <c r="E592" s="1" t="s">
        <v>2290</v>
      </c>
      <c r="F592" s="1" t="s">
        <v>70</v>
      </c>
      <c r="G592" s="1" t="s">
        <v>6247</v>
      </c>
      <c r="H592" s="1" t="s">
        <v>5806</v>
      </c>
      <c r="I592" s="1" t="s">
        <v>6248</v>
      </c>
      <c r="J592" s="1" t="s">
        <v>6249</v>
      </c>
      <c r="K592" s="1" t="s">
        <v>4462</v>
      </c>
      <c r="L592" s="14">
        <v>30203.0</v>
      </c>
      <c r="M592" s="8">
        <v>0.34791666666666665</v>
      </c>
      <c r="N592" s="6">
        <v>34.91</v>
      </c>
      <c r="O592" s="6">
        <v>68.0</v>
      </c>
      <c r="P592" s="14">
        <v>41345.0</v>
      </c>
      <c r="Q592" s="1" t="s">
        <v>96</v>
      </c>
      <c r="R592" s="1" t="s">
        <v>76</v>
      </c>
      <c r="S592" s="6">
        <v>2013.0</v>
      </c>
      <c r="T592" s="6">
        <v>3.0</v>
      </c>
      <c r="U592" s="1" t="s">
        <v>97</v>
      </c>
      <c r="V592" s="1" t="s">
        <v>98</v>
      </c>
      <c r="W592" s="6">
        <v>12.0</v>
      </c>
      <c r="X592" s="1" t="s">
        <v>79</v>
      </c>
      <c r="Y592" s="1" t="s">
        <v>80</v>
      </c>
      <c r="Z592" s="6">
        <v>4.38</v>
      </c>
      <c r="AA592" s="6">
        <v>124965.0</v>
      </c>
      <c r="AB592" s="10">
        <v>0.23</v>
      </c>
      <c r="AC592" s="1" t="s">
        <v>6250</v>
      </c>
      <c r="AD592" s="1" t="s">
        <v>6251</v>
      </c>
      <c r="AE592" s="1" t="s">
        <v>6252</v>
      </c>
      <c r="AF592" s="1" t="s">
        <v>6253</v>
      </c>
      <c r="AG592" s="1" t="s">
        <v>6252</v>
      </c>
      <c r="AH592" s="1" t="s">
        <v>906</v>
      </c>
      <c r="AI592" s="6">
        <v>7011.0</v>
      </c>
      <c r="AJ592" s="1" t="s">
        <v>224</v>
      </c>
      <c r="AK592" s="1" t="s">
        <v>6254</v>
      </c>
      <c r="AL592" s="1" t="s">
        <v>6255</v>
      </c>
      <c r="AM592" s="11" t="str">
        <f>VLOOKUP(N592,Sheet3!$B$4:$C$10,2,1)</f>
        <v>31-40</v>
      </c>
      <c r="AN592" s="13" t="str">
        <f>VLOOKUP(Z592,Sheet3!$F$4:$G$10,2,1)</f>
        <v>&lt; 5</v>
      </c>
      <c r="AO592" s="5" t="str">
        <f>VLOOKUP(AA592,Sheet3!$I$3:$J$16,2,1)</f>
        <v>120000-140000</v>
      </c>
      <c r="AP592" s="5" t="str">
        <f>VLOOKUP(AB592,Sheet3!$L$4:$M$14,2,1)</f>
        <v>21% - 25%</v>
      </c>
    </row>
    <row r="593">
      <c r="A593" s="6">
        <v>375797.0</v>
      </c>
      <c r="B593" s="1" t="s">
        <v>42</v>
      </c>
      <c r="C593" s="1" t="s">
        <v>6256</v>
      </c>
      <c r="D593" s="1" t="s">
        <v>68</v>
      </c>
      <c r="E593" s="1" t="s">
        <v>1259</v>
      </c>
      <c r="F593" s="1" t="s">
        <v>46</v>
      </c>
      <c r="G593" s="1" t="s">
        <v>6257</v>
      </c>
      <c r="H593" s="1" t="s">
        <v>5806</v>
      </c>
      <c r="I593" s="1" t="s">
        <v>6258</v>
      </c>
      <c r="J593" s="1" t="s">
        <v>6259</v>
      </c>
      <c r="K593" s="1" t="s">
        <v>293</v>
      </c>
      <c r="L593" s="9">
        <v>27875.0</v>
      </c>
      <c r="M593" s="8">
        <v>0.9178935185185185</v>
      </c>
      <c r="N593" s="6">
        <v>41.28</v>
      </c>
      <c r="O593" s="6">
        <v>45.0</v>
      </c>
      <c r="P593" s="9">
        <v>41273.0</v>
      </c>
      <c r="Q593" s="1" t="s">
        <v>52</v>
      </c>
      <c r="R593" s="1" t="s">
        <v>53</v>
      </c>
      <c r="S593" s="6">
        <v>2012.0</v>
      </c>
      <c r="T593" s="6">
        <v>12.0</v>
      </c>
      <c r="U593" s="1" t="s">
        <v>54</v>
      </c>
      <c r="V593" s="1" t="s">
        <v>55</v>
      </c>
      <c r="W593" s="6">
        <v>30.0</v>
      </c>
      <c r="X593" s="1" t="s">
        <v>534</v>
      </c>
      <c r="Y593" s="1" t="s">
        <v>535</v>
      </c>
      <c r="Z593" s="6">
        <v>4.58</v>
      </c>
      <c r="AA593" s="6">
        <v>192689.0</v>
      </c>
      <c r="AB593" s="10">
        <v>0.1</v>
      </c>
      <c r="AC593" s="1" t="s">
        <v>6260</v>
      </c>
      <c r="AD593" s="1" t="s">
        <v>6261</v>
      </c>
      <c r="AE593" s="1" t="s">
        <v>6262</v>
      </c>
      <c r="AF593" s="1" t="s">
        <v>4007</v>
      </c>
      <c r="AG593" s="1" t="s">
        <v>6262</v>
      </c>
      <c r="AH593" s="1" t="s">
        <v>223</v>
      </c>
      <c r="AI593" s="6">
        <v>19029.0</v>
      </c>
      <c r="AJ593" s="1" t="s">
        <v>224</v>
      </c>
      <c r="AK593" s="1" t="s">
        <v>6263</v>
      </c>
      <c r="AL593" s="1" t="s">
        <v>6264</v>
      </c>
      <c r="AM593" s="11" t="str">
        <f>VLOOKUP(N593,Sheet3!$B$4:$C$10,2,1)</f>
        <v>41-50</v>
      </c>
      <c r="AN593" s="13" t="str">
        <f>VLOOKUP(Z593,Sheet3!$F$4:$G$10,2,1)</f>
        <v>&lt; 5</v>
      </c>
      <c r="AO593" s="5" t="str">
        <f>VLOOKUP(AA593,Sheet3!$I$3:$J$16,2,1)</f>
        <v>180000-200000</v>
      </c>
      <c r="AP593" s="5" t="str">
        <f>VLOOKUP(AB593,Sheet3!$L$4:$M$14,2,1)</f>
        <v>5% - 10%</v>
      </c>
    </row>
    <row r="594">
      <c r="A594" s="6">
        <v>160350.0</v>
      </c>
      <c r="B594" s="1" t="s">
        <v>42</v>
      </c>
      <c r="C594" s="1" t="s">
        <v>6265</v>
      </c>
      <c r="D594" s="1" t="s">
        <v>318</v>
      </c>
      <c r="E594" s="1" t="s">
        <v>2919</v>
      </c>
      <c r="F594" s="1" t="s">
        <v>46</v>
      </c>
      <c r="G594" s="1" t="s">
        <v>6266</v>
      </c>
      <c r="H594" s="1" t="s">
        <v>5806</v>
      </c>
      <c r="I594" s="1" t="s">
        <v>6267</v>
      </c>
      <c r="J594" s="1" t="s">
        <v>6268</v>
      </c>
      <c r="K594" s="1" t="s">
        <v>558</v>
      </c>
      <c r="L594" s="14">
        <v>28735.0</v>
      </c>
      <c r="M594" s="8">
        <v>0.7224537037037037</v>
      </c>
      <c r="N594" s="6">
        <v>38.93</v>
      </c>
      <c r="O594" s="6">
        <v>49.0</v>
      </c>
      <c r="P594" s="9">
        <v>37918.0</v>
      </c>
      <c r="Q594" s="1" t="s">
        <v>52</v>
      </c>
      <c r="R594" s="1" t="s">
        <v>53</v>
      </c>
      <c r="S594" s="6">
        <v>2003.0</v>
      </c>
      <c r="T594" s="6">
        <v>10.0</v>
      </c>
      <c r="U594" s="1" t="s">
        <v>133</v>
      </c>
      <c r="V594" s="1" t="s">
        <v>134</v>
      </c>
      <c r="W594" s="6">
        <v>24.0</v>
      </c>
      <c r="X594" s="1" t="s">
        <v>263</v>
      </c>
      <c r="Y594" s="1" t="s">
        <v>264</v>
      </c>
      <c r="Z594" s="6">
        <v>13.77</v>
      </c>
      <c r="AA594" s="6">
        <v>119978.0</v>
      </c>
      <c r="AB594" s="10">
        <v>0.24</v>
      </c>
      <c r="AC594" s="1" t="s">
        <v>6269</v>
      </c>
      <c r="AD594" s="1" t="s">
        <v>6270</v>
      </c>
      <c r="AE594" s="1" t="s">
        <v>6271</v>
      </c>
      <c r="AF594" s="1" t="s">
        <v>1331</v>
      </c>
      <c r="AG594" s="1" t="s">
        <v>6271</v>
      </c>
      <c r="AH594" s="1" t="s">
        <v>223</v>
      </c>
      <c r="AI594" s="6">
        <v>19348.0</v>
      </c>
      <c r="AJ594" s="1" t="s">
        <v>224</v>
      </c>
      <c r="AK594" s="1" t="s">
        <v>6272</v>
      </c>
      <c r="AL594" s="1" t="s">
        <v>6273</v>
      </c>
      <c r="AM594" s="11" t="str">
        <f>VLOOKUP(N594,Sheet3!$B$4:$C$10,2,1)</f>
        <v>31-40</v>
      </c>
      <c r="AN594" s="12" t="str">
        <f>VLOOKUP(Z594,Sheet3!$F$4:$G$10,2,1)</f>
        <v>11-20</v>
      </c>
      <c r="AO594" s="5" t="str">
        <f>VLOOKUP(AA594,Sheet3!$I$3:$J$16,2,1)</f>
        <v>100000-120000</v>
      </c>
      <c r="AP594" s="5" t="str">
        <f>VLOOKUP(AB594,Sheet3!$L$4:$M$14,2,1)</f>
        <v>21% - 25%</v>
      </c>
    </row>
    <row r="595">
      <c r="A595" s="6">
        <v>937931.0</v>
      </c>
      <c r="B595" s="1" t="s">
        <v>66</v>
      </c>
      <c r="C595" s="1" t="s">
        <v>6274</v>
      </c>
      <c r="D595" s="1" t="s">
        <v>257</v>
      </c>
      <c r="E595" s="1" t="s">
        <v>2750</v>
      </c>
      <c r="F595" s="1" t="s">
        <v>70</v>
      </c>
      <c r="G595" s="1" t="s">
        <v>6275</v>
      </c>
      <c r="H595" s="1" t="s">
        <v>5806</v>
      </c>
      <c r="I595" s="1" t="s">
        <v>6276</v>
      </c>
      <c r="J595" s="1" t="s">
        <v>6277</v>
      </c>
      <c r="K595" s="1" t="s">
        <v>6278</v>
      </c>
      <c r="L595" s="14">
        <v>26397.0</v>
      </c>
      <c r="M595" s="8">
        <v>0.03269675925925926</v>
      </c>
      <c r="N595" s="6">
        <v>45.33</v>
      </c>
      <c r="O595" s="6">
        <v>69.0</v>
      </c>
      <c r="P595" s="14">
        <v>40489.0</v>
      </c>
      <c r="Q595" s="1" t="s">
        <v>52</v>
      </c>
      <c r="R595" s="1" t="s">
        <v>53</v>
      </c>
      <c r="S595" s="6">
        <v>2010.0</v>
      </c>
      <c r="T595" s="6">
        <v>11.0</v>
      </c>
      <c r="U595" s="1" t="s">
        <v>148</v>
      </c>
      <c r="V595" s="1" t="s">
        <v>149</v>
      </c>
      <c r="W595" s="6">
        <v>7.0</v>
      </c>
      <c r="X595" s="1" t="s">
        <v>534</v>
      </c>
      <c r="Y595" s="1" t="s">
        <v>535</v>
      </c>
      <c r="Z595" s="6">
        <v>6.73</v>
      </c>
      <c r="AA595" s="6">
        <v>96734.0</v>
      </c>
      <c r="AB595" s="10">
        <v>0.2</v>
      </c>
      <c r="AC595" s="1" t="s">
        <v>6279</v>
      </c>
      <c r="AD595" s="1" t="s">
        <v>6280</v>
      </c>
      <c r="AE595" s="1" t="s">
        <v>6281</v>
      </c>
      <c r="AF595" s="1" t="s">
        <v>1565</v>
      </c>
      <c r="AG595" s="1" t="s">
        <v>6281</v>
      </c>
      <c r="AH595" s="1" t="s">
        <v>893</v>
      </c>
      <c r="AI595" s="6">
        <v>27822.0</v>
      </c>
      <c r="AJ595" s="1" t="s">
        <v>106</v>
      </c>
      <c r="AK595" s="1" t="s">
        <v>6282</v>
      </c>
      <c r="AL595" s="1" t="s">
        <v>6283</v>
      </c>
      <c r="AM595" s="11" t="str">
        <f>VLOOKUP(N595,Sheet3!$B$4:$C$10,2,1)</f>
        <v>41-50</v>
      </c>
      <c r="AN595" s="12" t="str">
        <f>VLOOKUP(Z595,Sheet3!$F$4:$G$10,2,1)</f>
        <v>5-10</v>
      </c>
      <c r="AO595" s="5" t="str">
        <f>VLOOKUP(AA595,Sheet3!$I$3:$J$16,2,1)</f>
        <v>80000-100000</v>
      </c>
      <c r="AP595" s="5" t="str">
        <f>VLOOKUP(AB595,Sheet3!$L$4:$M$14,2,1)</f>
        <v>16% - 20%</v>
      </c>
    </row>
    <row r="596">
      <c r="A596" s="6">
        <v>155916.0</v>
      </c>
      <c r="B596" s="1" t="s">
        <v>109</v>
      </c>
      <c r="C596" s="1" t="s">
        <v>6284</v>
      </c>
      <c r="D596" s="1" t="s">
        <v>70</v>
      </c>
      <c r="E596" s="1" t="s">
        <v>1930</v>
      </c>
      <c r="F596" s="1" t="s">
        <v>46</v>
      </c>
      <c r="G596" s="1" t="s">
        <v>6285</v>
      </c>
      <c r="H596" s="1" t="s">
        <v>5806</v>
      </c>
      <c r="I596" s="1" t="s">
        <v>6286</v>
      </c>
      <c r="J596" s="1" t="s">
        <v>6287</v>
      </c>
      <c r="K596" s="1" t="s">
        <v>168</v>
      </c>
      <c r="L596" s="9">
        <v>21450.0</v>
      </c>
      <c r="M596" s="8">
        <v>0.2889236111111111</v>
      </c>
      <c r="N596" s="6">
        <v>58.89</v>
      </c>
      <c r="O596" s="6">
        <v>41.0</v>
      </c>
      <c r="P596" s="14">
        <v>29231.0</v>
      </c>
      <c r="Q596" s="1" t="s">
        <v>96</v>
      </c>
      <c r="R596" s="1" t="s">
        <v>76</v>
      </c>
      <c r="S596" s="6">
        <v>1980.0</v>
      </c>
      <c r="T596" s="6">
        <v>1.0</v>
      </c>
      <c r="U596" s="1" t="s">
        <v>276</v>
      </c>
      <c r="V596" s="1" t="s">
        <v>277</v>
      </c>
      <c r="W596" s="6">
        <v>11.0</v>
      </c>
      <c r="X596" s="1" t="s">
        <v>263</v>
      </c>
      <c r="Y596" s="1" t="s">
        <v>264</v>
      </c>
      <c r="Z596" s="6">
        <v>37.57</v>
      </c>
      <c r="AA596" s="6">
        <v>120595.0</v>
      </c>
      <c r="AB596" s="10">
        <v>0.17</v>
      </c>
      <c r="AC596" s="1" t="s">
        <v>6288</v>
      </c>
      <c r="AD596" s="1" t="s">
        <v>6289</v>
      </c>
      <c r="AE596" s="1" t="s">
        <v>6290</v>
      </c>
      <c r="AF596" s="1" t="s">
        <v>5880</v>
      </c>
      <c r="AG596" s="1" t="s">
        <v>6290</v>
      </c>
      <c r="AH596" s="1" t="s">
        <v>1638</v>
      </c>
      <c r="AI596" s="6">
        <v>57383.0</v>
      </c>
      <c r="AJ596" s="1" t="s">
        <v>86</v>
      </c>
      <c r="AK596" s="1" t="s">
        <v>6291</v>
      </c>
      <c r="AL596" s="1" t="s">
        <v>6292</v>
      </c>
      <c r="AM596" s="11" t="str">
        <f>VLOOKUP(N596,Sheet3!$B$4:$C$10,2,1)</f>
        <v>51-60</v>
      </c>
      <c r="AN596" s="13" t="str">
        <f>VLOOKUP(Z596,Sheet3!$F$4:$G$10,2,1)</f>
        <v>31-40</v>
      </c>
      <c r="AO596" s="5" t="str">
        <f>VLOOKUP(AA596,Sheet3!$I$3:$J$16,2,1)</f>
        <v>120000-140000</v>
      </c>
      <c r="AP596" s="5" t="str">
        <f>VLOOKUP(AB596,Sheet3!$L$4:$M$14,2,1)</f>
        <v>16% - 20%</v>
      </c>
    </row>
    <row r="597">
      <c r="A597" s="6">
        <v>905335.0</v>
      </c>
      <c r="B597" s="1" t="s">
        <v>42</v>
      </c>
      <c r="C597" s="1" t="s">
        <v>2879</v>
      </c>
      <c r="D597" s="1" t="s">
        <v>288</v>
      </c>
      <c r="E597" s="1" t="s">
        <v>6293</v>
      </c>
      <c r="F597" s="1" t="s">
        <v>46</v>
      </c>
      <c r="G597" s="1" t="s">
        <v>6294</v>
      </c>
      <c r="H597" s="1" t="s">
        <v>5806</v>
      </c>
      <c r="I597" s="1" t="s">
        <v>6295</v>
      </c>
      <c r="J597" s="1" t="s">
        <v>6296</v>
      </c>
      <c r="K597" s="1" t="s">
        <v>1795</v>
      </c>
      <c r="L597" s="14">
        <v>29191.0</v>
      </c>
      <c r="M597" s="8">
        <v>0.12221064814814815</v>
      </c>
      <c r="N597" s="6">
        <v>37.68</v>
      </c>
      <c r="O597" s="6">
        <v>45.0</v>
      </c>
      <c r="P597" s="9">
        <v>41775.0</v>
      </c>
      <c r="Q597" s="1" t="s">
        <v>75</v>
      </c>
      <c r="R597" s="1" t="s">
        <v>76</v>
      </c>
      <c r="S597" s="6">
        <v>2014.0</v>
      </c>
      <c r="T597" s="6">
        <v>5.0</v>
      </c>
      <c r="U597" s="1" t="s">
        <v>294</v>
      </c>
      <c r="V597" s="1" t="s">
        <v>294</v>
      </c>
      <c r="W597" s="6">
        <v>16.0</v>
      </c>
      <c r="X597" s="1" t="s">
        <v>263</v>
      </c>
      <c r="Y597" s="1" t="s">
        <v>264</v>
      </c>
      <c r="Z597" s="6">
        <v>3.2</v>
      </c>
      <c r="AA597" s="6">
        <v>96619.0</v>
      </c>
      <c r="AB597" s="10">
        <v>0.25</v>
      </c>
      <c r="AC597" s="1" t="s">
        <v>6297</v>
      </c>
      <c r="AD597" s="1" t="s">
        <v>6298</v>
      </c>
      <c r="AE597" s="1" t="s">
        <v>6299</v>
      </c>
      <c r="AF597" s="1" t="s">
        <v>3829</v>
      </c>
      <c r="AG597" s="1" t="s">
        <v>6299</v>
      </c>
      <c r="AH597" s="1" t="s">
        <v>238</v>
      </c>
      <c r="AI597" s="6">
        <v>92373.0</v>
      </c>
      <c r="AJ597" s="1" t="s">
        <v>63</v>
      </c>
      <c r="AK597" s="1" t="s">
        <v>6300</v>
      </c>
      <c r="AL597" s="1" t="s">
        <v>6301</v>
      </c>
      <c r="AM597" s="11" t="str">
        <f>VLOOKUP(N597,Sheet3!$B$4:$C$10,2,1)</f>
        <v>31-40</v>
      </c>
      <c r="AN597" s="13" t="str">
        <f>VLOOKUP(Z597,Sheet3!$F$4:$G$10,2,1)</f>
        <v>&lt; 5</v>
      </c>
      <c r="AO597" s="5" t="str">
        <f>VLOOKUP(AA597,Sheet3!$I$3:$J$16,2,1)</f>
        <v>80000-100000</v>
      </c>
      <c r="AP597" s="5" t="str">
        <f>VLOOKUP(AB597,Sheet3!$L$4:$M$14,2,1)</f>
        <v>21% - 25%</v>
      </c>
    </row>
    <row r="598">
      <c r="A598" s="6">
        <v>502509.0</v>
      </c>
      <c r="B598" s="1" t="s">
        <v>42</v>
      </c>
      <c r="C598" s="1" t="s">
        <v>6302</v>
      </c>
      <c r="D598" s="1" t="s">
        <v>554</v>
      </c>
      <c r="E598" s="1" t="s">
        <v>978</v>
      </c>
      <c r="F598" s="1" t="s">
        <v>46</v>
      </c>
      <c r="G598" s="1" t="s">
        <v>6303</v>
      </c>
      <c r="H598" s="1" t="s">
        <v>5806</v>
      </c>
      <c r="I598" s="1" t="s">
        <v>6304</v>
      </c>
      <c r="J598" s="1" t="s">
        <v>6305</v>
      </c>
      <c r="K598" s="1" t="s">
        <v>6306</v>
      </c>
      <c r="L598" s="14">
        <v>21131.0</v>
      </c>
      <c r="M598" s="8">
        <v>0.012326388888888888</v>
      </c>
      <c r="N598" s="6">
        <v>59.76</v>
      </c>
      <c r="O598" s="6">
        <v>41.0</v>
      </c>
      <c r="P598" s="9">
        <v>37759.0</v>
      </c>
      <c r="Q598" s="1" t="s">
        <v>75</v>
      </c>
      <c r="R598" s="1" t="s">
        <v>76</v>
      </c>
      <c r="S598" s="6">
        <v>2003.0</v>
      </c>
      <c r="T598" s="6">
        <v>5.0</v>
      </c>
      <c r="U598" s="1" t="s">
        <v>294</v>
      </c>
      <c r="V598" s="1" t="s">
        <v>294</v>
      </c>
      <c r="W598" s="6">
        <v>18.0</v>
      </c>
      <c r="X598" s="1" t="s">
        <v>534</v>
      </c>
      <c r="Y598" s="1" t="s">
        <v>535</v>
      </c>
      <c r="Z598" s="6">
        <v>14.21</v>
      </c>
      <c r="AA598" s="6">
        <v>135726.0</v>
      </c>
      <c r="AB598" s="10">
        <v>0.27</v>
      </c>
      <c r="AC598" s="1" t="s">
        <v>6307</v>
      </c>
      <c r="AD598" s="1" t="s">
        <v>6308</v>
      </c>
      <c r="AE598" s="1" t="s">
        <v>6309</v>
      </c>
      <c r="AF598" s="1" t="s">
        <v>2557</v>
      </c>
      <c r="AG598" s="1" t="s">
        <v>6309</v>
      </c>
      <c r="AH598" s="1" t="s">
        <v>122</v>
      </c>
      <c r="AI598" s="6">
        <v>46968.0</v>
      </c>
      <c r="AJ598" s="1" t="s">
        <v>86</v>
      </c>
      <c r="AK598" s="1" t="s">
        <v>6310</v>
      </c>
      <c r="AL598" s="1" t="s">
        <v>6311</v>
      </c>
      <c r="AM598" s="11" t="str">
        <f>VLOOKUP(N598,Sheet3!$B$4:$C$10,2,1)</f>
        <v>51-60</v>
      </c>
      <c r="AN598" s="12" t="str">
        <f>VLOOKUP(Z598,Sheet3!$F$4:$G$10,2,1)</f>
        <v>11-20</v>
      </c>
      <c r="AO598" s="5" t="str">
        <f>VLOOKUP(AA598,Sheet3!$I$3:$J$16,2,1)</f>
        <v>120000-140000</v>
      </c>
      <c r="AP598" s="5" t="str">
        <f>VLOOKUP(AB598,Sheet3!$L$4:$M$14,2,1)</f>
        <v>26% - 30%</v>
      </c>
    </row>
    <row r="599">
      <c r="A599" s="6">
        <v>563580.0</v>
      </c>
      <c r="B599" s="1" t="s">
        <v>66</v>
      </c>
      <c r="C599" s="1" t="s">
        <v>142</v>
      </c>
      <c r="D599" s="1" t="s">
        <v>389</v>
      </c>
      <c r="E599" s="1" t="s">
        <v>791</v>
      </c>
      <c r="F599" s="1" t="s">
        <v>70</v>
      </c>
      <c r="G599" s="1" t="s">
        <v>6312</v>
      </c>
      <c r="H599" s="1" t="s">
        <v>5806</v>
      </c>
      <c r="I599" s="1" t="s">
        <v>6313</v>
      </c>
      <c r="J599" s="1" t="s">
        <v>6314</v>
      </c>
      <c r="K599" s="1" t="s">
        <v>2434</v>
      </c>
      <c r="L599" s="14">
        <v>24937.0</v>
      </c>
      <c r="M599" s="8">
        <v>0.7272800925925926</v>
      </c>
      <c r="N599" s="6">
        <v>49.33</v>
      </c>
      <c r="O599" s="6">
        <v>54.0</v>
      </c>
      <c r="P599" s="9">
        <v>34931.0</v>
      </c>
      <c r="Q599" s="1" t="s">
        <v>308</v>
      </c>
      <c r="R599" s="1" t="s">
        <v>53</v>
      </c>
      <c r="S599" s="6">
        <v>1995.0</v>
      </c>
      <c r="T599" s="6">
        <v>8.0</v>
      </c>
      <c r="U599" s="1" t="s">
        <v>433</v>
      </c>
      <c r="V599" s="1" t="s">
        <v>434</v>
      </c>
      <c r="W599" s="6">
        <v>20.0</v>
      </c>
      <c r="X599" s="1" t="s">
        <v>534</v>
      </c>
      <c r="Y599" s="1" t="s">
        <v>535</v>
      </c>
      <c r="Z599" s="6">
        <v>21.95</v>
      </c>
      <c r="AA599" s="6">
        <v>106870.0</v>
      </c>
      <c r="AB599" s="10">
        <v>0.06</v>
      </c>
      <c r="AC599" s="1" t="s">
        <v>6315</v>
      </c>
      <c r="AD599" s="1" t="s">
        <v>6316</v>
      </c>
      <c r="AE599" s="1" t="s">
        <v>6317</v>
      </c>
      <c r="AF599" s="1" t="s">
        <v>2441</v>
      </c>
      <c r="AG599" s="1" t="s">
        <v>6317</v>
      </c>
      <c r="AH599" s="1" t="s">
        <v>223</v>
      </c>
      <c r="AI599" s="6">
        <v>16623.0</v>
      </c>
      <c r="AJ599" s="1" t="s">
        <v>224</v>
      </c>
      <c r="AK599" s="1" t="s">
        <v>6318</v>
      </c>
      <c r="AL599" s="1" t="s">
        <v>6319</v>
      </c>
      <c r="AM599" s="11" t="str">
        <f>VLOOKUP(N599,Sheet3!$B$4:$C$10,2,1)</f>
        <v>41-50</v>
      </c>
      <c r="AN599" s="13" t="str">
        <f>VLOOKUP(Z599,Sheet3!$F$4:$G$10,2,1)</f>
        <v>21-30</v>
      </c>
      <c r="AO599" s="5" t="str">
        <f>VLOOKUP(AA599,Sheet3!$I$3:$J$16,2,1)</f>
        <v>100000-120000</v>
      </c>
      <c r="AP599" s="5" t="str">
        <f>VLOOKUP(AB599,Sheet3!$L$4:$M$14,2,1)</f>
        <v>5% - 10%</v>
      </c>
    </row>
    <row r="600">
      <c r="A600" s="6">
        <v>433698.0</v>
      </c>
      <c r="B600" s="1" t="s">
        <v>42</v>
      </c>
      <c r="C600" s="1" t="s">
        <v>4797</v>
      </c>
      <c r="D600" s="1" t="s">
        <v>443</v>
      </c>
      <c r="E600" s="1" t="s">
        <v>3158</v>
      </c>
      <c r="F600" s="1" t="s">
        <v>46</v>
      </c>
      <c r="G600" s="1" t="s">
        <v>6320</v>
      </c>
      <c r="H600" s="1" t="s">
        <v>5806</v>
      </c>
      <c r="I600" s="1" t="s">
        <v>6321</v>
      </c>
      <c r="J600" s="1" t="s">
        <v>6322</v>
      </c>
      <c r="K600" s="1" t="s">
        <v>3188</v>
      </c>
      <c r="L600" s="14">
        <v>27337.0</v>
      </c>
      <c r="M600" s="8">
        <v>0.8275578703703703</v>
      </c>
      <c r="N600" s="6">
        <v>42.76</v>
      </c>
      <c r="O600" s="6">
        <v>56.0</v>
      </c>
      <c r="P600" s="9">
        <v>39073.0</v>
      </c>
      <c r="Q600" s="1" t="s">
        <v>52</v>
      </c>
      <c r="R600" s="1" t="s">
        <v>53</v>
      </c>
      <c r="S600" s="6">
        <v>2006.0</v>
      </c>
      <c r="T600" s="6">
        <v>12.0</v>
      </c>
      <c r="U600" s="1" t="s">
        <v>54</v>
      </c>
      <c r="V600" s="1" t="s">
        <v>55</v>
      </c>
      <c r="W600" s="6">
        <v>22.0</v>
      </c>
      <c r="X600" s="1" t="s">
        <v>263</v>
      </c>
      <c r="Y600" s="1" t="s">
        <v>264</v>
      </c>
      <c r="Z600" s="6">
        <v>10.61</v>
      </c>
      <c r="AA600" s="6">
        <v>118038.0</v>
      </c>
      <c r="AB600" s="10">
        <v>0.27</v>
      </c>
      <c r="AC600" s="1" t="s">
        <v>6323</v>
      </c>
      <c r="AD600" s="1" t="s">
        <v>6324</v>
      </c>
      <c r="AE600" s="1" t="s">
        <v>6325</v>
      </c>
      <c r="AF600" s="1" t="s">
        <v>4666</v>
      </c>
      <c r="AG600" s="1" t="s">
        <v>6325</v>
      </c>
      <c r="AH600" s="1" t="s">
        <v>169</v>
      </c>
      <c r="AI600" s="6">
        <v>78415.0</v>
      </c>
      <c r="AJ600" s="1" t="s">
        <v>106</v>
      </c>
      <c r="AK600" s="1" t="s">
        <v>6326</v>
      </c>
      <c r="AL600" s="1" t="s">
        <v>6327</v>
      </c>
      <c r="AM600" s="11" t="str">
        <f>VLOOKUP(N600,Sheet3!$B$4:$C$10,2,1)</f>
        <v>41-50</v>
      </c>
      <c r="AN600" s="12" t="str">
        <f>VLOOKUP(Z600,Sheet3!$F$4:$G$10,2,1)</f>
        <v>5-10</v>
      </c>
      <c r="AO600" s="5" t="str">
        <f>VLOOKUP(AA600,Sheet3!$I$3:$J$16,2,1)</f>
        <v>100000-120000</v>
      </c>
      <c r="AP600" s="5" t="str">
        <f>VLOOKUP(AB600,Sheet3!$L$4:$M$14,2,1)</f>
        <v>26% - 30%</v>
      </c>
    </row>
    <row r="601">
      <c r="A601" s="6">
        <v>163351.0</v>
      </c>
      <c r="B601" s="1" t="s">
        <v>66</v>
      </c>
      <c r="C601" s="1" t="s">
        <v>6328</v>
      </c>
      <c r="D601" s="1" t="s">
        <v>200</v>
      </c>
      <c r="E601" s="1" t="s">
        <v>6329</v>
      </c>
      <c r="F601" s="1" t="s">
        <v>70</v>
      </c>
      <c r="G601" s="1" t="s">
        <v>6330</v>
      </c>
      <c r="H601" s="1" t="s">
        <v>5806</v>
      </c>
      <c r="I601" s="1" t="s">
        <v>6331</v>
      </c>
      <c r="J601" s="1" t="s">
        <v>6332</v>
      </c>
      <c r="K601" s="1" t="s">
        <v>2852</v>
      </c>
      <c r="L601" s="9">
        <v>25685.0</v>
      </c>
      <c r="M601" s="8">
        <v>0.7560532407407408</v>
      </c>
      <c r="N601" s="6">
        <v>47.28</v>
      </c>
      <c r="O601" s="6">
        <v>61.0</v>
      </c>
      <c r="P601" s="9">
        <v>35734.0</v>
      </c>
      <c r="Q601" s="1" t="s">
        <v>52</v>
      </c>
      <c r="R601" s="1" t="s">
        <v>53</v>
      </c>
      <c r="S601" s="6">
        <v>1997.0</v>
      </c>
      <c r="T601" s="6">
        <v>10.0</v>
      </c>
      <c r="U601" s="1" t="s">
        <v>133</v>
      </c>
      <c r="V601" s="1" t="s">
        <v>134</v>
      </c>
      <c r="W601" s="6">
        <v>31.0</v>
      </c>
      <c r="X601" s="1" t="s">
        <v>263</v>
      </c>
      <c r="Y601" s="1" t="s">
        <v>264</v>
      </c>
      <c r="Z601" s="6">
        <v>19.75</v>
      </c>
      <c r="AA601" s="6">
        <v>60737.0</v>
      </c>
      <c r="AB601" s="10">
        <v>0.09</v>
      </c>
      <c r="AC601" s="1" t="s">
        <v>6333</v>
      </c>
      <c r="AD601" s="1" t="s">
        <v>6334</v>
      </c>
      <c r="AE601" s="1" t="s">
        <v>3800</v>
      </c>
      <c r="AF601" s="1" t="s">
        <v>1814</v>
      </c>
      <c r="AG601" s="1" t="s">
        <v>3800</v>
      </c>
      <c r="AH601" s="1" t="s">
        <v>439</v>
      </c>
      <c r="AI601" s="6">
        <v>4738.0</v>
      </c>
      <c r="AJ601" s="1" t="s">
        <v>224</v>
      </c>
      <c r="AK601" s="1" t="s">
        <v>6335</v>
      </c>
      <c r="AL601" s="1" t="s">
        <v>6336</v>
      </c>
      <c r="AM601" s="11" t="str">
        <f>VLOOKUP(N601,Sheet3!$B$4:$C$10,2,1)</f>
        <v>41-50</v>
      </c>
      <c r="AN601" s="12" t="str">
        <f>VLOOKUP(Z601,Sheet3!$F$4:$G$10,2,1)</f>
        <v>11-20</v>
      </c>
      <c r="AO601" s="5" t="str">
        <f>VLOOKUP(AA601,Sheet3!$I$3:$J$16,2,1)</f>
        <v>60000-80000</v>
      </c>
      <c r="AP601" s="5" t="str">
        <f>VLOOKUP(AB601,Sheet3!$L$4:$M$14,2,1)</f>
        <v>5% - 10%</v>
      </c>
    </row>
    <row r="602">
      <c r="A602" s="6">
        <v>898816.0</v>
      </c>
      <c r="B602" s="1" t="s">
        <v>42</v>
      </c>
      <c r="C602" s="1" t="s">
        <v>4935</v>
      </c>
      <c r="D602" s="1" t="s">
        <v>288</v>
      </c>
      <c r="E602" s="1" t="s">
        <v>2067</v>
      </c>
      <c r="F602" s="1" t="s">
        <v>46</v>
      </c>
      <c r="G602" s="1" t="s">
        <v>6337</v>
      </c>
      <c r="H602" s="1" t="s">
        <v>5806</v>
      </c>
      <c r="I602" s="1" t="s">
        <v>6338</v>
      </c>
      <c r="J602" s="1" t="s">
        <v>6339</v>
      </c>
      <c r="K602" s="1" t="s">
        <v>492</v>
      </c>
      <c r="L602" s="9">
        <v>22179.0</v>
      </c>
      <c r="M602" s="8">
        <v>0.48475694444444445</v>
      </c>
      <c r="N602" s="6">
        <v>56.89</v>
      </c>
      <c r="O602" s="6">
        <v>48.0</v>
      </c>
      <c r="P602" s="9">
        <v>39376.0</v>
      </c>
      <c r="Q602" s="1" t="s">
        <v>52</v>
      </c>
      <c r="R602" s="1" t="s">
        <v>53</v>
      </c>
      <c r="S602" s="6">
        <v>2007.0</v>
      </c>
      <c r="T602" s="6">
        <v>10.0</v>
      </c>
      <c r="U602" s="1" t="s">
        <v>133</v>
      </c>
      <c r="V602" s="1" t="s">
        <v>134</v>
      </c>
      <c r="W602" s="6">
        <v>21.0</v>
      </c>
      <c r="X602" s="1" t="s">
        <v>534</v>
      </c>
      <c r="Y602" s="1" t="s">
        <v>535</v>
      </c>
      <c r="Z602" s="6">
        <v>9.78</v>
      </c>
      <c r="AA602" s="6">
        <v>94034.0</v>
      </c>
      <c r="AB602" s="10">
        <v>0.07</v>
      </c>
      <c r="AC602" s="1" t="s">
        <v>6340</v>
      </c>
      <c r="AD602" s="1" t="s">
        <v>6341</v>
      </c>
      <c r="AE602" s="1" t="s">
        <v>6342</v>
      </c>
      <c r="AF602" s="1" t="s">
        <v>3528</v>
      </c>
      <c r="AG602" s="1" t="s">
        <v>6342</v>
      </c>
      <c r="AH602" s="1" t="s">
        <v>238</v>
      </c>
      <c r="AI602" s="6">
        <v>92320.0</v>
      </c>
      <c r="AJ602" s="1" t="s">
        <v>63</v>
      </c>
      <c r="AK602" s="1" t="s">
        <v>6343</v>
      </c>
      <c r="AL602" s="1" t="s">
        <v>6344</v>
      </c>
      <c r="AM602" s="11" t="str">
        <f>VLOOKUP(N602,Sheet3!$B$4:$C$10,2,1)</f>
        <v>51-60</v>
      </c>
      <c r="AN602" s="12" t="str">
        <f>VLOOKUP(Z602,Sheet3!$F$4:$G$10,2,1)</f>
        <v>5-10</v>
      </c>
      <c r="AO602" s="5" t="str">
        <f>VLOOKUP(AA602,Sheet3!$I$3:$J$16,2,1)</f>
        <v>80000-100000</v>
      </c>
      <c r="AP602" s="5" t="str">
        <f>VLOOKUP(AB602,Sheet3!$L$4:$M$14,2,1)</f>
        <v>5% - 10%</v>
      </c>
    </row>
    <row r="603">
      <c r="A603" s="6">
        <v>641368.0</v>
      </c>
      <c r="B603" s="1" t="s">
        <v>66</v>
      </c>
      <c r="C603" s="1" t="s">
        <v>6345</v>
      </c>
      <c r="D603" s="1" t="s">
        <v>257</v>
      </c>
      <c r="E603" s="1" t="s">
        <v>417</v>
      </c>
      <c r="F603" s="1" t="s">
        <v>70</v>
      </c>
      <c r="G603" s="1" t="s">
        <v>6346</v>
      </c>
      <c r="H603" s="1" t="s">
        <v>5806</v>
      </c>
      <c r="I603" s="1" t="s">
        <v>6347</v>
      </c>
      <c r="J603" s="1" t="s">
        <v>6348</v>
      </c>
      <c r="K603" s="1" t="s">
        <v>6349</v>
      </c>
      <c r="L603" s="9">
        <v>28820.0</v>
      </c>
      <c r="M603" s="8">
        <v>0.5672569444444444</v>
      </c>
      <c r="N603" s="6">
        <v>38.7</v>
      </c>
      <c r="O603" s="6">
        <v>53.0</v>
      </c>
      <c r="P603" s="9">
        <v>38044.0</v>
      </c>
      <c r="Q603" s="1" t="s">
        <v>96</v>
      </c>
      <c r="R603" s="1" t="s">
        <v>76</v>
      </c>
      <c r="S603" s="6">
        <v>2004.0</v>
      </c>
      <c r="T603" s="6">
        <v>2.0</v>
      </c>
      <c r="U603" s="1" t="s">
        <v>117</v>
      </c>
      <c r="V603" s="1" t="s">
        <v>118</v>
      </c>
      <c r="W603" s="6">
        <v>27.0</v>
      </c>
      <c r="X603" s="1" t="s">
        <v>263</v>
      </c>
      <c r="Y603" s="1" t="s">
        <v>264</v>
      </c>
      <c r="Z603" s="6">
        <v>13.42</v>
      </c>
      <c r="AA603" s="6">
        <v>79954.0</v>
      </c>
      <c r="AB603" s="10">
        <v>0.19</v>
      </c>
      <c r="AC603" s="1" t="s">
        <v>6350</v>
      </c>
      <c r="AD603" s="1" t="s">
        <v>6351</v>
      </c>
      <c r="AE603" s="1" t="s">
        <v>4725</v>
      </c>
      <c r="AF603" s="1" t="s">
        <v>4726</v>
      </c>
      <c r="AG603" s="1" t="s">
        <v>4725</v>
      </c>
      <c r="AH603" s="1" t="s">
        <v>893</v>
      </c>
      <c r="AI603" s="6">
        <v>27113.0</v>
      </c>
      <c r="AJ603" s="1" t="s">
        <v>106</v>
      </c>
      <c r="AK603" s="1" t="s">
        <v>6352</v>
      </c>
      <c r="AL603" s="1" t="s">
        <v>6353</v>
      </c>
      <c r="AM603" s="11" t="str">
        <f>VLOOKUP(N603,Sheet3!$B$4:$C$10,2,1)</f>
        <v>31-40</v>
      </c>
      <c r="AN603" s="12" t="str">
        <f>VLOOKUP(Z603,Sheet3!$F$4:$G$10,2,1)</f>
        <v>11-20</v>
      </c>
      <c r="AO603" s="5" t="str">
        <f>VLOOKUP(AA603,Sheet3!$I$3:$J$16,2,1)</f>
        <v>60000-80000</v>
      </c>
      <c r="AP603" s="5" t="str">
        <f>VLOOKUP(AB603,Sheet3!$L$4:$M$14,2,1)</f>
        <v>16% - 20%</v>
      </c>
    </row>
    <row r="604">
      <c r="A604" s="6">
        <v>177982.0</v>
      </c>
      <c r="B604" s="1" t="s">
        <v>42</v>
      </c>
      <c r="C604" s="1" t="s">
        <v>3822</v>
      </c>
      <c r="D604" s="1" t="s">
        <v>1300</v>
      </c>
      <c r="E604" s="1" t="s">
        <v>6329</v>
      </c>
      <c r="F604" s="1" t="s">
        <v>46</v>
      </c>
      <c r="G604" s="1" t="s">
        <v>6354</v>
      </c>
      <c r="H604" s="1" t="s">
        <v>5806</v>
      </c>
      <c r="I604" s="1" t="s">
        <v>6355</v>
      </c>
      <c r="J604" s="1" t="s">
        <v>6356</v>
      </c>
      <c r="K604" s="1" t="s">
        <v>6357</v>
      </c>
      <c r="L604" s="9">
        <v>26599.0</v>
      </c>
      <c r="M604" s="8">
        <v>0.8045601851851852</v>
      </c>
      <c r="N604" s="6">
        <v>44.78</v>
      </c>
      <c r="O604" s="6">
        <v>53.0</v>
      </c>
      <c r="P604" s="9">
        <v>35811.0</v>
      </c>
      <c r="Q604" s="1" t="s">
        <v>96</v>
      </c>
      <c r="R604" s="1" t="s">
        <v>76</v>
      </c>
      <c r="S604" s="6">
        <v>1998.0</v>
      </c>
      <c r="T604" s="6">
        <v>1.0</v>
      </c>
      <c r="U604" s="1" t="s">
        <v>276</v>
      </c>
      <c r="V604" s="1" t="s">
        <v>277</v>
      </c>
      <c r="W604" s="6">
        <v>16.0</v>
      </c>
      <c r="X604" s="1" t="s">
        <v>263</v>
      </c>
      <c r="Y604" s="1" t="s">
        <v>264</v>
      </c>
      <c r="Z604" s="6">
        <v>19.54</v>
      </c>
      <c r="AA604" s="6">
        <v>54762.0</v>
      </c>
      <c r="AB604" s="10">
        <v>0.01</v>
      </c>
      <c r="AC604" s="1" t="s">
        <v>6358</v>
      </c>
      <c r="AD604" s="1" t="s">
        <v>6359</v>
      </c>
      <c r="AE604" s="1" t="s">
        <v>6360</v>
      </c>
      <c r="AF604" s="1" t="s">
        <v>462</v>
      </c>
      <c r="AG604" s="1" t="s">
        <v>6360</v>
      </c>
      <c r="AH604" s="1" t="s">
        <v>238</v>
      </c>
      <c r="AI604" s="6">
        <v>94037.0</v>
      </c>
      <c r="AJ604" s="1" t="s">
        <v>63</v>
      </c>
      <c r="AK604" s="1" t="s">
        <v>6361</v>
      </c>
      <c r="AL604" s="1" t="s">
        <v>6362</v>
      </c>
      <c r="AM604" s="11" t="str">
        <f>VLOOKUP(N604,Sheet3!$B$4:$C$10,2,1)</f>
        <v>41-50</v>
      </c>
      <c r="AN604" s="12" t="str">
        <f>VLOOKUP(Z604,Sheet3!$F$4:$G$10,2,1)</f>
        <v>11-20</v>
      </c>
      <c r="AO604" s="5" t="str">
        <f>VLOOKUP(AA604,Sheet3!$I$3:$J$16,2,1)</f>
        <v>40000-60000</v>
      </c>
      <c r="AP604" s="5" t="str">
        <f>VLOOKUP(AB604,Sheet3!$L$4:$M$14,2,1)</f>
        <v>&lt; 5%</v>
      </c>
    </row>
    <row r="605">
      <c r="A605" s="6">
        <v>330889.0</v>
      </c>
      <c r="B605" s="1" t="s">
        <v>227</v>
      </c>
      <c r="C605" s="1" t="s">
        <v>6363</v>
      </c>
      <c r="D605" s="1" t="s">
        <v>111</v>
      </c>
      <c r="E605" s="1" t="s">
        <v>591</v>
      </c>
      <c r="F605" s="1" t="s">
        <v>70</v>
      </c>
      <c r="G605" s="1" t="s">
        <v>6364</v>
      </c>
      <c r="H605" s="1" t="s">
        <v>5806</v>
      </c>
      <c r="I605" s="1" t="s">
        <v>6365</v>
      </c>
      <c r="J605" s="1" t="s">
        <v>6366</v>
      </c>
      <c r="K605" s="1" t="s">
        <v>3039</v>
      </c>
      <c r="L605" s="9">
        <v>25288.0</v>
      </c>
      <c r="M605" s="8">
        <v>0.25059027777777776</v>
      </c>
      <c r="N605" s="6">
        <v>48.37</v>
      </c>
      <c r="O605" s="6">
        <v>77.0</v>
      </c>
      <c r="P605" s="14">
        <v>42189.0</v>
      </c>
      <c r="Q605" s="1" t="s">
        <v>308</v>
      </c>
      <c r="R605" s="1" t="s">
        <v>53</v>
      </c>
      <c r="S605" s="6">
        <v>2015.0</v>
      </c>
      <c r="T605" s="6">
        <v>7.0</v>
      </c>
      <c r="U605" s="1" t="s">
        <v>366</v>
      </c>
      <c r="V605" s="1" t="s">
        <v>367</v>
      </c>
      <c r="W605" s="6">
        <v>4.0</v>
      </c>
      <c r="X605" s="1" t="s">
        <v>56</v>
      </c>
      <c r="Y605" s="1" t="s">
        <v>57</v>
      </c>
      <c r="Z605" s="6">
        <v>2.07</v>
      </c>
      <c r="AA605" s="6">
        <v>82632.0</v>
      </c>
      <c r="AB605" s="10">
        <v>0.19</v>
      </c>
      <c r="AC605" s="1" t="s">
        <v>6367</v>
      </c>
      <c r="AD605" s="1" t="s">
        <v>6368</v>
      </c>
      <c r="AE605" s="1" t="s">
        <v>6369</v>
      </c>
      <c r="AF605" s="1" t="s">
        <v>6370</v>
      </c>
      <c r="AG605" s="1" t="s">
        <v>6369</v>
      </c>
      <c r="AH605" s="1" t="s">
        <v>1561</v>
      </c>
      <c r="AI605" s="6">
        <v>54452.0</v>
      </c>
      <c r="AJ605" s="1" t="s">
        <v>86</v>
      </c>
      <c r="AK605" s="1" t="s">
        <v>6371</v>
      </c>
      <c r="AL605" s="1" t="s">
        <v>6372</v>
      </c>
      <c r="AM605" s="11" t="str">
        <f>VLOOKUP(N605,Sheet3!$B$4:$C$10,2,1)</f>
        <v>41-50</v>
      </c>
      <c r="AN605" s="13" t="str">
        <f>VLOOKUP(Z605,Sheet3!$F$4:$G$10,2,1)</f>
        <v>&lt; 5</v>
      </c>
      <c r="AO605" s="5" t="str">
        <f>VLOOKUP(AA605,Sheet3!$I$3:$J$16,2,1)</f>
        <v>80000-100000</v>
      </c>
      <c r="AP605" s="5" t="str">
        <f>VLOOKUP(AB605,Sheet3!$L$4:$M$14,2,1)</f>
        <v>16% - 20%</v>
      </c>
    </row>
    <row r="606">
      <c r="A606" s="6">
        <v>639474.0</v>
      </c>
      <c r="B606" s="1" t="s">
        <v>42</v>
      </c>
      <c r="C606" s="1" t="s">
        <v>6373</v>
      </c>
      <c r="D606" s="1" t="s">
        <v>466</v>
      </c>
      <c r="E606" s="1" t="s">
        <v>783</v>
      </c>
      <c r="F606" s="1" t="s">
        <v>46</v>
      </c>
      <c r="G606" s="1" t="s">
        <v>6374</v>
      </c>
      <c r="H606" s="1" t="s">
        <v>5806</v>
      </c>
      <c r="I606" s="1" t="s">
        <v>6375</v>
      </c>
      <c r="J606" s="1" t="s">
        <v>6376</v>
      </c>
      <c r="K606" s="1" t="s">
        <v>160</v>
      </c>
      <c r="L606" s="9">
        <v>32080.0</v>
      </c>
      <c r="M606" s="8">
        <v>0.6071875</v>
      </c>
      <c r="N606" s="6">
        <v>29.76</v>
      </c>
      <c r="O606" s="6">
        <v>41.0</v>
      </c>
      <c r="P606" s="9">
        <v>42854.0</v>
      </c>
      <c r="Q606" s="1" t="s">
        <v>75</v>
      </c>
      <c r="R606" s="1" t="s">
        <v>76</v>
      </c>
      <c r="S606" s="6">
        <v>2017.0</v>
      </c>
      <c r="T606" s="6">
        <v>4.0</v>
      </c>
      <c r="U606" s="1" t="s">
        <v>77</v>
      </c>
      <c r="V606" s="1" t="s">
        <v>78</v>
      </c>
      <c r="W606" s="6">
        <v>29.0</v>
      </c>
      <c r="X606" s="1" t="s">
        <v>56</v>
      </c>
      <c r="Y606" s="1" t="s">
        <v>57</v>
      </c>
      <c r="Z606" s="6">
        <v>0.25</v>
      </c>
      <c r="AA606" s="6">
        <v>92138.0</v>
      </c>
      <c r="AB606" s="10">
        <v>0.03</v>
      </c>
      <c r="AC606" s="1" t="s">
        <v>6377</v>
      </c>
      <c r="AD606" s="1" t="s">
        <v>6378</v>
      </c>
      <c r="AE606" s="1" t="s">
        <v>6379</v>
      </c>
      <c r="AF606" s="1" t="s">
        <v>1705</v>
      </c>
      <c r="AG606" s="1" t="s">
        <v>6379</v>
      </c>
      <c r="AH606" s="1" t="s">
        <v>488</v>
      </c>
      <c r="AI606" s="6">
        <v>33548.0</v>
      </c>
      <c r="AJ606" s="1" t="s">
        <v>106</v>
      </c>
      <c r="AK606" s="1" t="s">
        <v>6380</v>
      </c>
      <c r="AL606" s="1" t="s">
        <v>6381</v>
      </c>
      <c r="AM606" s="11" t="str">
        <f>VLOOKUP(N606,Sheet3!$B$4:$C$10,2,1)</f>
        <v>21-30</v>
      </c>
      <c r="AN606" s="13" t="str">
        <f>VLOOKUP(Z606,Sheet3!$F$4:$G$10,2,1)</f>
        <v>&lt; 5</v>
      </c>
      <c r="AO606" s="5" t="str">
        <f>VLOOKUP(AA606,Sheet3!$I$3:$J$16,2,1)</f>
        <v>80000-100000</v>
      </c>
      <c r="AP606" s="5" t="str">
        <f>VLOOKUP(AB606,Sheet3!$L$4:$M$14,2,1)</f>
        <v>&lt; 5%</v>
      </c>
    </row>
    <row r="607">
      <c r="A607" s="6">
        <v>911800.0</v>
      </c>
      <c r="B607" s="1" t="s">
        <v>42</v>
      </c>
      <c r="C607" s="1" t="s">
        <v>988</v>
      </c>
      <c r="D607" s="1" t="s">
        <v>466</v>
      </c>
      <c r="E607" s="1" t="s">
        <v>6382</v>
      </c>
      <c r="F607" s="1" t="s">
        <v>46</v>
      </c>
      <c r="G607" s="1" t="s">
        <v>6383</v>
      </c>
      <c r="H607" s="1" t="s">
        <v>5806</v>
      </c>
      <c r="I607" s="1" t="s">
        <v>6384</v>
      </c>
      <c r="J607" s="1" t="s">
        <v>6385</v>
      </c>
      <c r="K607" s="1" t="s">
        <v>4917</v>
      </c>
      <c r="L607" s="9">
        <v>25625.0</v>
      </c>
      <c r="M607" s="8">
        <v>0.02502314814814815</v>
      </c>
      <c r="N607" s="6">
        <v>47.45</v>
      </c>
      <c r="O607" s="6">
        <v>46.0</v>
      </c>
      <c r="P607" s="9">
        <v>41879.0</v>
      </c>
      <c r="Q607" s="1" t="s">
        <v>308</v>
      </c>
      <c r="R607" s="1" t="s">
        <v>53</v>
      </c>
      <c r="S607" s="6">
        <v>2014.0</v>
      </c>
      <c r="T607" s="6">
        <v>8.0</v>
      </c>
      <c r="U607" s="1" t="s">
        <v>433</v>
      </c>
      <c r="V607" s="1" t="s">
        <v>434</v>
      </c>
      <c r="W607" s="6">
        <v>28.0</v>
      </c>
      <c r="X607" s="1" t="s">
        <v>150</v>
      </c>
      <c r="Y607" s="1" t="s">
        <v>151</v>
      </c>
      <c r="Z607" s="6">
        <v>2.92</v>
      </c>
      <c r="AA607" s="6">
        <v>94276.0</v>
      </c>
      <c r="AB607" s="10">
        <v>0.24</v>
      </c>
      <c r="AC607" s="1" t="s">
        <v>6386</v>
      </c>
      <c r="AD607" s="1" t="s">
        <v>6387</v>
      </c>
      <c r="AE607" s="1" t="s">
        <v>6388</v>
      </c>
      <c r="AF607" s="1" t="s">
        <v>3751</v>
      </c>
      <c r="AG607" s="1" t="s">
        <v>6388</v>
      </c>
      <c r="AH607" s="1" t="s">
        <v>893</v>
      </c>
      <c r="AI607" s="6">
        <v>27326.0</v>
      </c>
      <c r="AJ607" s="1" t="s">
        <v>106</v>
      </c>
      <c r="AK607" s="1" t="s">
        <v>6389</v>
      </c>
      <c r="AL607" s="1" t="s">
        <v>6390</v>
      </c>
      <c r="AM607" s="11" t="str">
        <f>VLOOKUP(N607,Sheet3!$B$4:$C$10,2,1)</f>
        <v>41-50</v>
      </c>
      <c r="AN607" s="13" t="str">
        <f>VLOOKUP(Z607,Sheet3!$F$4:$G$10,2,1)</f>
        <v>&lt; 5</v>
      </c>
      <c r="AO607" s="5" t="str">
        <f>VLOOKUP(AA607,Sheet3!$I$3:$J$16,2,1)</f>
        <v>80000-100000</v>
      </c>
      <c r="AP607" s="5" t="str">
        <f>VLOOKUP(AB607,Sheet3!$L$4:$M$14,2,1)</f>
        <v>21% - 25%</v>
      </c>
    </row>
    <row r="608">
      <c r="A608" s="6">
        <v>222807.0</v>
      </c>
      <c r="B608" s="1" t="s">
        <v>89</v>
      </c>
      <c r="C608" s="1" t="s">
        <v>6391</v>
      </c>
      <c r="D608" s="1" t="s">
        <v>186</v>
      </c>
      <c r="E608" s="1" t="s">
        <v>1776</v>
      </c>
      <c r="F608" s="1" t="s">
        <v>46</v>
      </c>
      <c r="G608" s="1" t="s">
        <v>6392</v>
      </c>
      <c r="H608" s="1" t="s">
        <v>5806</v>
      </c>
      <c r="I608" s="1" t="s">
        <v>6393</v>
      </c>
      <c r="J608" s="1" t="s">
        <v>6394</v>
      </c>
      <c r="K608" s="1" t="s">
        <v>1398</v>
      </c>
      <c r="L608" s="9">
        <v>21330.0</v>
      </c>
      <c r="M608" s="8">
        <v>0.34171296296296294</v>
      </c>
      <c r="N608" s="6">
        <v>59.22</v>
      </c>
      <c r="O608" s="6">
        <v>57.0</v>
      </c>
      <c r="P608" s="14">
        <v>29896.0</v>
      </c>
      <c r="Q608" s="1" t="s">
        <v>52</v>
      </c>
      <c r="R608" s="1" t="s">
        <v>53</v>
      </c>
      <c r="S608" s="6">
        <v>1981.0</v>
      </c>
      <c r="T608" s="6">
        <v>11.0</v>
      </c>
      <c r="U608" s="1" t="s">
        <v>148</v>
      </c>
      <c r="V608" s="1" t="s">
        <v>149</v>
      </c>
      <c r="W608" s="6">
        <v>6.0</v>
      </c>
      <c r="X608" s="1" t="s">
        <v>263</v>
      </c>
      <c r="Y608" s="1" t="s">
        <v>264</v>
      </c>
      <c r="Z608" s="6">
        <v>35.75</v>
      </c>
      <c r="AA608" s="6">
        <v>185898.0</v>
      </c>
      <c r="AB608" s="10">
        <v>0.19</v>
      </c>
      <c r="AC608" s="1" t="s">
        <v>6395</v>
      </c>
      <c r="AD608" s="1" t="s">
        <v>6396</v>
      </c>
      <c r="AE608" s="1" t="s">
        <v>6397</v>
      </c>
      <c r="AF608" s="1" t="s">
        <v>438</v>
      </c>
      <c r="AG608" s="1" t="s">
        <v>6397</v>
      </c>
      <c r="AH608" s="1" t="s">
        <v>974</v>
      </c>
      <c r="AI608" s="6">
        <v>43005.0</v>
      </c>
      <c r="AJ608" s="1" t="s">
        <v>86</v>
      </c>
      <c r="AK608" s="1" t="s">
        <v>6398</v>
      </c>
      <c r="AL608" s="1" t="s">
        <v>6399</v>
      </c>
      <c r="AM608" s="11" t="str">
        <f>VLOOKUP(N608,Sheet3!$B$4:$C$10,2,1)</f>
        <v>51-60</v>
      </c>
      <c r="AN608" s="13" t="str">
        <f>VLOOKUP(Z608,Sheet3!$F$4:$G$10,2,1)</f>
        <v>31-40</v>
      </c>
      <c r="AO608" s="5" t="str">
        <f>VLOOKUP(AA608,Sheet3!$I$3:$J$16,2,1)</f>
        <v>180000-200000</v>
      </c>
      <c r="AP608" s="5" t="str">
        <f>VLOOKUP(AB608,Sheet3!$L$4:$M$14,2,1)</f>
        <v>16% - 20%</v>
      </c>
    </row>
    <row r="609">
      <c r="A609" s="6">
        <v>516945.0</v>
      </c>
      <c r="B609" s="1" t="s">
        <v>109</v>
      </c>
      <c r="C609" s="1" t="s">
        <v>6400</v>
      </c>
      <c r="D609" s="1" t="s">
        <v>70</v>
      </c>
      <c r="E609" s="1" t="s">
        <v>6401</v>
      </c>
      <c r="F609" s="1" t="s">
        <v>46</v>
      </c>
      <c r="G609" s="1" t="s">
        <v>6402</v>
      </c>
      <c r="H609" s="1" t="s">
        <v>5806</v>
      </c>
      <c r="I609" s="1" t="s">
        <v>6403</v>
      </c>
      <c r="J609" s="1" t="s">
        <v>6404</v>
      </c>
      <c r="K609" s="1" t="s">
        <v>1177</v>
      </c>
      <c r="L609" s="9">
        <v>32595.0</v>
      </c>
      <c r="M609" s="8">
        <v>0.9278587962962963</v>
      </c>
      <c r="N609" s="6">
        <v>28.35</v>
      </c>
      <c r="O609" s="6">
        <v>60.0</v>
      </c>
      <c r="P609" s="14">
        <v>41246.0</v>
      </c>
      <c r="Q609" s="1" t="s">
        <v>52</v>
      </c>
      <c r="R609" s="1" t="s">
        <v>53</v>
      </c>
      <c r="S609" s="6">
        <v>2012.0</v>
      </c>
      <c r="T609" s="6">
        <v>12.0</v>
      </c>
      <c r="U609" s="1" t="s">
        <v>54</v>
      </c>
      <c r="V609" s="1" t="s">
        <v>55</v>
      </c>
      <c r="W609" s="6">
        <v>3.0</v>
      </c>
      <c r="X609" s="1" t="s">
        <v>99</v>
      </c>
      <c r="Y609" s="1" t="s">
        <v>100</v>
      </c>
      <c r="Z609" s="6">
        <v>4.65</v>
      </c>
      <c r="AA609" s="6">
        <v>166924.0</v>
      </c>
      <c r="AB609" s="10">
        <v>0.24</v>
      </c>
      <c r="AC609" s="1" t="s">
        <v>6405</v>
      </c>
      <c r="AD609" s="1" t="s">
        <v>6406</v>
      </c>
      <c r="AE609" s="1" t="s">
        <v>6407</v>
      </c>
      <c r="AF609" s="1" t="s">
        <v>6408</v>
      </c>
      <c r="AG609" s="1" t="s">
        <v>6407</v>
      </c>
      <c r="AH609" s="1" t="s">
        <v>299</v>
      </c>
      <c r="AI609" s="6">
        <v>74640.0</v>
      </c>
      <c r="AJ609" s="1" t="s">
        <v>106</v>
      </c>
      <c r="AK609" s="1" t="s">
        <v>6409</v>
      </c>
      <c r="AL609" s="1" t="s">
        <v>6410</v>
      </c>
      <c r="AM609" s="11" t="str">
        <f>VLOOKUP(N609,Sheet3!$B$4:$C$10,2,1)</f>
        <v>21-30</v>
      </c>
      <c r="AN609" s="13" t="str">
        <f>VLOOKUP(Z609,Sheet3!$F$4:$G$10,2,1)</f>
        <v>&lt; 5</v>
      </c>
      <c r="AO609" s="5" t="str">
        <f>VLOOKUP(AA609,Sheet3!$I$3:$J$16,2,1)</f>
        <v>160000-180000</v>
      </c>
      <c r="AP609" s="5" t="str">
        <f>VLOOKUP(AB609,Sheet3!$L$4:$M$14,2,1)</f>
        <v>21% - 25%</v>
      </c>
    </row>
    <row r="610">
      <c r="A610" s="6">
        <v>230829.0</v>
      </c>
      <c r="B610" s="1" t="s">
        <v>125</v>
      </c>
      <c r="C610" s="1" t="s">
        <v>1214</v>
      </c>
      <c r="D610" s="1" t="s">
        <v>46</v>
      </c>
      <c r="E610" s="1" t="s">
        <v>2650</v>
      </c>
      <c r="F610" s="1" t="s">
        <v>46</v>
      </c>
      <c r="G610" s="1" t="s">
        <v>6411</v>
      </c>
      <c r="H610" s="1" t="s">
        <v>5806</v>
      </c>
      <c r="I610" s="1" t="s">
        <v>6412</v>
      </c>
      <c r="J610" s="1" t="s">
        <v>6413</v>
      </c>
      <c r="K610" s="1" t="s">
        <v>1335</v>
      </c>
      <c r="L610" s="9">
        <v>35241.0</v>
      </c>
      <c r="M610" s="8">
        <v>0.3456712962962963</v>
      </c>
      <c r="N610" s="6">
        <v>21.1</v>
      </c>
      <c r="O610" s="6">
        <v>59.0</v>
      </c>
      <c r="P610" s="9">
        <v>42911.0</v>
      </c>
      <c r="Q610" s="1" t="s">
        <v>75</v>
      </c>
      <c r="R610" s="1" t="s">
        <v>76</v>
      </c>
      <c r="S610" s="6">
        <v>2017.0</v>
      </c>
      <c r="T610" s="6">
        <v>6.0</v>
      </c>
      <c r="U610" s="1" t="s">
        <v>324</v>
      </c>
      <c r="V610" s="1" t="s">
        <v>325</v>
      </c>
      <c r="W610" s="6">
        <v>25.0</v>
      </c>
      <c r="X610" s="1" t="s">
        <v>534</v>
      </c>
      <c r="Y610" s="1" t="s">
        <v>535</v>
      </c>
      <c r="Z610" s="6">
        <v>0.09</v>
      </c>
      <c r="AA610" s="6">
        <v>46179.0</v>
      </c>
      <c r="AB610" s="10">
        <v>0.3</v>
      </c>
      <c r="AC610" s="1" t="s">
        <v>6414</v>
      </c>
      <c r="AD610" s="1" t="s">
        <v>6415</v>
      </c>
      <c r="AE610" s="1" t="s">
        <v>3339</v>
      </c>
      <c r="AF610" s="1" t="s">
        <v>6416</v>
      </c>
      <c r="AG610" s="1" t="s">
        <v>3339</v>
      </c>
      <c r="AH610" s="1" t="s">
        <v>1413</v>
      </c>
      <c r="AI610" s="6">
        <v>81134.0</v>
      </c>
      <c r="AJ610" s="1" t="s">
        <v>63</v>
      </c>
      <c r="AK610" s="1" t="s">
        <v>6417</v>
      </c>
      <c r="AL610" s="1" t="s">
        <v>6418</v>
      </c>
      <c r="AM610" s="11" t="str">
        <f>VLOOKUP(N610,Sheet3!$B$4:$C$10,2,1)</f>
        <v>21-30</v>
      </c>
      <c r="AN610" s="13" t="str">
        <f>VLOOKUP(Z610,Sheet3!$F$4:$G$10,2,1)</f>
        <v>&lt; 5</v>
      </c>
      <c r="AO610" s="5" t="str">
        <f>VLOOKUP(AA610,Sheet3!$I$3:$J$16,2,1)</f>
        <v>40000-60000</v>
      </c>
      <c r="AP610" s="5" t="str">
        <f>VLOOKUP(AB610,Sheet3!$L$4:$M$14,2,1)</f>
        <v>26% - 30%</v>
      </c>
    </row>
    <row r="611">
      <c r="A611" s="6">
        <v>133610.0</v>
      </c>
      <c r="B611" s="1" t="s">
        <v>125</v>
      </c>
      <c r="C611" s="1" t="s">
        <v>6419</v>
      </c>
      <c r="D611" s="1" t="s">
        <v>529</v>
      </c>
      <c r="E611" s="1" t="s">
        <v>2302</v>
      </c>
      <c r="F611" s="1" t="s">
        <v>46</v>
      </c>
      <c r="G611" s="1" t="s">
        <v>6420</v>
      </c>
      <c r="H611" s="1" t="s">
        <v>5806</v>
      </c>
      <c r="I611" s="1" t="s">
        <v>6421</v>
      </c>
      <c r="J611" s="1" t="s">
        <v>6422</v>
      </c>
      <c r="K611" s="1" t="s">
        <v>271</v>
      </c>
      <c r="L611" s="14">
        <v>31626.0</v>
      </c>
      <c r="M611" s="8">
        <v>0.9072569444444445</v>
      </c>
      <c r="N611" s="6">
        <v>31.01</v>
      </c>
      <c r="O611" s="6">
        <v>59.0</v>
      </c>
      <c r="P611" s="9">
        <v>40171.0</v>
      </c>
      <c r="Q611" s="1" t="s">
        <v>52</v>
      </c>
      <c r="R611" s="1" t="s">
        <v>53</v>
      </c>
      <c r="S611" s="6">
        <v>2009.0</v>
      </c>
      <c r="T611" s="6">
        <v>12.0</v>
      </c>
      <c r="U611" s="1" t="s">
        <v>54</v>
      </c>
      <c r="V611" s="1" t="s">
        <v>55</v>
      </c>
      <c r="W611" s="6">
        <v>24.0</v>
      </c>
      <c r="X611" s="1" t="s">
        <v>150</v>
      </c>
      <c r="Y611" s="1" t="s">
        <v>151</v>
      </c>
      <c r="Z611" s="6">
        <v>7.6</v>
      </c>
      <c r="AA611" s="6">
        <v>131410.0</v>
      </c>
      <c r="AB611" s="10">
        <v>0.09</v>
      </c>
      <c r="AC611" s="1" t="s">
        <v>6423</v>
      </c>
      <c r="AD611" s="1" t="s">
        <v>6424</v>
      </c>
      <c r="AE611" s="1" t="s">
        <v>6425</v>
      </c>
      <c r="AF611" s="1" t="s">
        <v>6426</v>
      </c>
      <c r="AG611" s="1" t="s">
        <v>6425</v>
      </c>
      <c r="AH611" s="1" t="s">
        <v>906</v>
      </c>
      <c r="AI611" s="6">
        <v>7709.0</v>
      </c>
      <c r="AJ611" s="1" t="s">
        <v>224</v>
      </c>
      <c r="AK611" s="1" t="s">
        <v>6427</v>
      </c>
      <c r="AL611" s="1" t="s">
        <v>6428</v>
      </c>
      <c r="AM611" s="11" t="str">
        <f>VLOOKUP(N611,Sheet3!$B$4:$C$10,2,1)</f>
        <v>31-40</v>
      </c>
      <c r="AN611" s="12" t="str">
        <f>VLOOKUP(Z611,Sheet3!$F$4:$G$10,2,1)</f>
        <v>5-10</v>
      </c>
      <c r="AO611" s="5" t="str">
        <f>VLOOKUP(AA611,Sheet3!$I$3:$J$16,2,1)</f>
        <v>120000-140000</v>
      </c>
      <c r="AP611" s="5" t="str">
        <f>VLOOKUP(AB611,Sheet3!$L$4:$M$14,2,1)</f>
        <v>5% - 10%</v>
      </c>
    </row>
    <row r="612">
      <c r="A612" s="6">
        <v>791967.0</v>
      </c>
      <c r="B612" s="1" t="s">
        <v>109</v>
      </c>
      <c r="C612" s="1" t="s">
        <v>2560</v>
      </c>
      <c r="D612" s="1" t="s">
        <v>186</v>
      </c>
      <c r="E612" s="1" t="s">
        <v>5270</v>
      </c>
      <c r="F612" s="1" t="s">
        <v>46</v>
      </c>
      <c r="G612" s="1" t="s">
        <v>6429</v>
      </c>
      <c r="H612" s="1" t="s">
        <v>5806</v>
      </c>
      <c r="I612" s="1" t="s">
        <v>6430</v>
      </c>
      <c r="J612" s="1" t="s">
        <v>6431</v>
      </c>
      <c r="K612" s="1" t="s">
        <v>1783</v>
      </c>
      <c r="L612" s="9">
        <v>29858.0</v>
      </c>
      <c r="M612" s="8">
        <v>0.2103472222222222</v>
      </c>
      <c r="N612" s="6">
        <v>35.85</v>
      </c>
      <c r="O612" s="6">
        <v>58.0</v>
      </c>
      <c r="P612" s="9">
        <v>41908.0</v>
      </c>
      <c r="Q612" s="1" t="s">
        <v>308</v>
      </c>
      <c r="R612" s="1" t="s">
        <v>53</v>
      </c>
      <c r="S612" s="6">
        <v>2014.0</v>
      </c>
      <c r="T612" s="6">
        <v>9.0</v>
      </c>
      <c r="U612" s="1" t="s">
        <v>309</v>
      </c>
      <c r="V612" s="1" t="s">
        <v>310</v>
      </c>
      <c r="W612" s="6">
        <v>26.0</v>
      </c>
      <c r="X612" s="1" t="s">
        <v>263</v>
      </c>
      <c r="Y612" s="1" t="s">
        <v>264</v>
      </c>
      <c r="Z612" s="6">
        <v>2.84</v>
      </c>
      <c r="AA612" s="6">
        <v>96725.0</v>
      </c>
      <c r="AB612" s="10">
        <v>0.27</v>
      </c>
      <c r="AC612" s="1" t="s">
        <v>6432</v>
      </c>
      <c r="AD612" s="1" t="s">
        <v>6433</v>
      </c>
      <c r="AE612" s="1" t="s">
        <v>2750</v>
      </c>
      <c r="AF612" s="1" t="s">
        <v>6434</v>
      </c>
      <c r="AG612" s="1" t="s">
        <v>2750</v>
      </c>
      <c r="AH612" s="1" t="s">
        <v>439</v>
      </c>
      <c r="AI612" s="6">
        <v>4222.0</v>
      </c>
      <c r="AJ612" s="1" t="s">
        <v>224</v>
      </c>
      <c r="AK612" s="1" t="s">
        <v>6435</v>
      </c>
      <c r="AL612" s="1" t="s">
        <v>6436</v>
      </c>
      <c r="AM612" s="11" t="str">
        <f>VLOOKUP(N612,Sheet3!$B$4:$C$10,2,1)</f>
        <v>31-40</v>
      </c>
      <c r="AN612" s="13" t="str">
        <f>VLOOKUP(Z612,Sheet3!$F$4:$G$10,2,1)</f>
        <v>&lt; 5</v>
      </c>
      <c r="AO612" s="5" t="str">
        <f>VLOOKUP(AA612,Sheet3!$I$3:$J$16,2,1)</f>
        <v>80000-100000</v>
      </c>
      <c r="AP612" s="5" t="str">
        <f>VLOOKUP(AB612,Sheet3!$L$4:$M$14,2,1)</f>
        <v>26% - 30%</v>
      </c>
    </row>
    <row r="613">
      <c r="A613" s="6">
        <v>772354.0</v>
      </c>
      <c r="B613" s="1" t="s">
        <v>42</v>
      </c>
      <c r="C613" s="1" t="s">
        <v>6437</v>
      </c>
      <c r="D613" s="1" t="s">
        <v>173</v>
      </c>
      <c r="E613" s="1" t="s">
        <v>6438</v>
      </c>
      <c r="F613" s="1" t="s">
        <v>46</v>
      </c>
      <c r="G613" s="1" t="s">
        <v>6439</v>
      </c>
      <c r="H613" s="1" t="s">
        <v>5806</v>
      </c>
      <c r="I613" s="1" t="s">
        <v>6440</v>
      </c>
      <c r="J613" s="1" t="s">
        <v>6441</v>
      </c>
      <c r="K613" s="1" t="s">
        <v>361</v>
      </c>
      <c r="L613" s="9">
        <v>27510.0</v>
      </c>
      <c r="M613" s="8">
        <v>0.06563657407407407</v>
      </c>
      <c r="N613" s="6">
        <v>42.28</v>
      </c>
      <c r="O613" s="6">
        <v>41.0</v>
      </c>
      <c r="P613" s="9">
        <v>37603.0</v>
      </c>
      <c r="Q613" s="1" t="s">
        <v>52</v>
      </c>
      <c r="R613" s="1" t="s">
        <v>53</v>
      </c>
      <c r="S613" s="6">
        <v>2002.0</v>
      </c>
      <c r="T613" s="6">
        <v>12.0</v>
      </c>
      <c r="U613" s="1" t="s">
        <v>54</v>
      </c>
      <c r="V613" s="1" t="s">
        <v>55</v>
      </c>
      <c r="W613" s="6">
        <v>13.0</v>
      </c>
      <c r="X613" s="1" t="s">
        <v>263</v>
      </c>
      <c r="Y613" s="1" t="s">
        <v>264</v>
      </c>
      <c r="Z613" s="6">
        <v>14.63</v>
      </c>
      <c r="AA613" s="6">
        <v>87760.0</v>
      </c>
      <c r="AB613" s="10">
        <v>0.0</v>
      </c>
      <c r="AC613" s="1" t="s">
        <v>6442</v>
      </c>
      <c r="AD613" s="1" t="s">
        <v>6443</v>
      </c>
      <c r="AE613" s="1" t="s">
        <v>6444</v>
      </c>
      <c r="AF613" s="1" t="s">
        <v>5026</v>
      </c>
      <c r="AG613" s="1" t="s">
        <v>6444</v>
      </c>
      <c r="AH613" s="1" t="s">
        <v>330</v>
      </c>
      <c r="AI613" s="6">
        <v>21793.0</v>
      </c>
      <c r="AJ613" s="1" t="s">
        <v>106</v>
      </c>
      <c r="AK613" s="1" t="s">
        <v>6445</v>
      </c>
      <c r="AL613" s="1" t="s">
        <v>6446</v>
      </c>
      <c r="AM613" s="11" t="str">
        <f>VLOOKUP(N613,Sheet3!$B$4:$C$10,2,1)</f>
        <v>41-50</v>
      </c>
      <c r="AN613" s="12" t="str">
        <f>VLOOKUP(Z613,Sheet3!$F$4:$G$10,2,1)</f>
        <v>11-20</v>
      </c>
      <c r="AO613" s="5" t="str">
        <f>VLOOKUP(AA613,Sheet3!$I$3:$J$16,2,1)</f>
        <v>80000-100000</v>
      </c>
      <c r="AP613" s="5" t="str">
        <f>VLOOKUP(AB613,Sheet3!$L$4:$M$14,2,1)</f>
        <v>&lt; 5%</v>
      </c>
    </row>
    <row r="614">
      <c r="A614" s="6">
        <v>909265.0</v>
      </c>
      <c r="B614" s="1" t="s">
        <v>66</v>
      </c>
      <c r="C614" s="1" t="s">
        <v>6447</v>
      </c>
      <c r="D614" s="1" t="s">
        <v>529</v>
      </c>
      <c r="E614" s="1" t="s">
        <v>6448</v>
      </c>
      <c r="F614" s="1" t="s">
        <v>70</v>
      </c>
      <c r="G614" s="1" t="s">
        <v>6449</v>
      </c>
      <c r="H614" s="1" t="s">
        <v>5806</v>
      </c>
      <c r="I614" s="1" t="s">
        <v>6450</v>
      </c>
      <c r="J614" s="1" t="s">
        <v>6451</v>
      </c>
      <c r="K614" s="1" t="s">
        <v>2564</v>
      </c>
      <c r="L614" s="9">
        <v>21633.0</v>
      </c>
      <c r="M614" s="8">
        <v>0.9552662037037037</v>
      </c>
      <c r="N614" s="6">
        <v>58.39</v>
      </c>
      <c r="O614" s="6">
        <v>56.0</v>
      </c>
      <c r="P614" s="9">
        <v>41325.0</v>
      </c>
      <c r="Q614" s="1" t="s">
        <v>96</v>
      </c>
      <c r="R614" s="1" t="s">
        <v>76</v>
      </c>
      <c r="S614" s="6">
        <v>2013.0</v>
      </c>
      <c r="T614" s="6">
        <v>2.0</v>
      </c>
      <c r="U614" s="1" t="s">
        <v>117</v>
      </c>
      <c r="V614" s="1" t="s">
        <v>118</v>
      </c>
      <c r="W614" s="6">
        <v>20.0</v>
      </c>
      <c r="X614" s="1" t="s">
        <v>278</v>
      </c>
      <c r="Y614" s="1" t="s">
        <v>279</v>
      </c>
      <c r="Z614" s="6">
        <v>4.44</v>
      </c>
      <c r="AA614" s="6">
        <v>83708.0</v>
      </c>
      <c r="AB614" s="10">
        <v>0.25</v>
      </c>
      <c r="AC614" s="1" t="s">
        <v>6452</v>
      </c>
      <c r="AD614" s="1" t="s">
        <v>6453</v>
      </c>
      <c r="AE614" s="1" t="s">
        <v>3697</v>
      </c>
      <c r="AF614" s="1" t="s">
        <v>3697</v>
      </c>
      <c r="AG614" s="1" t="s">
        <v>3697</v>
      </c>
      <c r="AH614" s="1" t="s">
        <v>169</v>
      </c>
      <c r="AI614" s="6">
        <v>75356.0</v>
      </c>
      <c r="AJ614" s="1" t="s">
        <v>106</v>
      </c>
      <c r="AK614" s="1" t="s">
        <v>6454</v>
      </c>
      <c r="AL614" s="1" t="s">
        <v>6455</v>
      </c>
      <c r="AM614" s="11" t="str">
        <f>VLOOKUP(N614,Sheet3!$B$4:$C$10,2,1)</f>
        <v>51-60</v>
      </c>
      <c r="AN614" s="13" t="str">
        <f>VLOOKUP(Z614,Sheet3!$F$4:$G$10,2,1)</f>
        <v>&lt; 5</v>
      </c>
      <c r="AO614" s="5" t="str">
        <f>VLOOKUP(AA614,Sheet3!$I$3:$J$16,2,1)</f>
        <v>80000-100000</v>
      </c>
      <c r="AP614" s="5" t="str">
        <f>VLOOKUP(AB614,Sheet3!$L$4:$M$14,2,1)</f>
        <v>21% - 25%</v>
      </c>
    </row>
    <row r="615">
      <c r="A615" s="6">
        <v>208763.0</v>
      </c>
      <c r="B615" s="1" t="s">
        <v>125</v>
      </c>
      <c r="C615" s="1" t="s">
        <v>6456</v>
      </c>
      <c r="D615" s="1" t="s">
        <v>46</v>
      </c>
      <c r="E615" s="1" t="s">
        <v>4744</v>
      </c>
      <c r="F615" s="1" t="s">
        <v>70</v>
      </c>
      <c r="G615" s="1" t="s">
        <v>6457</v>
      </c>
      <c r="H615" s="1" t="s">
        <v>5806</v>
      </c>
      <c r="I615" s="1" t="s">
        <v>6458</v>
      </c>
      <c r="J615" s="1" t="s">
        <v>6459</v>
      </c>
      <c r="K615" s="1" t="s">
        <v>2394</v>
      </c>
      <c r="L615" s="9">
        <v>27726.0</v>
      </c>
      <c r="M615" s="8">
        <v>0.013726851851851851</v>
      </c>
      <c r="N615" s="6">
        <v>41.69</v>
      </c>
      <c r="O615" s="6">
        <v>69.0</v>
      </c>
      <c r="P615" s="9">
        <v>41578.0</v>
      </c>
      <c r="Q615" s="1" t="s">
        <v>52</v>
      </c>
      <c r="R615" s="1" t="s">
        <v>53</v>
      </c>
      <c r="S615" s="6">
        <v>2013.0</v>
      </c>
      <c r="T615" s="6">
        <v>10.0</v>
      </c>
      <c r="U615" s="1" t="s">
        <v>133</v>
      </c>
      <c r="V615" s="1" t="s">
        <v>134</v>
      </c>
      <c r="W615" s="6">
        <v>31.0</v>
      </c>
      <c r="X615" s="1" t="s">
        <v>150</v>
      </c>
      <c r="Y615" s="1" t="s">
        <v>151</v>
      </c>
      <c r="Z615" s="6">
        <v>3.74</v>
      </c>
      <c r="AA615" s="6">
        <v>178707.0</v>
      </c>
      <c r="AB615" s="10">
        <v>0.22</v>
      </c>
      <c r="AC615" s="1" t="s">
        <v>6460</v>
      </c>
      <c r="AD615" s="1" t="s">
        <v>6461</v>
      </c>
      <c r="AE615" s="1" t="s">
        <v>6462</v>
      </c>
      <c r="AF615" s="1" t="s">
        <v>6463</v>
      </c>
      <c r="AG615" s="1" t="s">
        <v>6462</v>
      </c>
      <c r="AH615" s="1" t="s">
        <v>169</v>
      </c>
      <c r="AI615" s="6">
        <v>79370.0</v>
      </c>
      <c r="AJ615" s="1" t="s">
        <v>106</v>
      </c>
      <c r="AK615" s="1" t="s">
        <v>6464</v>
      </c>
      <c r="AL615" s="1" t="s">
        <v>6465</v>
      </c>
      <c r="AM615" s="11" t="str">
        <f>VLOOKUP(N615,Sheet3!$B$4:$C$10,2,1)</f>
        <v>41-50</v>
      </c>
      <c r="AN615" s="13" t="str">
        <f>VLOOKUP(Z615,Sheet3!$F$4:$G$10,2,1)</f>
        <v>&lt; 5</v>
      </c>
      <c r="AO615" s="5" t="str">
        <f>VLOOKUP(AA615,Sheet3!$I$3:$J$16,2,1)</f>
        <v>160000-180000</v>
      </c>
      <c r="AP615" s="5" t="str">
        <f>VLOOKUP(AB615,Sheet3!$L$4:$M$14,2,1)</f>
        <v>21% - 25%</v>
      </c>
    </row>
    <row r="616">
      <c r="A616" s="6">
        <v>679572.0</v>
      </c>
      <c r="B616" s="1" t="s">
        <v>66</v>
      </c>
      <c r="C616" s="1" t="s">
        <v>6466</v>
      </c>
      <c r="D616" s="1" t="s">
        <v>466</v>
      </c>
      <c r="E616" s="1" t="s">
        <v>3876</v>
      </c>
      <c r="F616" s="1" t="s">
        <v>70</v>
      </c>
      <c r="G616" s="1" t="s">
        <v>6467</v>
      </c>
      <c r="H616" s="1" t="s">
        <v>5806</v>
      </c>
      <c r="I616" s="1" t="s">
        <v>6468</v>
      </c>
      <c r="J616" s="1" t="s">
        <v>6469</v>
      </c>
      <c r="K616" s="1" t="s">
        <v>3109</v>
      </c>
      <c r="L616" s="9">
        <v>22692.0</v>
      </c>
      <c r="M616" s="8">
        <v>0.040219907407407406</v>
      </c>
      <c r="N616" s="6">
        <v>55.48</v>
      </c>
      <c r="O616" s="6">
        <v>74.0</v>
      </c>
      <c r="P616" s="9">
        <v>31946.0</v>
      </c>
      <c r="Q616" s="1" t="s">
        <v>75</v>
      </c>
      <c r="R616" s="1" t="s">
        <v>76</v>
      </c>
      <c r="S616" s="6">
        <v>1987.0</v>
      </c>
      <c r="T616" s="6">
        <v>6.0</v>
      </c>
      <c r="U616" s="1" t="s">
        <v>324</v>
      </c>
      <c r="V616" s="1" t="s">
        <v>325</v>
      </c>
      <c r="W616" s="6">
        <v>18.0</v>
      </c>
      <c r="X616" s="1" t="s">
        <v>150</v>
      </c>
      <c r="Y616" s="1" t="s">
        <v>151</v>
      </c>
      <c r="Z616" s="6">
        <v>30.13</v>
      </c>
      <c r="AA616" s="6">
        <v>155186.0</v>
      </c>
      <c r="AB616" s="10">
        <v>0.04</v>
      </c>
      <c r="AC616" s="1" t="s">
        <v>6470</v>
      </c>
      <c r="AD616" s="1" t="s">
        <v>6471</v>
      </c>
      <c r="AE616" s="1" t="s">
        <v>6472</v>
      </c>
      <c r="AF616" s="1" t="s">
        <v>6473</v>
      </c>
      <c r="AG616" s="1" t="s">
        <v>6472</v>
      </c>
      <c r="AH616" s="1" t="s">
        <v>1032</v>
      </c>
      <c r="AI616" s="6">
        <v>67336.0</v>
      </c>
      <c r="AJ616" s="1" t="s">
        <v>86</v>
      </c>
      <c r="AK616" s="1" t="s">
        <v>6474</v>
      </c>
      <c r="AL616" s="1" t="s">
        <v>6475</v>
      </c>
      <c r="AM616" s="11" t="str">
        <f>VLOOKUP(N616,Sheet3!$B$4:$C$10,2,1)</f>
        <v>51-60</v>
      </c>
      <c r="AN616" s="13" t="str">
        <f>VLOOKUP(Z616,Sheet3!$F$4:$G$10,2,1)</f>
        <v>21-30</v>
      </c>
      <c r="AO616" s="5" t="str">
        <f>VLOOKUP(AA616,Sheet3!$I$3:$J$16,2,1)</f>
        <v>140000-160000</v>
      </c>
      <c r="AP616" s="5" t="str">
        <f>VLOOKUP(AB616,Sheet3!$L$4:$M$14,2,1)</f>
        <v>&lt; 5%</v>
      </c>
    </row>
    <row r="617">
      <c r="A617" s="6">
        <v>992569.0</v>
      </c>
      <c r="B617" s="1" t="s">
        <v>255</v>
      </c>
      <c r="C617" s="1" t="s">
        <v>6476</v>
      </c>
      <c r="D617" s="1" t="s">
        <v>1663</v>
      </c>
      <c r="E617" s="1" t="s">
        <v>3461</v>
      </c>
      <c r="F617" s="1" t="s">
        <v>70</v>
      </c>
      <c r="G617" s="1" t="s">
        <v>6477</v>
      </c>
      <c r="H617" s="1" t="s">
        <v>5806</v>
      </c>
      <c r="I617" s="1" t="s">
        <v>6478</v>
      </c>
      <c r="J617" s="1" t="s">
        <v>6479</v>
      </c>
      <c r="K617" s="1" t="s">
        <v>856</v>
      </c>
      <c r="L617" s="9">
        <v>29309.0</v>
      </c>
      <c r="M617" s="8">
        <v>0.5487731481481481</v>
      </c>
      <c r="N617" s="6">
        <v>37.36</v>
      </c>
      <c r="O617" s="6">
        <v>90.0</v>
      </c>
      <c r="P617" s="9">
        <v>38154.0</v>
      </c>
      <c r="Q617" s="1" t="s">
        <v>75</v>
      </c>
      <c r="R617" s="1" t="s">
        <v>76</v>
      </c>
      <c r="S617" s="6">
        <v>2004.0</v>
      </c>
      <c r="T617" s="6">
        <v>6.0</v>
      </c>
      <c r="U617" s="1" t="s">
        <v>324</v>
      </c>
      <c r="V617" s="1" t="s">
        <v>325</v>
      </c>
      <c r="W617" s="6">
        <v>16.0</v>
      </c>
      <c r="X617" s="1" t="s">
        <v>278</v>
      </c>
      <c r="Y617" s="1" t="s">
        <v>279</v>
      </c>
      <c r="Z617" s="6">
        <v>13.12</v>
      </c>
      <c r="AA617" s="6">
        <v>151325.0</v>
      </c>
      <c r="AB617" s="10">
        <v>0.29</v>
      </c>
      <c r="AC617" s="1" t="s">
        <v>6480</v>
      </c>
      <c r="AD617" s="1" t="s">
        <v>6481</v>
      </c>
      <c r="AE617" s="1" t="s">
        <v>6482</v>
      </c>
      <c r="AF617" s="1" t="s">
        <v>3303</v>
      </c>
      <c r="AG617" s="1" t="s">
        <v>6482</v>
      </c>
      <c r="AH617" s="1" t="s">
        <v>210</v>
      </c>
      <c r="AI617" s="6">
        <v>62336.0</v>
      </c>
      <c r="AJ617" s="1" t="s">
        <v>86</v>
      </c>
      <c r="AK617" s="1" t="s">
        <v>6483</v>
      </c>
      <c r="AL617" s="1" t="s">
        <v>6484</v>
      </c>
      <c r="AM617" s="11" t="str">
        <f>VLOOKUP(N617,Sheet3!$B$4:$C$10,2,1)</f>
        <v>31-40</v>
      </c>
      <c r="AN617" s="12" t="str">
        <f>VLOOKUP(Z617,Sheet3!$F$4:$G$10,2,1)</f>
        <v>11-20</v>
      </c>
      <c r="AO617" s="5" t="str">
        <f>VLOOKUP(AA617,Sheet3!$I$3:$J$16,2,1)</f>
        <v>140000-160000</v>
      </c>
      <c r="AP617" s="5" t="str">
        <f>VLOOKUP(AB617,Sheet3!$L$4:$M$14,2,1)</f>
        <v>26% - 30%</v>
      </c>
    </row>
    <row r="618">
      <c r="A618" s="6">
        <v>821754.0</v>
      </c>
      <c r="B618" s="1" t="s">
        <v>109</v>
      </c>
      <c r="C618" s="1" t="s">
        <v>2322</v>
      </c>
      <c r="D618" s="1" t="s">
        <v>861</v>
      </c>
      <c r="E618" s="1" t="s">
        <v>6485</v>
      </c>
      <c r="F618" s="1" t="s">
        <v>46</v>
      </c>
      <c r="G618" s="1" t="s">
        <v>6486</v>
      </c>
      <c r="H618" s="1" t="s">
        <v>5806</v>
      </c>
      <c r="I618" s="1" t="s">
        <v>6487</v>
      </c>
      <c r="J618" s="1" t="s">
        <v>6488</v>
      </c>
      <c r="K618" s="1" t="s">
        <v>1221</v>
      </c>
      <c r="L618" s="14">
        <v>22376.0</v>
      </c>
      <c r="M618" s="8">
        <v>0.02837962962962963</v>
      </c>
      <c r="N618" s="6">
        <v>56.35</v>
      </c>
      <c r="O618" s="6">
        <v>41.0</v>
      </c>
      <c r="P618" s="14">
        <v>31360.0</v>
      </c>
      <c r="Q618" s="1" t="s">
        <v>52</v>
      </c>
      <c r="R618" s="1" t="s">
        <v>53</v>
      </c>
      <c r="S618" s="6">
        <v>1985.0</v>
      </c>
      <c r="T618" s="6">
        <v>11.0</v>
      </c>
      <c r="U618" s="1" t="s">
        <v>148</v>
      </c>
      <c r="V618" s="1" t="s">
        <v>149</v>
      </c>
      <c r="W618" s="6">
        <v>9.0</v>
      </c>
      <c r="X618" s="1" t="s">
        <v>56</v>
      </c>
      <c r="Y618" s="1" t="s">
        <v>57</v>
      </c>
      <c r="Z618" s="6">
        <v>31.74</v>
      </c>
      <c r="AA618" s="6">
        <v>176179.0</v>
      </c>
      <c r="AB618" s="10">
        <v>0.02</v>
      </c>
      <c r="AC618" s="1" t="s">
        <v>6489</v>
      </c>
      <c r="AD618" s="1" t="s">
        <v>6490</v>
      </c>
      <c r="AE618" s="1" t="s">
        <v>1240</v>
      </c>
      <c r="AF618" s="1" t="s">
        <v>398</v>
      </c>
      <c r="AG618" s="1" t="s">
        <v>1240</v>
      </c>
      <c r="AH618" s="1" t="s">
        <v>399</v>
      </c>
      <c r="AI618" s="6">
        <v>71440.0</v>
      </c>
      <c r="AJ618" s="1" t="s">
        <v>106</v>
      </c>
      <c r="AK618" s="1" t="s">
        <v>6491</v>
      </c>
      <c r="AL618" s="1" t="s">
        <v>6492</v>
      </c>
      <c r="AM618" s="11" t="str">
        <f>VLOOKUP(N618,Sheet3!$B$4:$C$10,2,1)</f>
        <v>51-60</v>
      </c>
      <c r="AN618" s="13" t="str">
        <f>VLOOKUP(Z618,Sheet3!$F$4:$G$10,2,1)</f>
        <v>31-40</v>
      </c>
      <c r="AO618" s="5" t="str">
        <f>VLOOKUP(AA618,Sheet3!$I$3:$J$16,2,1)</f>
        <v>160000-180000</v>
      </c>
      <c r="AP618" s="5" t="str">
        <f>VLOOKUP(AB618,Sheet3!$L$4:$M$14,2,1)</f>
        <v>&lt; 5%</v>
      </c>
    </row>
    <row r="619">
      <c r="A619" s="6">
        <v>751897.0</v>
      </c>
      <c r="B619" s="1" t="s">
        <v>109</v>
      </c>
      <c r="C619" s="1" t="s">
        <v>6493</v>
      </c>
      <c r="D619" s="1" t="s">
        <v>861</v>
      </c>
      <c r="E619" s="1" t="s">
        <v>421</v>
      </c>
      <c r="F619" s="1" t="s">
        <v>46</v>
      </c>
      <c r="G619" s="1" t="s">
        <v>6494</v>
      </c>
      <c r="H619" s="1" t="s">
        <v>5806</v>
      </c>
      <c r="I619" s="1" t="s">
        <v>6495</v>
      </c>
      <c r="J619" s="1" t="s">
        <v>6496</v>
      </c>
      <c r="K619" s="1" t="s">
        <v>1783</v>
      </c>
      <c r="L619" s="9">
        <v>23526.0</v>
      </c>
      <c r="M619" s="8">
        <v>0.2859027777777778</v>
      </c>
      <c r="N619" s="6">
        <v>53.2</v>
      </c>
      <c r="O619" s="6">
        <v>52.0</v>
      </c>
      <c r="P619" s="9">
        <v>32379.0</v>
      </c>
      <c r="Q619" s="1" t="s">
        <v>308</v>
      </c>
      <c r="R619" s="1" t="s">
        <v>53</v>
      </c>
      <c r="S619" s="6">
        <v>1988.0</v>
      </c>
      <c r="T619" s="6">
        <v>8.0</v>
      </c>
      <c r="U619" s="1" t="s">
        <v>433</v>
      </c>
      <c r="V619" s="1" t="s">
        <v>434</v>
      </c>
      <c r="W619" s="6">
        <v>24.0</v>
      </c>
      <c r="X619" s="1" t="s">
        <v>278</v>
      </c>
      <c r="Y619" s="1" t="s">
        <v>279</v>
      </c>
      <c r="Z619" s="6">
        <v>28.95</v>
      </c>
      <c r="AA619" s="6">
        <v>51802.0</v>
      </c>
      <c r="AB619" s="10">
        <v>0.29</v>
      </c>
      <c r="AC619" s="1" t="s">
        <v>6497</v>
      </c>
      <c r="AD619" s="1" t="s">
        <v>6498</v>
      </c>
      <c r="AE619" s="1" t="s">
        <v>6499</v>
      </c>
      <c r="AF619" s="1" t="s">
        <v>3718</v>
      </c>
      <c r="AG619" s="1" t="s">
        <v>6499</v>
      </c>
      <c r="AH619" s="1" t="s">
        <v>238</v>
      </c>
      <c r="AI619" s="6">
        <v>96028.0</v>
      </c>
      <c r="AJ619" s="1" t="s">
        <v>63</v>
      </c>
      <c r="AK619" s="1" t="s">
        <v>6500</v>
      </c>
      <c r="AL619" s="1" t="s">
        <v>6501</v>
      </c>
      <c r="AM619" s="11" t="str">
        <f>VLOOKUP(N619,Sheet3!$B$4:$C$10,2,1)</f>
        <v>51-60</v>
      </c>
      <c r="AN619" s="13" t="str">
        <f>VLOOKUP(Z619,Sheet3!$F$4:$G$10,2,1)</f>
        <v>21-30</v>
      </c>
      <c r="AO619" s="5" t="str">
        <f>VLOOKUP(AA619,Sheet3!$I$3:$J$16,2,1)</f>
        <v>40000-60000</v>
      </c>
      <c r="AP619" s="5" t="str">
        <f>VLOOKUP(AB619,Sheet3!$L$4:$M$14,2,1)</f>
        <v>26% - 30%</v>
      </c>
    </row>
    <row r="620">
      <c r="A620" s="6">
        <v>208375.0</v>
      </c>
      <c r="B620" s="1" t="s">
        <v>42</v>
      </c>
      <c r="C620" s="1" t="s">
        <v>6502</v>
      </c>
      <c r="D620" s="1" t="s">
        <v>683</v>
      </c>
      <c r="E620" s="1" t="s">
        <v>6369</v>
      </c>
      <c r="F620" s="1" t="s">
        <v>46</v>
      </c>
      <c r="G620" s="1" t="s">
        <v>6503</v>
      </c>
      <c r="H620" s="1" t="s">
        <v>5806</v>
      </c>
      <c r="I620" s="1" t="s">
        <v>6504</v>
      </c>
      <c r="J620" s="1" t="s">
        <v>6505</v>
      </c>
      <c r="K620" s="1" t="s">
        <v>1374</v>
      </c>
      <c r="L620" s="14">
        <v>29281.0</v>
      </c>
      <c r="M620" s="8">
        <v>0.45506944444444447</v>
      </c>
      <c r="N620" s="6">
        <v>37.43</v>
      </c>
      <c r="O620" s="6">
        <v>59.0</v>
      </c>
      <c r="P620" s="9">
        <v>38807.0</v>
      </c>
      <c r="Q620" s="1" t="s">
        <v>96</v>
      </c>
      <c r="R620" s="1" t="s">
        <v>76</v>
      </c>
      <c r="S620" s="6">
        <v>2006.0</v>
      </c>
      <c r="T620" s="6">
        <v>3.0</v>
      </c>
      <c r="U620" s="1" t="s">
        <v>97</v>
      </c>
      <c r="V620" s="1" t="s">
        <v>98</v>
      </c>
      <c r="W620" s="6">
        <v>31.0</v>
      </c>
      <c r="X620" s="1" t="s">
        <v>263</v>
      </c>
      <c r="Y620" s="1" t="s">
        <v>264</v>
      </c>
      <c r="Z620" s="6">
        <v>11.33</v>
      </c>
      <c r="AA620" s="6">
        <v>124374.0</v>
      </c>
      <c r="AB620" s="10">
        <v>0.24</v>
      </c>
      <c r="AC620" s="1" t="s">
        <v>6506</v>
      </c>
      <c r="AD620" s="1" t="s">
        <v>6507</v>
      </c>
      <c r="AE620" s="1" t="s">
        <v>6508</v>
      </c>
      <c r="AF620" s="1" t="s">
        <v>649</v>
      </c>
      <c r="AG620" s="1" t="s">
        <v>6508</v>
      </c>
      <c r="AH620" s="1" t="s">
        <v>857</v>
      </c>
      <c r="AI620" s="6">
        <v>63051.0</v>
      </c>
      <c r="AJ620" s="1" t="s">
        <v>86</v>
      </c>
      <c r="AK620" s="1" t="s">
        <v>6509</v>
      </c>
      <c r="AL620" s="1" t="s">
        <v>6510</v>
      </c>
      <c r="AM620" s="11" t="str">
        <f>VLOOKUP(N620,Sheet3!$B$4:$C$10,2,1)</f>
        <v>31-40</v>
      </c>
      <c r="AN620" s="12" t="str">
        <f>VLOOKUP(Z620,Sheet3!$F$4:$G$10,2,1)</f>
        <v>11-20</v>
      </c>
      <c r="AO620" s="5" t="str">
        <f>VLOOKUP(AA620,Sheet3!$I$3:$J$16,2,1)</f>
        <v>120000-140000</v>
      </c>
      <c r="AP620" s="5" t="str">
        <f>VLOOKUP(AB620,Sheet3!$L$4:$M$14,2,1)</f>
        <v>21% - 25%</v>
      </c>
    </row>
    <row r="621">
      <c r="A621" s="6">
        <v>931551.0</v>
      </c>
      <c r="B621" s="1" t="s">
        <v>66</v>
      </c>
      <c r="C621" s="1" t="s">
        <v>6511</v>
      </c>
      <c r="D621" s="1" t="s">
        <v>403</v>
      </c>
      <c r="E621" s="1" t="s">
        <v>2956</v>
      </c>
      <c r="F621" s="1" t="s">
        <v>70</v>
      </c>
      <c r="G621" s="1" t="s">
        <v>6512</v>
      </c>
      <c r="H621" s="1" t="s">
        <v>5806</v>
      </c>
      <c r="I621" s="1" t="s">
        <v>6513</v>
      </c>
      <c r="J621" s="1" t="s">
        <v>6514</v>
      </c>
      <c r="K621" s="1" t="s">
        <v>6515</v>
      </c>
      <c r="L621" s="14">
        <v>32577.0</v>
      </c>
      <c r="M621" s="8">
        <v>0.3309375</v>
      </c>
      <c r="N621" s="6">
        <v>28.4</v>
      </c>
      <c r="O621" s="6">
        <v>51.0</v>
      </c>
      <c r="P621" s="14">
        <v>42036.0</v>
      </c>
      <c r="Q621" s="1" t="s">
        <v>96</v>
      </c>
      <c r="R621" s="1" t="s">
        <v>76</v>
      </c>
      <c r="S621" s="6">
        <v>2015.0</v>
      </c>
      <c r="T621" s="6">
        <v>2.0</v>
      </c>
      <c r="U621" s="1" t="s">
        <v>117</v>
      </c>
      <c r="V621" s="1" t="s">
        <v>118</v>
      </c>
      <c r="W621" s="6">
        <v>1.0</v>
      </c>
      <c r="X621" s="1" t="s">
        <v>534</v>
      </c>
      <c r="Y621" s="1" t="s">
        <v>535</v>
      </c>
      <c r="Z621" s="6">
        <v>2.49</v>
      </c>
      <c r="AA621" s="6">
        <v>78330.0</v>
      </c>
      <c r="AB621" s="10">
        <v>0.1</v>
      </c>
      <c r="AC621" s="1" t="s">
        <v>6516</v>
      </c>
      <c r="AD621" s="1" t="s">
        <v>6517</v>
      </c>
      <c r="AE621" s="1" t="s">
        <v>3342</v>
      </c>
      <c r="AF621" s="1" t="s">
        <v>3343</v>
      </c>
      <c r="AG621" s="1" t="s">
        <v>3342</v>
      </c>
      <c r="AH621" s="1" t="s">
        <v>223</v>
      </c>
      <c r="AI621" s="6">
        <v>15674.0</v>
      </c>
      <c r="AJ621" s="1" t="s">
        <v>224</v>
      </c>
      <c r="AK621" s="1" t="s">
        <v>6518</v>
      </c>
      <c r="AL621" s="1" t="s">
        <v>6519</v>
      </c>
      <c r="AM621" s="11" t="str">
        <f>VLOOKUP(N621,Sheet3!$B$4:$C$10,2,1)</f>
        <v>21-30</v>
      </c>
      <c r="AN621" s="13" t="str">
        <f>VLOOKUP(Z621,Sheet3!$F$4:$G$10,2,1)</f>
        <v>&lt; 5</v>
      </c>
      <c r="AO621" s="5" t="str">
        <f>VLOOKUP(AA621,Sheet3!$I$3:$J$16,2,1)</f>
        <v>60000-80000</v>
      </c>
      <c r="AP621" s="5" t="str">
        <f>VLOOKUP(AB621,Sheet3!$L$4:$M$14,2,1)</f>
        <v>5% - 10%</v>
      </c>
    </row>
    <row r="622">
      <c r="A622" s="6">
        <v>317525.0</v>
      </c>
      <c r="B622" s="1" t="s">
        <v>42</v>
      </c>
      <c r="C622" s="1" t="s">
        <v>5513</v>
      </c>
      <c r="D622" s="1" t="s">
        <v>389</v>
      </c>
      <c r="E622" s="1" t="s">
        <v>128</v>
      </c>
      <c r="F622" s="1" t="s">
        <v>46</v>
      </c>
      <c r="G622" s="1" t="s">
        <v>6520</v>
      </c>
      <c r="H622" s="1" t="s">
        <v>5806</v>
      </c>
      <c r="I622" s="1" t="s">
        <v>6521</v>
      </c>
      <c r="J622" s="1" t="s">
        <v>6522</v>
      </c>
      <c r="K622" s="1" t="s">
        <v>5552</v>
      </c>
      <c r="L622" s="9">
        <v>31443.0</v>
      </c>
      <c r="M622" s="8">
        <v>0.9291898148148148</v>
      </c>
      <c r="N622" s="6">
        <v>31.51</v>
      </c>
      <c r="O622" s="6">
        <v>47.0</v>
      </c>
      <c r="P622" s="9">
        <v>41350.0</v>
      </c>
      <c r="Q622" s="1" t="s">
        <v>96</v>
      </c>
      <c r="R622" s="1" t="s">
        <v>76</v>
      </c>
      <c r="S622" s="6">
        <v>2013.0</v>
      </c>
      <c r="T622" s="6">
        <v>3.0</v>
      </c>
      <c r="U622" s="1" t="s">
        <v>97</v>
      </c>
      <c r="V622" s="1" t="s">
        <v>98</v>
      </c>
      <c r="W622" s="6">
        <v>17.0</v>
      </c>
      <c r="X622" s="1" t="s">
        <v>534</v>
      </c>
      <c r="Y622" s="1" t="s">
        <v>535</v>
      </c>
      <c r="Z622" s="6">
        <v>4.37</v>
      </c>
      <c r="AA622" s="6">
        <v>131453.0</v>
      </c>
      <c r="AB622" s="10">
        <v>0.07</v>
      </c>
      <c r="AC622" s="1" t="s">
        <v>6523</v>
      </c>
      <c r="AD622" s="1" t="s">
        <v>6524</v>
      </c>
      <c r="AE622" s="1" t="s">
        <v>6525</v>
      </c>
      <c r="AF622" s="1" t="s">
        <v>371</v>
      </c>
      <c r="AG622" s="1" t="s">
        <v>6525</v>
      </c>
      <c r="AH622" s="1" t="s">
        <v>1505</v>
      </c>
      <c r="AI622" s="6">
        <v>55073.0</v>
      </c>
      <c r="AJ622" s="1" t="s">
        <v>86</v>
      </c>
      <c r="AK622" s="1" t="s">
        <v>6526</v>
      </c>
      <c r="AL622" s="1" t="s">
        <v>6527</v>
      </c>
      <c r="AM622" s="11" t="str">
        <f>VLOOKUP(N622,Sheet3!$B$4:$C$10,2,1)</f>
        <v>31-40</v>
      </c>
      <c r="AN622" s="13" t="str">
        <f>VLOOKUP(Z622,Sheet3!$F$4:$G$10,2,1)</f>
        <v>&lt; 5</v>
      </c>
      <c r="AO622" s="5" t="str">
        <f>VLOOKUP(AA622,Sheet3!$I$3:$J$16,2,1)</f>
        <v>120000-140000</v>
      </c>
      <c r="AP622" s="5" t="str">
        <f>VLOOKUP(AB622,Sheet3!$L$4:$M$14,2,1)</f>
        <v>5% - 10%</v>
      </c>
    </row>
    <row r="623">
      <c r="A623" s="6">
        <v>993099.0</v>
      </c>
      <c r="B623" s="1" t="s">
        <v>66</v>
      </c>
      <c r="C623" s="1" t="s">
        <v>1519</v>
      </c>
      <c r="D623" s="1" t="s">
        <v>68</v>
      </c>
      <c r="E623" s="1" t="s">
        <v>4495</v>
      </c>
      <c r="F623" s="1" t="s">
        <v>70</v>
      </c>
      <c r="G623" s="1" t="s">
        <v>6528</v>
      </c>
      <c r="H623" s="1" t="s">
        <v>5806</v>
      </c>
      <c r="I623" s="1" t="s">
        <v>6529</v>
      </c>
      <c r="J623" s="1" t="s">
        <v>6530</v>
      </c>
      <c r="K623" s="1" t="s">
        <v>2110</v>
      </c>
      <c r="L623" s="9">
        <v>21730.0</v>
      </c>
      <c r="M623" s="8">
        <v>0.28686342592592595</v>
      </c>
      <c r="N623" s="6">
        <v>58.12</v>
      </c>
      <c r="O623" s="6">
        <v>58.0</v>
      </c>
      <c r="P623" s="14">
        <v>29629.0</v>
      </c>
      <c r="Q623" s="1" t="s">
        <v>96</v>
      </c>
      <c r="R623" s="1" t="s">
        <v>76</v>
      </c>
      <c r="S623" s="6">
        <v>1981.0</v>
      </c>
      <c r="T623" s="6">
        <v>2.0</v>
      </c>
      <c r="U623" s="1" t="s">
        <v>117</v>
      </c>
      <c r="V623" s="1" t="s">
        <v>118</v>
      </c>
      <c r="W623" s="6">
        <v>12.0</v>
      </c>
      <c r="X623" s="1" t="s">
        <v>150</v>
      </c>
      <c r="Y623" s="1" t="s">
        <v>151</v>
      </c>
      <c r="Z623" s="6">
        <v>36.48</v>
      </c>
      <c r="AA623" s="6">
        <v>57113.0</v>
      </c>
      <c r="AB623" s="10">
        <v>0.26</v>
      </c>
      <c r="AC623" s="1" t="s">
        <v>6531</v>
      </c>
      <c r="AD623" s="1" t="s">
        <v>6532</v>
      </c>
      <c r="AE623" s="1" t="s">
        <v>4854</v>
      </c>
      <c r="AF623" s="1" t="s">
        <v>3487</v>
      </c>
      <c r="AG623" s="1" t="s">
        <v>4854</v>
      </c>
      <c r="AH623" s="1" t="s">
        <v>356</v>
      </c>
      <c r="AI623" s="6">
        <v>14841.0</v>
      </c>
      <c r="AJ623" s="1" t="s">
        <v>224</v>
      </c>
      <c r="AK623" s="1" t="s">
        <v>6533</v>
      </c>
      <c r="AL623" s="1" t="s">
        <v>6534</v>
      </c>
      <c r="AM623" s="11" t="str">
        <f>VLOOKUP(N623,Sheet3!$B$4:$C$10,2,1)</f>
        <v>51-60</v>
      </c>
      <c r="AN623" s="13" t="str">
        <f>VLOOKUP(Z623,Sheet3!$F$4:$G$10,2,1)</f>
        <v>31-40</v>
      </c>
      <c r="AO623" s="5" t="str">
        <f>VLOOKUP(AA623,Sheet3!$I$3:$J$16,2,1)</f>
        <v>40000-60000</v>
      </c>
      <c r="AP623" s="5" t="str">
        <f>VLOOKUP(AB623,Sheet3!$L$4:$M$14,2,1)</f>
        <v>26% - 30%</v>
      </c>
    </row>
    <row r="624">
      <c r="A624" s="6">
        <v>854776.0</v>
      </c>
      <c r="B624" s="1" t="s">
        <v>125</v>
      </c>
      <c r="C624" s="1" t="s">
        <v>6535</v>
      </c>
      <c r="D624" s="1" t="s">
        <v>529</v>
      </c>
      <c r="E624" s="1" t="s">
        <v>5098</v>
      </c>
      <c r="F624" s="1" t="s">
        <v>46</v>
      </c>
      <c r="G624" s="1" t="s">
        <v>6536</v>
      </c>
      <c r="H624" s="1" t="s">
        <v>5806</v>
      </c>
      <c r="I624" s="1" t="s">
        <v>6537</v>
      </c>
      <c r="J624" s="1" t="s">
        <v>6538</v>
      </c>
      <c r="K624" s="1" t="s">
        <v>365</v>
      </c>
      <c r="L624" s="9">
        <v>31256.0</v>
      </c>
      <c r="M624" s="8">
        <v>0.5589351851851851</v>
      </c>
      <c r="N624" s="6">
        <v>32.02</v>
      </c>
      <c r="O624" s="6">
        <v>42.0</v>
      </c>
      <c r="P624" s="9">
        <v>41869.0</v>
      </c>
      <c r="Q624" s="1" t="s">
        <v>308</v>
      </c>
      <c r="R624" s="1" t="s">
        <v>53</v>
      </c>
      <c r="S624" s="6">
        <v>2014.0</v>
      </c>
      <c r="T624" s="6">
        <v>8.0</v>
      </c>
      <c r="U624" s="1" t="s">
        <v>433</v>
      </c>
      <c r="V624" s="1" t="s">
        <v>434</v>
      </c>
      <c r="W624" s="6">
        <v>18.0</v>
      </c>
      <c r="X624" s="1" t="s">
        <v>99</v>
      </c>
      <c r="Y624" s="1" t="s">
        <v>100</v>
      </c>
      <c r="Z624" s="6">
        <v>2.95</v>
      </c>
      <c r="AA624" s="6">
        <v>55042.0</v>
      </c>
      <c r="AB624" s="10">
        <v>0.08</v>
      </c>
      <c r="AC624" s="1" t="s">
        <v>6539</v>
      </c>
      <c r="AD624" s="1" t="s">
        <v>6540</v>
      </c>
      <c r="AE624" s="1" t="s">
        <v>282</v>
      </c>
      <c r="AF624" s="1" t="s">
        <v>438</v>
      </c>
      <c r="AG624" s="1" t="s">
        <v>282</v>
      </c>
      <c r="AH624" s="1" t="s">
        <v>196</v>
      </c>
      <c r="AI624" s="6">
        <v>37929.0</v>
      </c>
      <c r="AJ624" s="1" t="s">
        <v>106</v>
      </c>
      <c r="AK624" s="1" t="s">
        <v>6541</v>
      </c>
      <c r="AL624" s="1" t="s">
        <v>6542</v>
      </c>
      <c r="AM624" s="11" t="str">
        <f>VLOOKUP(N624,Sheet3!$B$4:$C$10,2,1)</f>
        <v>31-40</v>
      </c>
      <c r="AN624" s="13" t="str">
        <f>VLOOKUP(Z624,Sheet3!$F$4:$G$10,2,1)</f>
        <v>&lt; 5</v>
      </c>
      <c r="AO624" s="5" t="str">
        <f>VLOOKUP(AA624,Sheet3!$I$3:$J$16,2,1)</f>
        <v>40000-60000</v>
      </c>
      <c r="AP624" s="5" t="str">
        <f>VLOOKUP(AB624,Sheet3!$L$4:$M$14,2,1)</f>
        <v>5% - 10%</v>
      </c>
    </row>
    <row r="625">
      <c r="A625" s="6">
        <v>437878.0</v>
      </c>
      <c r="B625" s="1" t="s">
        <v>42</v>
      </c>
      <c r="C625" s="1" t="s">
        <v>6543</v>
      </c>
      <c r="D625" s="1" t="s">
        <v>173</v>
      </c>
      <c r="E625" s="1" t="s">
        <v>6544</v>
      </c>
      <c r="F625" s="1" t="s">
        <v>46</v>
      </c>
      <c r="G625" s="1" t="s">
        <v>6545</v>
      </c>
      <c r="H625" s="1" t="s">
        <v>5806</v>
      </c>
      <c r="I625" s="1" t="s">
        <v>6546</v>
      </c>
      <c r="J625" s="1" t="s">
        <v>6547</v>
      </c>
      <c r="K625" s="1" t="s">
        <v>4230</v>
      </c>
      <c r="L625" s="14">
        <v>28561.0</v>
      </c>
      <c r="M625" s="8">
        <v>0.3585300925925926</v>
      </c>
      <c r="N625" s="6">
        <v>39.41</v>
      </c>
      <c r="O625" s="6">
        <v>56.0</v>
      </c>
      <c r="P625" s="9">
        <v>36598.0</v>
      </c>
      <c r="Q625" s="1" t="s">
        <v>96</v>
      </c>
      <c r="R625" s="1" t="s">
        <v>76</v>
      </c>
      <c r="S625" s="6">
        <v>2000.0</v>
      </c>
      <c r="T625" s="6">
        <v>3.0</v>
      </c>
      <c r="U625" s="1" t="s">
        <v>97</v>
      </c>
      <c r="V625" s="1" t="s">
        <v>98</v>
      </c>
      <c r="W625" s="6">
        <v>13.0</v>
      </c>
      <c r="X625" s="1" t="s">
        <v>99</v>
      </c>
      <c r="Y625" s="1" t="s">
        <v>100</v>
      </c>
      <c r="Z625" s="6">
        <v>17.39</v>
      </c>
      <c r="AA625" s="6">
        <v>166520.0</v>
      </c>
      <c r="AB625" s="10">
        <v>0.18</v>
      </c>
      <c r="AC625" s="1" t="s">
        <v>6548</v>
      </c>
      <c r="AD625" s="1" t="s">
        <v>6549</v>
      </c>
      <c r="AE625" s="1" t="s">
        <v>6550</v>
      </c>
      <c r="AF625" s="1" t="s">
        <v>424</v>
      </c>
      <c r="AG625" s="1" t="s">
        <v>6550</v>
      </c>
      <c r="AH625" s="1" t="s">
        <v>238</v>
      </c>
      <c r="AI625" s="6">
        <v>95671.0</v>
      </c>
      <c r="AJ625" s="1" t="s">
        <v>63</v>
      </c>
      <c r="AK625" s="1" t="s">
        <v>6551</v>
      </c>
      <c r="AL625" s="1" t="s">
        <v>6552</v>
      </c>
      <c r="AM625" s="11" t="str">
        <f>VLOOKUP(N625,Sheet3!$B$4:$C$10,2,1)</f>
        <v>31-40</v>
      </c>
      <c r="AN625" s="12" t="str">
        <f>VLOOKUP(Z625,Sheet3!$F$4:$G$10,2,1)</f>
        <v>11-20</v>
      </c>
      <c r="AO625" s="5" t="str">
        <f>VLOOKUP(AA625,Sheet3!$I$3:$J$16,2,1)</f>
        <v>160000-180000</v>
      </c>
      <c r="AP625" s="5" t="str">
        <f>VLOOKUP(AB625,Sheet3!$L$4:$M$14,2,1)</f>
        <v>16% - 20%</v>
      </c>
    </row>
    <row r="626">
      <c r="A626" s="6">
        <v>350842.0</v>
      </c>
      <c r="B626" s="1" t="s">
        <v>66</v>
      </c>
      <c r="C626" s="1" t="s">
        <v>415</v>
      </c>
      <c r="D626" s="1" t="s">
        <v>200</v>
      </c>
      <c r="E626" s="1" t="s">
        <v>5655</v>
      </c>
      <c r="F626" s="1" t="s">
        <v>70</v>
      </c>
      <c r="G626" s="1" t="s">
        <v>6553</v>
      </c>
      <c r="H626" s="1" t="s">
        <v>5806</v>
      </c>
      <c r="I626" s="1" t="s">
        <v>6554</v>
      </c>
      <c r="J626" s="1" t="s">
        <v>6555</v>
      </c>
      <c r="K626" s="1" t="s">
        <v>6556</v>
      </c>
      <c r="L626" s="9">
        <v>27014.0</v>
      </c>
      <c r="M626" s="8">
        <v>0.36390046296296297</v>
      </c>
      <c r="N626" s="6">
        <v>43.64</v>
      </c>
      <c r="O626" s="6">
        <v>85.0</v>
      </c>
      <c r="P626" s="14">
        <v>38204.0</v>
      </c>
      <c r="Q626" s="1" t="s">
        <v>308</v>
      </c>
      <c r="R626" s="1" t="s">
        <v>53</v>
      </c>
      <c r="S626" s="6">
        <v>2004.0</v>
      </c>
      <c r="T626" s="6">
        <v>8.0</v>
      </c>
      <c r="U626" s="1" t="s">
        <v>433</v>
      </c>
      <c r="V626" s="1" t="s">
        <v>434</v>
      </c>
      <c r="W626" s="6">
        <v>5.0</v>
      </c>
      <c r="X626" s="1" t="s">
        <v>150</v>
      </c>
      <c r="Y626" s="1" t="s">
        <v>151</v>
      </c>
      <c r="Z626" s="6">
        <v>12.99</v>
      </c>
      <c r="AA626" s="6">
        <v>106297.0</v>
      </c>
      <c r="AB626" s="10">
        <v>0.14</v>
      </c>
      <c r="AC626" s="1" t="s">
        <v>6557</v>
      </c>
      <c r="AD626" s="1" t="s">
        <v>6558</v>
      </c>
      <c r="AE626" s="1" t="s">
        <v>6559</v>
      </c>
      <c r="AF626" s="1" t="s">
        <v>6560</v>
      </c>
      <c r="AG626" s="1" t="s">
        <v>6559</v>
      </c>
      <c r="AH626" s="1" t="s">
        <v>1527</v>
      </c>
      <c r="AI626" s="6">
        <v>36525.0</v>
      </c>
      <c r="AJ626" s="1" t="s">
        <v>106</v>
      </c>
      <c r="AK626" s="1" t="s">
        <v>6561</v>
      </c>
      <c r="AL626" s="1" t="s">
        <v>6562</v>
      </c>
      <c r="AM626" s="11" t="str">
        <f>VLOOKUP(N626,Sheet3!$B$4:$C$10,2,1)</f>
        <v>41-50</v>
      </c>
      <c r="AN626" s="12" t="str">
        <f>VLOOKUP(Z626,Sheet3!$F$4:$G$10,2,1)</f>
        <v>11-20</v>
      </c>
      <c r="AO626" s="5" t="str">
        <f>VLOOKUP(AA626,Sheet3!$I$3:$J$16,2,1)</f>
        <v>100000-120000</v>
      </c>
      <c r="AP626" s="5" t="str">
        <f>VLOOKUP(AB626,Sheet3!$L$4:$M$14,2,1)</f>
        <v>11% - 15%</v>
      </c>
    </row>
    <row r="627">
      <c r="A627" s="6">
        <v>125134.0</v>
      </c>
      <c r="B627" s="1" t="s">
        <v>109</v>
      </c>
      <c r="C627" s="1" t="s">
        <v>6563</v>
      </c>
      <c r="D627" s="1" t="s">
        <v>127</v>
      </c>
      <c r="E627" s="1" t="s">
        <v>4624</v>
      </c>
      <c r="F627" s="1" t="s">
        <v>46</v>
      </c>
      <c r="G627" s="1" t="s">
        <v>6564</v>
      </c>
      <c r="H627" s="1" t="s">
        <v>5806</v>
      </c>
      <c r="I627" s="1" t="s">
        <v>6565</v>
      </c>
      <c r="J627" s="1" t="s">
        <v>6566</v>
      </c>
      <c r="K627" s="1" t="s">
        <v>421</v>
      </c>
      <c r="L627" s="14">
        <v>25263.0</v>
      </c>
      <c r="M627" s="8">
        <v>0.32384259259259257</v>
      </c>
      <c r="N627" s="6">
        <v>48.44</v>
      </c>
      <c r="O627" s="6">
        <v>51.0</v>
      </c>
      <c r="P627" s="14">
        <v>37444.0</v>
      </c>
      <c r="Q627" s="1" t="s">
        <v>308</v>
      </c>
      <c r="R627" s="1" t="s">
        <v>53</v>
      </c>
      <c r="S627" s="6">
        <v>2002.0</v>
      </c>
      <c r="T627" s="6">
        <v>7.0</v>
      </c>
      <c r="U627" s="1" t="s">
        <v>366</v>
      </c>
      <c r="V627" s="1" t="s">
        <v>367</v>
      </c>
      <c r="W627" s="6">
        <v>7.0</v>
      </c>
      <c r="X627" s="1" t="s">
        <v>534</v>
      </c>
      <c r="Y627" s="1" t="s">
        <v>535</v>
      </c>
      <c r="Z627" s="6">
        <v>15.07</v>
      </c>
      <c r="AA627" s="6">
        <v>94337.0</v>
      </c>
      <c r="AB627" s="10">
        <v>0.04</v>
      </c>
      <c r="AC627" s="1" t="s">
        <v>6567</v>
      </c>
      <c r="AD627" s="1" t="s">
        <v>6568</v>
      </c>
      <c r="AE627" s="1" t="s">
        <v>6569</v>
      </c>
      <c r="AF627" s="1" t="s">
        <v>6570</v>
      </c>
      <c r="AG627" s="1" t="s">
        <v>6569</v>
      </c>
      <c r="AH627" s="1" t="s">
        <v>156</v>
      </c>
      <c r="AI627" s="6">
        <v>24563.0</v>
      </c>
      <c r="AJ627" s="1" t="s">
        <v>106</v>
      </c>
      <c r="AK627" s="1" t="s">
        <v>6571</v>
      </c>
      <c r="AL627" s="1" t="s">
        <v>6572</v>
      </c>
      <c r="AM627" s="11" t="str">
        <f>VLOOKUP(N627,Sheet3!$B$4:$C$10,2,1)</f>
        <v>41-50</v>
      </c>
      <c r="AN627" s="12" t="str">
        <f>VLOOKUP(Z627,Sheet3!$F$4:$G$10,2,1)</f>
        <v>11-20</v>
      </c>
      <c r="AO627" s="5" t="str">
        <f>VLOOKUP(AA627,Sheet3!$I$3:$J$16,2,1)</f>
        <v>80000-100000</v>
      </c>
      <c r="AP627" s="5" t="str">
        <f>VLOOKUP(AB627,Sheet3!$L$4:$M$14,2,1)</f>
        <v>&lt; 5%</v>
      </c>
    </row>
    <row r="628">
      <c r="A628" s="6">
        <v>651597.0</v>
      </c>
      <c r="B628" s="1" t="s">
        <v>42</v>
      </c>
      <c r="C628" s="1" t="s">
        <v>6573</v>
      </c>
      <c r="D628" s="1" t="s">
        <v>70</v>
      </c>
      <c r="E628" s="1" t="s">
        <v>6345</v>
      </c>
      <c r="F628" s="1" t="s">
        <v>46</v>
      </c>
      <c r="G628" s="1" t="s">
        <v>6574</v>
      </c>
      <c r="H628" s="1" t="s">
        <v>5806</v>
      </c>
      <c r="I628" s="1" t="s">
        <v>6575</v>
      </c>
      <c r="J628" s="1" t="s">
        <v>6576</v>
      </c>
      <c r="K628" s="1" t="s">
        <v>1866</v>
      </c>
      <c r="L628" s="14">
        <v>26481.0</v>
      </c>
      <c r="M628" s="8">
        <v>0.8796412037037037</v>
      </c>
      <c r="N628" s="6">
        <v>45.1</v>
      </c>
      <c r="O628" s="6">
        <v>55.0</v>
      </c>
      <c r="P628" s="9">
        <v>37162.0</v>
      </c>
      <c r="Q628" s="1" t="s">
        <v>308</v>
      </c>
      <c r="R628" s="1" t="s">
        <v>53</v>
      </c>
      <c r="S628" s="6">
        <v>2001.0</v>
      </c>
      <c r="T628" s="6">
        <v>9.0</v>
      </c>
      <c r="U628" s="1" t="s">
        <v>309</v>
      </c>
      <c r="V628" s="1" t="s">
        <v>310</v>
      </c>
      <c r="W628" s="6">
        <v>28.0</v>
      </c>
      <c r="X628" s="1" t="s">
        <v>263</v>
      </c>
      <c r="Y628" s="1" t="s">
        <v>264</v>
      </c>
      <c r="Z628" s="6">
        <v>15.84</v>
      </c>
      <c r="AA628" s="6">
        <v>98099.0</v>
      </c>
      <c r="AB628" s="10">
        <v>0.13</v>
      </c>
      <c r="AC628" s="1" t="s">
        <v>6577</v>
      </c>
      <c r="AD628" s="1" t="s">
        <v>6578</v>
      </c>
      <c r="AE628" s="1" t="s">
        <v>6579</v>
      </c>
      <c r="AF628" s="1" t="s">
        <v>6580</v>
      </c>
      <c r="AG628" s="1" t="s">
        <v>6579</v>
      </c>
      <c r="AH628" s="1" t="s">
        <v>1605</v>
      </c>
      <c r="AI628" s="6">
        <v>58222.0</v>
      </c>
      <c r="AJ628" s="1" t="s">
        <v>86</v>
      </c>
      <c r="AK628" s="1" t="s">
        <v>6581</v>
      </c>
      <c r="AL628" s="1" t="s">
        <v>6582</v>
      </c>
      <c r="AM628" s="11" t="str">
        <f>VLOOKUP(N628,Sheet3!$B$4:$C$10,2,1)</f>
        <v>41-50</v>
      </c>
      <c r="AN628" s="12" t="str">
        <f>VLOOKUP(Z628,Sheet3!$F$4:$G$10,2,1)</f>
        <v>11-20</v>
      </c>
      <c r="AO628" s="5" t="str">
        <f>VLOOKUP(AA628,Sheet3!$I$3:$J$16,2,1)</f>
        <v>80000-100000</v>
      </c>
      <c r="AP628" s="5" t="str">
        <f>VLOOKUP(AB628,Sheet3!$L$4:$M$14,2,1)</f>
        <v>11% - 15%</v>
      </c>
    </row>
    <row r="629">
      <c r="A629" s="6">
        <v>801970.0</v>
      </c>
      <c r="B629" s="1" t="s">
        <v>42</v>
      </c>
      <c r="C629" s="1" t="s">
        <v>6583</v>
      </c>
      <c r="D629" s="1" t="s">
        <v>242</v>
      </c>
      <c r="E629" s="1" t="s">
        <v>579</v>
      </c>
      <c r="F629" s="1" t="s">
        <v>46</v>
      </c>
      <c r="G629" s="1" t="s">
        <v>6584</v>
      </c>
      <c r="H629" s="1" t="s">
        <v>5806</v>
      </c>
      <c r="I629" s="1" t="s">
        <v>6585</v>
      </c>
      <c r="J629" s="1" t="s">
        <v>6586</v>
      </c>
      <c r="K629" s="1" t="s">
        <v>852</v>
      </c>
      <c r="L629" s="9">
        <v>26529.0</v>
      </c>
      <c r="M629" s="8">
        <v>0.7994444444444444</v>
      </c>
      <c r="N629" s="6">
        <v>44.97</v>
      </c>
      <c r="O629" s="6">
        <v>40.0</v>
      </c>
      <c r="P629" s="9">
        <v>42243.0</v>
      </c>
      <c r="Q629" s="1" t="s">
        <v>308</v>
      </c>
      <c r="R629" s="1" t="s">
        <v>53</v>
      </c>
      <c r="S629" s="6">
        <v>2015.0</v>
      </c>
      <c r="T629" s="6">
        <v>8.0</v>
      </c>
      <c r="U629" s="1" t="s">
        <v>433</v>
      </c>
      <c r="V629" s="1" t="s">
        <v>434</v>
      </c>
      <c r="W629" s="6">
        <v>27.0</v>
      </c>
      <c r="X629" s="1" t="s">
        <v>150</v>
      </c>
      <c r="Y629" s="1" t="s">
        <v>151</v>
      </c>
      <c r="Z629" s="6">
        <v>1.92</v>
      </c>
      <c r="AA629" s="6">
        <v>93169.0</v>
      </c>
      <c r="AB629" s="10">
        <v>0.0</v>
      </c>
      <c r="AC629" s="1" t="s">
        <v>6587</v>
      </c>
      <c r="AD629" s="1" t="s">
        <v>6588</v>
      </c>
      <c r="AE629" s="1" t="s">
        <v>6589</v>
      </c>
      <c r="AF629" s="1" t="s">
        <v>1693</v>
      </c>
      <c r="AG629" s="1" t="s">
        <v>6589</v>
      </c>
      <c r="AH629" s="1" t="s">
        <v>210</v>
      </c>
      <c r="AI629" s="6">
        <v>61710.0</v>
      </c>
      <c r="AJ629" s="1" t="s">
        <v>86</v>
      </c>
      <c r="AK629" s="1" t="s">
        <v>6590</v>
      </c>
      <c r="AL629" s="1" t="s">
        <v>6591</v>
      </c>
      <c r="AM629" s="11" t="str">
        <f>VLOOKUP(N629,Sheet3!$B$4:$C$10,2,1)</f>
        <v>41-50</v>
      </c>
      <c r="AN629" s="13" t="str">
        <f>VLOOKUP(Z629,Sheet3!$F$4:$G$10,2,1)</f>
        <v>&lt; 5</v>
      </c>
      <c r="AO629" s="5" t="str">
        <f>VLOOKUP(AA629,Sheet3!$I$3:$J$16,2,1)</f>
        <v>80000-100000</v>
      </c>
      <c r="AP629" s="5" t="str">
        <f>VLOOKUP(AB629,Sheet3!$L$4:$M$14,2,1)</f>
        <v>&lt; 5%</v>
      </c>
    </row>
    <row r="630">
      <c r="A630" s="6">
        <v>217117.0</v>
      </c>
      <c r="B630" s="1" t="s">
        <v>89</v>
      </c>
      <c r="C630" s="1" t="s">
        <v>4935</v>
      </c>
      <c r="D630" s="1" t="s">
        <v>529</v>
      </c>
      <c r="E630" s="1" t="s">
        <v>6592</v>
      </c>
      <c r="F630" s="1" t="s">
        <v>46</v>
      </c>
      <c r="G630" s="1" t="s">
        <v>6593</v>
      </c>
      <c r="H630" s="1" t="s">
        <v>5806</v>
      </c>
      <c r="I630" s="1" t="s">
        <v>6594</v>
      </c>
      <c r="J630" s="1" t="s">
        <v>6595</v>
      </c>
      <c r="K630" s="1" t="s">
        <v>2165</v>
      </c>
      <c r="L630" s="9">
        <v>21304.0</v>
      </c>
      <c r="M630" s="8">
        <v>0.2092476851851852</v>
      </c>
      <c r="N630" s="6">
        <v>59.29</v>
      </c>
      <c r="O630" s="6">
        <v>55.0</v>
      </c>
      <c r="P630" s="14">
        <v>36714.0</v>
      </c>
      <c r="Q630" s="1" t="s">
        <v>308</v>
      </c>
      <c r="R630" s="1" t="s">
        <v>53</v>
      </c>
      <c r="S630" s="6">
        <v>2000.0</v>
      </c>
      <c r="T630" s="6">
        <v>7.0</v>
      </c>
      <c r="U630" s="1" t="s">
        <v>366</v>
      </c>
      <c r="V630" s="1" t="s">
        <v>367</v>
      </c>
      <c r="W630" s="6">
        <v>7.0</v>
      </c>
      <c r="X630" s="1" t="s">
        <v>263</v>
      </c>
      <c r="Y630" s="1" t="s">
        <v>264</v>
      </c>
      <c r="Z630" s="6">
        <v>17.07</v>
      </c>
      <c r="AA630" s="6">
        <v>198888.0</v>
      </c>
      <c r="AB630" s="10">
        <v>0.2</v>
      </c>
      <c r="AC630" s="1" t="s">
        <v>6596</v>
      </c>
      <c r="AD630" s="1" t="s">
        <v>6597</v>
      </c>
      <c r="AE630" s="1" t="s">
        <v>6598</v>
      </c>
      <c r="AF630" s="1" t="s">
        <v>6598</v>
      </c>
      <c r="AG630" s="1" t="s">
        <v>6598</v>
      </c>
      <c r="AH630" s="1" t="s">
        <v>85</v>
      </c>
      <c r="AI630" s="6">
        <v>48102.0</v>
      </c>
      <c r="AJ630" s="1" t="s">
        <v>86</v>
      </c>
      <c r="AK630" s="1" t="s">
        <v>6599</v>
      </c>
      <c r="AL630" s="1" t="s">
        <v>6600</v>
      </c>
      <c r="AM630" s="11" t="str">
        <f>VLOOKUP(N630,Sheet3!$B$4:$C$10,2,1)</f>
        <v>51-60</v>
      </c>
      <c r="AN630" s="12" t="str">
        <f>VLOOKUP(Z630,Sheet3!$F$4:$G$10,2,1)</f>
        <v>11-20</v>
      </c>
      <c r="AO630" s="5" t="str">
        <f>VLOOKUP(AA630,Sheet3!$I$3:$J$16,2,1)</f>
        <v>180000-200000</v>
      </c>
      <c r="AP630" s="5" t="str">
        <f>VLOOKUP(AB630,Sheet3!$L$4:$M$14,2,1)</f>
        <v>16% - 20%</v>
      </c>
    </row>
    <row r="631">
      <c r="A631" s="6">
        <v>539548.0</v>
      </c>
      <c r="B631" s="1" t="s">
        <v>125</v>
      </c>
      <c r="C631" s="1" t="s">
        <v>6601</v>
      </c>
      <c r="D631" s="1" t="s">
        <v>200</v>
      </c>
      <c r="E631" s="1" t="s">
        <v>2550</v>
      </c>
      <c r="F631" s="1" t="s">
        <v>70</v>
      </c>
      <c r="G631" s="1" t="s">
        <v>6602</v>
      </c>
      <c r="H631" s="1" t="s">
        <v>5806</v>
      </c>
      <c r="I631" s="1" t="s">
        <v>6603</v>
      </c>
      <c r="J631" s="1" t="s">
        <v>6604</v>
      </c>
      <c r="K631" s="1" t="s">
        <v>6605</v>
      </c>
      <c r="L631" s="9">
        <v>30158.0</v>
      </c>
      <c r="M631" s="8">
        <v>0.6980092592592593</v>
      </c>
      <c r="N631" s="6">
        <v>35.03</v>
      </c>
      <c r="O631" s="6">
        <v>50.0</v>
      </c>
      <c r="P631" s="9">
        <v>41604.0</v>
      </c>
      <c r="Q631" s="1" t="s">
        <v>52</v>
      </c>
      <c r="R631" s="1" t="s">
        <v>53</v>
      </c>
      <c r="S631" s="6">
        <v>2013.0</v>
      </c>
      <c r="T631" s="6">
        <v>11.0</v>
      </c>
      <c r="U631" s="1" t="s">
        <v>148</v>
      </c>
      <c r="V631" s="1" t="s">
        <v>149</v>
      </c>
      <c r="W631" s="6">
        <v>26.0</v>
      </c>
      <c r="X631" s="1" t="s">
        <v>79</v>
      </c>
      <c r="Y631" s="1" t="s">
        <v>80</v>
      </c>
      <c r="Z631" s="6">
        <v>3.67</v>
      </c>
      <c r="AA631" s="6">
        <v>78951.0</v>
      </c>
      <c r="AB631" s="10">
        <v>0.18</v>
      </c>
      <c r="AC631" s="1" t="s">
        <v>6606</v>
      </c>
      <c r="AD631" s="1" t="s">
        <v>6607</v>
      </c>
      <c r="AE631" s="1" t="s">
        <v>5980</v>
      </c>
      <c r="AF631" s="1" t="s">
        <v>2106</v>
      </c>
      <c r="AG631" s="1" t="s">
        <v>5980</v>
      </c>
      <c r="AH631" s="1" t="s">
        <v>974</v>
      </c>
      <c r="AI631" s="6">
        <v>43528.0</v>
      </c>
      <c r="AJ631" s="1" t="s">
        <v>86</v>
      </c>
      <c r="AK631" s="1" t="s">
        <v>6608</v>
      </c>
      <c r="AL631" s="1" t="s">
        <v>6609</v>
      </c>
      <c r="AM631" s="11" t="str">
        <f>VLOOKUP(N631,Sheet3!$B$4:$C$10,2,1)</f>
        <v>31-40</v>
      </c>
      <c r="AN631" s="13" t="str">
        <f>VLOOKUP(Z631,Sheet3!$F$4:$G$10,2,1)</f>
        <v>&lt; 5</v>
      </c>
      <c r="AO631" s="5" t="str">
        <f>VLOOKUP(AA631,Sheet3!$I$3:$J$16,2,1)</f>
        <v>60000-80000</v>
      </c>
      <c r="AP631" s="5" t="str">
        <f>VLOOKUP(AB631,Sheet3!$L$4:$M$14,2,1)</f>
        <v>16% - 20%</v>
      </c>
    </row>
    <row r="632">
      <c r="A632" s="6">
        <v>479754.0</v>
      </c>
      <c r="B632" s="1" t="s">
        <v>89</v>
      </c>
      <c r="C632" s="1" t="s">
        <v>779</v>
      </c>
      <c r="D632" s="1" t="s">
        <v>200</v>
      </c>
      <c r="E632" s="1" t="s">
        <v>380</v>
      </c>
      <c r="F632" s="1" t="s">
        <v>46</v>
      </c>
      <c r="G632" s="1" t="s">
        <v>6610</v>
      </c>
      <c r="H632" s="1" t="s">
        <v>5806</v>
      </c>
      <c r="I632" s="1" t="s">
        <v>6611</v>
      </c>
      <c r="J632" s="1" t="s">
        <v>6612</v>
      </c>
      <c r="K632" s="1" t="s">
        <v>2893</v>
      </c>
      <c r="L632" s="9">
        <v>21942.0</v>
      </c>
      <c r="M632" s="8">
        <v>0.9603703703703703</v>
      </c>
      <c r="N632" s="6">
        <v>57.54</v>
      </c>
      <c r="O632" s="6">
        <v>49.0</v>
      </c>
      <c r="P632" s="9">
        <v>31859.0</v>
      </c>
      <c r="Q632" s="1" t="s">
        <v>96</v>
      </c>
      <c r="R632" s="1" t="s">
        <v>76</v>
      </c>
      <c r="S632" s="6">
        <v>1987.0</v>
      </c>
      <c r="T632" s="6">
        <v>3.0</v>
      </c>
      <c r="U632" s="1" t="s">
        <v>97</v>
      </c>
      <c r="V632" s="1" t="s">
        <v>98</v>
      </c>
      <c r="W632" s="6">
        <v>23.0</v>
      </c>
      <c r="X632" s="1" t="s">
        <v>99</v>
      </c>
      <c r="Y632" s="1" t="s">
        <v>100</v>
      </c>
      <c r="Z632" s="6">
        <v>30.37</v>
      </c>
      <c r="AA632" s="6">
        <v>197109.0</v>
      </c>
      <c r="AB632" s="10">
        <v>0.05</v>
      </c>
      <c r="AC632" s="1" t="s">
        <v>6613</v>
      </c>
      <c r="AD632" s="1" t="s">
        <v>6614</v>
      </c>
      <c r="AE632" s="1" t="s">
        <v>6615</v>
      </c>
      <c r="AF632" s="1" t="s">
        <v>764</v>
      </c>
      <c r="AG632" s="1" t="s">
        <v>6615</v>
      </c>
      <c r="AH632" s="1" t="s">
        <v>893</v>
      </c>
      <c r="AI632" s="6">
        <v>28736.0</v>
      </c>
      <c r="AJ632" s="1" t="s">
        <v>106</v>
      </c>
      <c r="AK632" s="1" t="s">
        <v>6616</v>
      </c>
      <c r="AL632" s="1" t="s">
        <v>6617</v>
      </c>
      <c r="AM632" s="11" t="str">
        <f>VLOOKUP(N632,Sheet3!$B$4:$C$10,2,1)</f>
        <v>51-60</v>
      </c>
      <c r="AN632" s="13" t="str">
        <f>VLOOKUP(Z632,Sheet3!$F$4:$G$10,2,1)</f>
        <v>21-30</v>
      </c>
      <c r="AO632" s="5" t="str">
        <f>VLOOKUP(AA632,Sheet3!$I$3:$J$16,2,1)</f>
        <v>180000-200000</v>
      </c>
      <c r="AP632" s="5" t="str">
        <f>VLOOKUP(AB632,Sheet3!$L$4:$M$14,2,1)</f>
        <v>5% - 10%</v>
      </c>
    </row>
    <row r="633">
      <c r="A633" s="6">
        <v>992197.0</v>
      </c>
      <c r="B633" s="1" t="s">
        <v>66</v>
      </c>
      <c r="C633" s="1" t="s">
        <v>6618</v>
      </c>
      <c r="D633" s="1" t="s">
        <v>403</v>
      </c>
      <c r="E633" s="1" t="s">
        <v>6619</v>
      </c>
      <c r="F633" s="1" t="s">
        <v>70</v>
      </c>
      <c r="G633" s="1" t="s">
        <v>6620</v>
      </c>
      <c r="H633" s="1" t="s">
        <v>5806</v>
      </c>
      <c r="I633" s="1" t="s">
        <v>6621</v>
      </c>
      <c r="J633" s="1" t="s">
        <v>6622</v>
      </c>
      <c r="K633" s="1" t="s">
        <v>1378</v>
      </c>
      <c r="L633" s="9">
        <v>32408.0</v>
      </c>
      <c r="M633" s="8">
        <v>0.6187037037037038</v>
      </c>
      <c r="N633" s="6">
        <v>28.87</v>
      </c>
      <c r="O633" s="6">
        <v>86.0</v>
      </c>
      <c r="P633" s="9">
        <v>41530.0</v>
      </c>
      <c r="Q633" s="1" t="s">
        <v>308</v>
      </c>
      <c r="R633" s="1" t="s">
        <v>53</v>
      </c>
      <c r="S633" s="6">
        <v>2013.0</v>
      </c>
      <c r="T633" s="6">
        <v>9.0</v>
      </c>
      <c r="U633" s="1" t="s">
        <v>309</v>
      </c>
      <c r="V633" s="1" t="s">
        <v>310</v>
      </c>
      <c r="W633" s="6">
        <v>13.0</v>
      </c>
      <c r="X633" s="1" t="s">
        <v>263</v>
      </c>
      <c r="Y633" s="1" t="s">
        <v>264</v>
      </c>
      <c r="Z633" s="6">
        <v>3.87</v>
      </c>
      <c r="AA633" s="6">
        <v>157586.0</v>
      </c>
      <c r="AB633" s="10">
        <v>0.25</v>
      </c>
      <c r="AC633" s="1" t="s">
        <v>6623</v>
      </c>
      <c r="AD633" s="1" t="s">
        <v>6624</v>
      </c>
      <c r="AE633" s="1" t="s">
        <v>6625</v>
      </c>
      <c r="AF633" s="1" t="s">
        <v>764</v>
      </c>
      <c r="AG633" s="1" t="s">
        <v>6625</v>
      </c>
      <c r="AH633" s="1" t="s">
        <v>252</v>
      </c>
      <c r="AI633" s="6">
        <v>97525.0</v>
      </c>
      <c r="AJ633" s="1" t="s">
        <v>63</v>
      </c>
      <c r="AK633" s="1" t="s">
        <v>6626</v>
      </c>
      <c r="AL633" s="1" t="s">
        <v>6627</v>
      </c>
      <c r="AM633" s="11" t="str">
        <f>VLOOKUP(N633,Sheet3!$B$4:$C$10,2,1)</f>
        <v>21-30</v>
      </c>
      <c r="AN633" s="13" t="str">
        <f>VLOOKUP(Z633,Sheet3!$F$4:$G$10,2,1)</f>
        <v>&lt; 5</v>
      </c>
      <c r="AO633" s="5" t="str">
        <f>VLOOKUP(AA633,Sheet3!$I$3:$J$16,2,1)</f>
        <v>140000-160000</v>
      </c>
      <c r="AP633" s="5" t="str">
        <f>VLOOKUP(AB633,Sheet3!$L$4:$M$14,2,1)</f>
        <v>21% - 25%</v>
      </c>
    </row>
    <row r="634">
      <c r="A634" s="6">
        <v>844571.0</v>
      </c>
      <c r="B634" s="1" t="s">
        <v>125</v>
      </c>
      <c r="C634" s="1" t="s">
        <v>6628</v>
      </c>
      <c r="D634" s="1" t="s">
        <v>529</v>
      </c>
      <c r="E634" s="1" t="s">
        <v>2923</v>
      </c>
      <c r="F634" s="1" t="s">
        <v>46</v>
      </c>
      <c r="G634" s="1" t="s">
        <v>6629</v>
      </c>
      <c r="H634" s="1" t="s">
        <v>5806</v>
      </c>
      <c r="I634" s="1" t="s">
        <v>6630</v>
      </c>
      <c r="J634" s="1" t="s">
        <v>6631</v>
      </c>
      <c r="K634" s="1" t="s">
        <v>6632</v>
      </c>
      <c r="L634" s="14">
        <v>24967.0</v>
      </c>
      <c r="M634" s="8">
        <v>0.8546064814814814</v>
      </c>
      <c r="N634" s="6">
        <v>49.25</v>
      </c>
      <c r="O634" s="6">
        <v>47.0</v>
      </c>
      <c r="P634" s="14">
        <v>34923.0</v>
      </c>
      <c r="Q634" s="1" t="s">
        <v>308</v>
      </c>
      <c r="R634" s="1" t="s">
        <v>53</v>
      </c>
      <c r="S634" s="6">
        <v>1995.0</v>
      </c>
      <c r="T634" s="6">
        <v>8.0</v>
      </c>
      <c r="U634" s="1" t="s">
        <v>433</v>
      </c>
      <c r="V634" s="1" t="s">
        <v>434</v>
      </c>
      <c r="W634" s="6">
        <v>12.0</v>
      </c>
      <c r="X634" s="1" t="s">
        <v>56</v>
      </c>
      <c r="Y634" s="1" t="s">
        <v>57</v>
      </c>
      <c r="Z634" s="6">
        <v>21.98</v>
      </c>
      <c r="AA634" s="6">
        <v>81301.0</v>
      </c>
      <c r="AB634" s="10">
        <v>0.17</v>
      </c>
      <c r="AC634" s="1" t="s">
        <v>6633</v>
      </c>
      <c r="AD634" s="1" t="s">
        <v>6634</v>
      </c>
      <c r="AE634" s="1" t="s">
        <v>6635</v>
      </c>
      <c r="AF634" s="1" t="s">
        <v>6636</v>
      </c>
      <c r="AG634" s="1" t="s">
        <v>6635</v>
      </c>
      <c r="AH634" s="1" t="s">
        <v>284</v>
      </c>
      <c r="AI634" s="6">
        <v>51246.0</v>
      </c>
      <c r="AJ634" s="1" t="s">
        <v>86</v>
      </c>
      <c r="AK634" s="1" t="s">
        <v>6637</v>
      </c>
      <c r="AL634" s="1" t="s">
        <v>6638</v>
      </c>
      <c r="AM634" s="11" t="str">
        <f>VLOOKUP(N634,Sheet3!$B$4:$C$10,2,1)</f>
        <v>41-50</v>
      </c>
      <c r="AN634" s="13" t="str">
        <f>VLOOKUP(Z634,Sheet3!$F$4:$G$10,2,1)</f>
        <v>21-30</v>
      </c>
      <c r="AO634" s="5" t="str">
        <f>VLOOKUP(AA634,Sheet3!$I$3:$J$16,2,1)</f>
        <v>80000-100000</v>
      </c>
      <c r="AP634" s="5" t="str">
        <f>VLOOKUP(AB634,Sheet3!$L$4:$M$14,2,1)</f>
        <v>16% - 20%</v>
      </c>
    </row>
    <row r="635">
      <c r="A635" s="6">
        <v>618339.0</v>
      </c>
      <c r="B635" s="1" t="s">
        <v>66</v>
      </c>
      <c r="C635" s="1" t="s">
        <v>6639</v>
      </c>
      <c r="D635" s="1" t="s">
        <v>1300</v>
      </c>
      <c r="E635" s="1" t="s">
        <v>1134</v>
      </c>
      <c r="F635" s="1" t="s">
        <v>70</v>
      </c>
      <c r="G635" s="1" t="s">
        <v>6640</v>
      </c>
      <c r="H635" s="1" t="s">
        <v>5806</v>
      </c>
      <c r="I635" s="1" t="s">
        <v>6641</v>
      </c>
      <c r="J635" s="1" t="s">
        <v>6642</v>
      </c>
      <c r="K635" s="1" t="s">
        <v>444</v>
      </c>
      <c r="L635" s="14">
        <v>32666.0</v>
      </c>
      <c r="M635" s="8">
        <v>0.18149305555555556</v>
      </c>
      <c r="N635" s="6">
        <v>28.16</v>
      </c>
      <c r="O635" s="6">
        <v>63.0</v>
      </c>
      <c r="P635" s="9">
        <v>40773.0</v>
      </c>
      <c r="Q635" s="1" t="s">
        <v>308</v>
      </c>
      <c r="R635" s="1" t="s">
        <v>53</v>
      </c>
      <c r="S635" s="6">
        <v>2011.0</v>
      </c>
      <c r="T635" s="6">
        <v>8.0</v>
      </c>
      <c r="U635" s="1" t="s">
        <v>433</v>
      </c>
      <c r="V635" s="1" t="s">
        <v>434</v>
      </c>
      <c r="W635" s="6">
        <v>18.0</v>
      </c>
      <c r="X635" s="1" t="s">
        <v>150</v>
      </c>
      <c r="Y635" s="1" t="s">
        <v>151</v>
      </c>
      <c r="Z635" s="6">
        <v>5.95</v>
      </c>
      <c r="AA635" s="6">
        <v>84715.0</v>
      </c>
      <c r="AB635" s="10">
        <v>0.1</v>
      </c>
      <c r="AC635" s="1" t="s">
        <v>6643</v>
      </c>
      <c r="AD635" s="1" t="s">
        <v>6644</v>
      </c>
      <c r="AE635" s="1" t="s">
        <v>6645</v>
      </c>
      <c r="AF635" s="1" t="s">
        <v>3005</v>
      </c>
      <c r="AG635" s="1" t="s">
        <v>6645</v>
      </c>
      <c r="AH635" s="1" t="s">
        <v>223</v>
      </c>
      <c r="AI635" s="6">
        <v>17858.0</v>
      </c>
      <c r="AJ635" s="1" t="s">
        <v>224</v>
      </c>
      <c r="AK635" s="1" t="s">
        <v>6646</v>
      </c>
      <c r="AL635" s="1" t="s">
        <v>6647</v>
      </c>
      <c r="AM635" s="11" t="str">
        <f>VLOOKUP(N635,Sheet3!$B$4:$C$10,2,1)</f>
        <v>21-30</v>
      </c>
      <c r="AN635" s="12" t="str">
        <f>VLOOKUP(Z635,Sheet3!$F$4:$G$10,2,1)</f>
        <v>5-10</v>
      </c>
      <c r="AO635" s="5" t="str">
        <f>VLOOKUP(AA635,Sheet3!$I$3:$J$16,2,1)</f>
        <v>80000-100000</v>
      </c>
      <c r="AP635" s="5" t="str">
        <f>VLOOKUP(AB635,Sheet3!$L$4:$M$14,2,1)</f>
        <v>5% - 10%</v>
      </c>
    </row>
    <row r="636">
      <c r="A636" s="6">
        <v>804360.0</v>
      </c>
      <c r="B636" s="1" t="s">
        <v>66</v>
      </c>
      <c r="C636" s="1" t="s">
        <v>6648</v>
      </c>
      <c r="D636" s="1" t="s">
        <v>257</v>
      </c>
      <c r="E636" s="1" t="s">
        <v>1664</v>
      </c>
      <c r="F636" s="1" t="s">
        <v>70</v>
      </c>
      <c r="G636" s="1" t="s">
        <v>6649</v>
      </c>
      <c r="H636" s="1" t="s">
        <v>5806</v>
      </c>
      <c r="I636" s="1" t="s">
        <v>6650</v>
      </c>
      <c r="J636" s="1" t="s">
        <v>6651</v>
      </c>
      <c r="K636" s="1" t="s">
        <v>6652</v>
      </c>
      <c r="L636" s="9">
        <v>26628.0</v>
      </c>
      <c r="M636" s="8">
        <v>0.03267361111111111</v>
      </c>
      <c r="N636" s="6">
        <v>44.7</v>
      </c>
      <c r="O636" s="6">
        <v>63.0</v>
      </c>
      <c r="P636" s="9">
        <v>41358.0</v>
      </c>
      <c r="Q636" s="1" t="s">
        <v>96</v>
      </c>
      <c r="R636" s="1" t="s">
        <v>76</v>
      </c>
      <c r="S636" s="6">
        <v>2013.0</v>
      </c>
      <c r="T636" s="6">
        <v>3.0</v>
      </c>
      <c r="U636" s="1" t="s">
        <v>97</v>
      </c>
      <c r="V636" s="1" t="s">
        <v>98</v>
      </c>
      <c r="W636" s="6">
        <v>25.0</v>
      </c>
      <c r="X636" s="1" t="s">
        <v>99</v>
      </c>
      <c r="Y636" s="1" t="s">
        <v>100</v>
      </c>
      <c r="Z636" s="6">
        <v>4.35</v>
      </c>
      <c r="AA636" s="6">
        <v>140792.0</v>
      </c>
      <c r="AB636" s="10">
        <v>0.03</v>
      </c>
      <c r="AC636" s="1" t="s">
        <v>6653</v>
      </c>
      <c r="AD636" s="1" t="s">
        <v>6654</v>
      </c>
      <c r="AE636" s="1" t="s">
        <v>6655</v>
      </c>
      <c r="AF636" s="1" t="s">
        <v>3026</v>
      </c>
      <c r="AG636" s="1" t="s">
        <v>6655</v>
      </c>
      <c r="AH636" s="1" t="s">
        <v>210</v>
      </c>
      <c r="AI636" s="6">
        <v>62013.0</v>
      </c>
      <c r="AJ636" s="1" t="s">
        <v>86</v>
      </c>
      <c r="AK636" s="1" t="s">
        <v>6656</v>
      </c>
      <c r="AL636" s="1" t="s">
        <v>6657</v>
      </c>
      <c r="AM636" s="11" t="str">
        <f>VLOOKUP(N636,Sheet3!$B$4:$C$10,2,1)</f>
        <v>41-50</v>
      </c>
      <c r="AN636" s="13" t="str">
        <f>VLOOKUP(Z636,Sheet3!$F$4:$G$10,2,1)</f>
        <v>&lt; 5</v>
      </c>
      <c r="AO636" s="5" t="str">
        <f>VLOOKUP(AA636,Sheet3!$I$3:$J$16,2,1)</f>
        <v>140000-160000</v>
      </c>
      <c r="AP636" s="5" t="str">
        <f>VLOOKUP(AB636,Sheet3!$L$4:$M$14,2,1)</f>
        <v>&lt; 5%</v>
      </c>
    </row>
    <row r="637">
      <c r="A637" s="6">
        <v>335435.0</v>
      </c>
      <c r="B637" s="1" t="s">
        <v>66</v>
      </c>
      <c r="C637" s="1" t="s">
        <v>731</v>
      </c>
      <c r="D637" s="1" t="s">
        <v>403</v>
      </c>
      <c r="E637" s="1" t="s">
        <v>4589</v>
      </c>
      <c r="F637" s="1" t="s">
        <v>70</v>
      </c>
      <c r="G637" s="1" t="s">
        <v>6658</v>
      </c>
      <c r="H637" s="1" t="s">
        <v>5806</v>
      </c>
      <c r="I637" s="1" t="s">
        <v>6659</v>
      </c>
      <c r="J637" s="1" t="s">
        <v>6660</v>
      </c>
      <c r="K637" s="1" t="s">
        <v>1749</v>
      </c>
      <c r="L637" s="9">
        <v>27440.0</v>
      </c>
      <c r="M637" s="8">
        <v>0.9450925925925926</v>
      </c>
      <c r="N637" s="6">
        <v>42.48</v>
      </c>
      <c r="O637" s="6">
        <v>76.0</v>
      </c>
      <c r="P637" s="7">
        <v>37236.0</v>
      </c>
      <c r="Q637" s="1" t="s">
        <v>52</v>
      </c>
      <c r="R637" s="1" t="s">
        <v>53</v>
      </c>
      <c r="S637" s="6">
        <v>2001.0</v>
      </c>
      <c r="T637" s="6">
        <v>12.0</v>
      </c>
      <c r="U637" s="1" t="s">
        <v>54</v>
      </c>
      <c r="V637" s="1" t="s">
        <v>55</v>
      </c>
      <c r="W637" s="6">
        <v>11.0</v>
      </c>
      <c r="X637" s="1" t="s">
        <v>79</v>
      </c>
      <c r="Y637" s="1" t="s">
        <v>80</v>
      </c>
      <c r="Z637" s="6">
        <v>15.64</v>
      </c>
      <c r="AA637" s="6">
        <v>163607.0</v>
      </c>
      <c r="AB637" s="10">
        <v>0.26</v>
      </c>
      <c r="AC637" s="1" t="s">
        <v>6661</v>
      </c>
      <c r="AD637" s="1" t="s">
        <v>6662</v>
      </c>
      <c r="AE637" s="1" t="s">
        <v>6663</v>
      </c>
      <c r="AF637" s="1" t="s">
        <v>6664</v>
      </c>
      <c r="AG637" s="1" t="s">
        <v>6663</v>
      </c>
      <c r="AH637" s="1" t="s">
        <v>385</v>
      </c>
      <c r="AI637" s="6">
        <v>99323.0</v>
      </c>
      <c r="AJ637" s="1" t="s">
        <v>63</v>
      </c>
      <c r="AK637" s="1" t="s">
        <v>6665</v>
      </c>
      <c r="AL637" s="1" t="s">
        <v>6666</v>
      </c>
      <c r="AM637" s="11" t="str">
        <f>VLOOKUP(N637,Sheet3!$B$4:$C$10,2,1)</f>
        <v>41-50</v>
      </c>
      <c r="AN637" s="12" t="str">
        <f>VLOOKUP(Z637,Sheet3!$F$4:$G$10,2,1)</f>
        <v>11-20</v>
      </c>
      <c r="AO637" s="5" t="str">
        <f>VLOOKUP(AA637,Sheet3!$I$3:$J$16,2,1)</f>
        <v>160000-180000</v>
      </c>
      <c r="AP637" s="5" t="str">
        <f>VLOOKUP(AB637,Sheet3!$L$4:$M$14,2,1)</f>
        <v>26% - 30%</v>
      </c>
    </row>
    <row r="638">
      <c r="A638" s="6">
        <v>308129.0</v>
      </c>
      <c r="B638" s="1" t="s">
        <v>66</v>
      </c>
      <c r="C638" s="1" t="s">
        <v>2316</v>
      </c>
      <c r="D638" s="1" t="s">
        <v>173</v>
      </c>
      <c r="E638" s="1" t="s">
        <v>6667</v>
      </c>
      <c r="F638" s="1" t="s">
        <v>70</v>
      </c>
      <c r="G638" s="1" t="s">
        <v>6668</v>
      </c>
      <c r="H638" s="1" t="s">
        <v>5806</v>
      </c>
      <c r="I638" s="1" t="s">
        <v>6669</v>
      </c>
      <c r="J638" s="1" t="s">
        <v>6670</v>
      </c>
      <c r="K638" s="1" t="s">
        <v>6671</v>
      </c>
      <c r="L638" s="9">
        <v>25749.0</v>
      </c>
      <c r="M638" s="8">
        <v>0.008703703703703703</v>
      </c>
      <c r="N638" s="6">
        <v>47.11</v>
      </c>
      <c r="O638" s="6">
        <v>62.0</v>
      </c>
      <c r="P638" s="7">
        <v>38302.0</v>
      </c>
      <c r="Q638" s="1" t="s">
        <v>52</v>
      </c>
      <c r="R638" s="1" t="s">
        <v>53</v>
      </c>
      <c r="S638" s="6">
        <v>2004.0</v>
      </c>
      <c r="T638" s="6">
        <v>11.0</v>
      </c>
      <c r="U638" s="1" t="s">
        <v>148</v>
      </c>
      <c r="V638" s="1" t="s">
        <v>149</v>
      </c>
      <c r="W638" s="6">
        <v>11.0</v>
      </c>
      <c r="X638" s="1" t="s">
        <v>150</v>
      </c>
      <c r="Y638" s="1" t="s">
        <v>151</v>
      </c>
      <c r="Z638" s="6">
        <v>12.72</v>
      </c>
      <c r="AA638" s="6">
        <v>112027.0</v>
      </c>
      <c r="AB638" s="10">
        <v>0.04</v>
      </c>
      <c r="AC638" s="1" t="s">
        <v>6672</v>
      </c>
      <c r="AD638" s="1" t="s">
        <v>6673</v>
      </c>
      <c r="AE638" s="1" t="s">
        <v>6674</v>
      </c>
      <c r="AF638" s="1" t="s">
        <v>6675</v>
      </c>
      <c r="AG638" s="1" t="s">
        <v>6674</v>
      </c>
      <c r="AH638" s="1" t="s">
        <v>488</v>
      </c>
      <c r="AI638" s="6">
        <v>33182.0</v>
      </c>
      <c r="AJ638" s="1" t="s">
        <v>106</v>
      </c>
      <c r="AK638" s="1" t="s">
        <v>6676</v>
      </c>
      <c r="AL638" s="1" t="s">
        <v>6677</v>
      </c>
      <c r="AM638" s="11" t="str">
        <f>VLOOKUP(N638,Sheet3!$B$4:$C$10,2,1)</f>
        <v>41-50</v>
      </c>
      <c r="AN638" s="12" t="str">
        <f>VLOOKUP(Z638,Sheet3!$F$4:$G$10,2,1)</f>
        <v>11-20</v>
      </c>
      <c r="AO638" s="5" t="str">
        <f>VLOOKUP(AA638,Sheet3!$I$3:$J$16,2,1)</f>
        <v>100000-120000</v>
      </c>
      <c r="AP638" s="5" t="str">
        <f>VLOOKUP(AB638,Sheet3!$L$4:$M$14,2,1)</f>
        <v>&lt; 5%</v>
      </c>
    </row>
    <row r="639">
      <c r="A639" s="6">
        <v>192292.0</v>
      </c>
      <c r="B639" s="1" t="s">
        <v>255</v>
      </c>
      <c r="C639" s="1" t="s">
        <v>3112</v>
      </c>
      <c r="D639" s="1" t="s">
        <v>360</v>
      </c>
      <c r="E639" s="1" t="s">
        <v>5835</v>
      </c>
      <c r="F639" s="1" t="s">
        <v>70</v>
      </c>
      <c r="G639" s="1" t="s">
        <v>6678</v>
      </c>
      <c r="H639" s="1" t="s">
        <v>5806</v>
      </c>
      <c r="I639" s="1" t="s">
        <v>6679</v>
      </c>
      <c r="J639" s="1" t="s">
        <v>6680</v>
      </c>
      <c r="K639" s="1" t="s">
        <v>6681</v>
      </c>
      <c r="L639" s="9">
        <v>22147.0</v>
      </c>
      <c r="M639" s="8">
        <v>0.16679398148148147</v>
      </c>
      <c r="N639" s="6">
        <v>56.98</v>
      </c>
      <c r="O639" s="6">
        <v>66.0</v>
      </c>
      <c r="P639" s="14">
        <v>36194.0</v>
      </c>
      <c r="Q639" s="1" t="s">
        <v>96</v>
      </c>
      <c r="R639" s="1" t="s">
        <v>76</v>
      </c>
      <c r="S639" s="6">
        <v>1999.0</v>
      </c>
      <c r="T639" s="6">
        <v>2.0</v>
      </c>
      <c r="U639" s="1" t="s">
        <v>117</v>
      </c>
      <c r="V639" s="1" t="s">
        <v>118</v>
      </c>
      <c r="W639" s="6">
        <v>3.0</v>
      </c>
      <c r="X639" s="1" t="s">
        <v>278</v>
      </c>
      <c r="Y639" s="1" t="s">
        <v>279</v>
      </c>
      <c r="Z639" s="6">
        <v>18.49</v>
      </c>
      <c r="AA639" s="6">
        <v>46171.0</v>
      </c>
      <c r="AB639" s="10">
        <v>0.16</v>
      </c>
      <c r="AC639" s="1" t="s">
        <v>6682</v>
      </c>
      <c r="AD639" s="1" t="s">
        <v>6683</v>
      </c>
      <c r="AE639" s="1" t="s">
        <v>2487</v>
      </c>
      <c r="AF639" s="1" t="s">
        <v>5549</v>
      </c>
      <c r="AG639" s="1" t="s">
        <v>2487</v>
      </c>
      <c r="AH639" s="1" t="s">
        <v>1344</v>
      </c>
      <c r="AI639" s="6">
        <v>6365.0</v>
      </c>
      <c r="AJ639" s="1" t="s">
        <v>224</v>
      </c>
      <c r="AK639" s="1" t="s">
        <v>6684</v>
      </c>
      <c r="AL639" s="1" t="s">
        <v>6685</v>
      </c>
      <c r="AM639" s="11" t="str">
        <f>VLOOKUP(N639,Sheet3!$B$4:$C$10,2,1)</f>
        <v>51-60</v>
      </c>
      <c r="AN639" s="12" t="str">
        <f>VLOOKUP(Z639,Sheet3!$F$4:$G$10,2,1)</f>
        <v>11-20</v>
      </c>
      <c r="AO639" s="5" t="str">
        <f>VLOOKUP(AA639,Sheet3!$I$3:$J$16,2,1)</f>
        <v>40000-60000</v>
      </c>
      <c r="AP639" s="5" t="str">
        <f>VLOOKUP(AB639,Sheet3!$L$4:$M$14,2,1)</f>
        <v>16% - 20%</v>
      </c>
    </row>
    <row r="640">
      <c r="A640" s="6">
        <v>410844.0</v>
      </c>
      <c r="B640" s="1" t="s">
        <v>66</v>
      </c>
      <c r="C640" s="1" t="s">
        <v>6686</v>
      </c>
      <c r="D640" s="1" t="s">
        <v>389</v>
      </c>
      <c r="E640" s="1" t="s">
        <v>6687</v>
      </c>
      <c r="F640" s="1" t="s">
        <v>70</v>
      </c>
      <c r="G640" s="1" t="s">
        <v>6688</v>
      </c>
      <c r="H640" s="1" t="s">
        <v>5806</v>
      </c>
      <c r="I640" s="1" t="s">
        <v>6689</v>
      </c>
      <c r="J640" s="1" t="s">
        <v>6690</v>
      </c>
      <c r="K640" s="1" t="s">
        <v>187</v>
      </c>
      <c r="L640" s="14">
        <v>30175.0</v>
      </c>
      <c r="M640" s="8">
        <v>0.0028125</v>
      </c>
      <c r="N640" s="6">
        <v>34.98</v>
      </c>
      <c r="O640" s="6">
        <v>74.0</v>
      </c>
      <c r="P640" s="9">
        <v>42793.0</v>
      </c>
      <c r="Q640" s="1" t="s">
        <v>96</v>
      </c>
      <c r="R640" s="1" t="s">
        <v>76</v>
      </c>
      <c r="S640" s="6">
        <v>2017.0</v>
      </c>
      <c r="T640" s="6">
        <v>2.0</v>
      </c>
      <c r="U640" s="1" t="s">
        <v>117</v>
      </c>
      <c r="V640" s="1" t="s">
        <v>118</v>
      </c>
      <c r="W640" s="6">
        <v>27.0</v>
      </c>
      <c r="X640" s="1" t="s">
        <v>99</v>
      </c>
      <c r="Y640" s="1" t="s">
        <v>100</v>
      </c>
      <c r="Z640" s="6">
        <v>0.41</v>
      </c>
      <c r="AA640" s="6">
        <v>135526.0</v>
      </c>
      <c r="AB640" s="10">
        <v>0.24</v>
      </c>
      <c r="AC640" s="1" t="s">
        <v>6691</v>
      </c>
      <c r="AD640" s="1" t="s">
        <v>6692</v>
      </c>
      <c r="AE640" s="1" t="s">
        <v>6693</v>
      </c>
      <c r="AF640" s="1" t="s">
        <v>4860</v>
      </c>
      <c r="AG640" s="1" t="s">
        <v>6693</v>
      </c>
      <c r="AH640" s="1" t="s">
        <v>223</v>
      </c>
      <c r="AI640" s="6">
        <v>18091.0</v>
      </c>
      <c r="AJ640" s="1" t="s">
        <v>224</v>
      </c>
      <c r="AK640" s="1" t="s">
        <v>6694</v>
      </c>
      <c r="AL640" s="1" t="s">
        <v>6695</v>
      </c>
      <c r="AM640" s="11" t="str">
        <f>VLOOKUP(N640,Sheet3!$B$4:$C$10,2,1)</f>
        <v>31-40</v>
      </c>
      <c r="AN640" s="13" t="str">
        <f>VLOOKUP(Z640,Sheet3!$F$4:$G$10,2,1)</f>
        <v>&lt; 5</v>
      </c>
      <c r="AO640" s="5" t="str">
        <f>VLOOKUP(AA640,Sheet3!$I$3:$J$16,2,1)</f>
        <v>120000-140000</v>
      </c>
      <c r="AP640" s="5" t="str">
        <f>VLOOKUP(AB640,Sheet3!$L$4:$M$14,2,1)</f>
        <v>21% - 25%</v>
      </c>
    </row>
    <row r="641">
      <c r="A641" s="6">
        <v>530958.0</v>
      </c>
      <c r="B641" s="1" t="s">
        <v>109</v>
      </c>
      <c r="C641" s="1" t="s">
        <v>6696</v>
      </c>
      <c r="D641" s="1" t="s">
        <v>403</v>
      </c>
      <c r="E641" s="1" t="s">
        <v>3370</v>
      </c>
      <c r="F641" s="1" t="s">
        <v>46</v>
      </c>
      <c r="G641" s="1" t="s">
        <v>6697</v>
      </c>
      <c r="H641" s="1" t="s">
        <v>5806</v>
      </c>
      <c r="I641" s="1" t="s">
        <v>6698</v>
      </c>
      <c r="J641" s="1" t="s">
        <v>6699</v>
      </c>
      <c r="K641" s="1" t="s">
        <v>6700</v>
      </c>
      <c r="L641" s="9">
        <v>32232.0</v>
      </c>
      <c r="M641" s="8">
        <v>0.0908449074074074</v>
      </c>
      <c r="N641" s="6">
        <v>29.35</v>
      </c>
      <c r="O641" s="6">
        <v>58.0</v>
      </c>
      <c r="P641" s="9">
        <v>41024.0</v>
      </c>
      <c r="Q641" s="1" t="s">
        <v>75</v>
      </c>
      <c r="R641" s="1" t="s">
        <v>76</v>
      </c>
      <c r="S641" s="6">
        <v>2012.0</v>
      </c>
      <c r="T641" s="6">
        <v>4.0</v>
      </c>
      <c r="U641" s="1" t="s">
        <v>77</v>
      </c>
      <c r="V641" s="1" t="s">
        <v>78</v>
      </c>
      <c r="W641" s="6">
        <v>25.0</v>
      </c>
      <c r="X641" s="1" t="s">
        <v>278</v>
      </c>
      <c r="Y641" s="1" t="s">
        <v>279</v>
      </c>
      <c r="Z641" s="6">
        <v>5.26</v>
      </c>
      <c r="AA641" s="6">
        <v>102102.0</v>
      </c>
      <c r="AB641" s="10">
        <v>0.09</v>
      </c>
      <c r="AC641" s="1" t="s">
        <v>6701</v>
      </c>
      <c r="AD641" s="1" t="s">
        <v>6702</v>
      </c>
      <c r="AE641" s="1" t="s">
        <v>6703</v>
      </c>
      <c r="AF641" s="1" t="s">
        <v>6704</v>
      </c>
      <c r="AG641" s="1" t="s">
        <v>6703</v>
      </c>
      <c r="AH641" s="1" t="s">
        <v>385</v>
      </c>
      <c r="AI641" s="6">
        <v>98384.0</v>
      </c>
      <c r="AJ641" s="1" t="s">
        <v>63</v>
      </c>
      <c r="AK641" s="1" t="s">
        <v>6705</v>
      </c>
      <c r="AL641" s="1" t="s">
        <v>6706</v>
      </c>
      <c r="AM641" s="11" t="str">
        <f>VLOOKUP(N641,Sheet3!$B$4:$C$10,2,1)</f>
        <v>21-30</v>
      </c>
      <c r="AN641" s="12" t="str">
        <f>VLOOKUP(Z641,Sheet3!$F$4:$G$10,2,1)</f>
        <v>5-10</v>
      </c>
      <c r="AO641" s="5" t="str">
        <f>VLOOKUP(AA641,Sheet3!$I$3:$J$16,2,1)</f>
        <v>100000-120000</v>
      </c>
      <c r="AP641" s="5" t="str">
        <f>VLOOKUP(AB641,Sheet3!$L$4:$M$14,2,1)</f>
        <v>5% - 10%</v>
      </c>
    </row>
    <row r="642">
      <c r="A642" s="6">
        <v>232194.0</v>
      </c>
      <c r="B642" s="1" t="s">
        <v>42</v>
      </c>
      <c r="C642" s="1" t="s">
        <v>6707</v>
      </c>
      <c r="D642" s="1" t="s">
        <v>46</v>
      </c>
      <c r="E642" s="1" t="s">
        <v>764</v>
      </c>
      <c r="F642" s="1" t="s">
        <v>46</v>
      </c>
      <c r="G642" s="1" t="s">
        <v>6708</v>
      </c>
      <c r="H642" s="1" t="s">
        <v>5806</v>
      </c>
      <c r="I642" s="1" t="s">
        <v>6709</v>
      </c>
      <c r="J642" s="1" t="s">
        <v>6710</v>
      </c>
      <c r="K642" s="1" t="s">
        <v>3541</v>
      </c>
      <c r="L642" s="9">
        <v>24074.0</v>
      </c>
      <c r="M642" s="8">
        <v>0.1072337962962963</v>
      </c>
      <c r="N642" s="6">
        <v>51.7</v>
      </c>
      <c r="O642" s="6">
        <v>50.0</v>
      </c>
      <c r="P642" s="9">
        <v>41119.0</v>
      </c>
      <c r="Q642" s="1" t="s">
        <v>308</v>
      </c>
      <c r="R642" s="1" t="s">
        <v>53</v>
      </c>
      <c r="S642" s="6">
        <v>2012.0</v>
      </c>
      <c r="T642" s="6">
        <v>7.0</v>
      </c>
      <c r="U642" s="1" t="s">
        <v>366</v>
      </c>
      <c r="V642" s="1" t="s">
        <v>367</v>
      </c>
      <c r="W642" s="6">
        <v>29.0</v>
      </c>
      <c r="X642" s="1" t="s">
        <v>534</v>
      </c>
      <c r="Y642" s="1" t="s">
        <v>535</v>
      </c>
      <c r="Z642" s="6">
        <v>5.0</v>
      </c>
      <c r="AA642" s="6">
        <v>88456.0</v>
      </c>
      <c r="AB642" s="10">
        <v>0.17</v>
      </c>
      <c r="AC642" s="1" t="s">
        <v>6711</v>
      </c>
      <c r="AD642" s="1" t="s">
        <v>6712</v>
      </c>
      <c r="AE642" s="1" t="s">
        <v>6713</v>
      </c>
      <c r="AF642" s="1" t="s">
        <v>6714</v>
      </c>
      <c r="AG642" s="1" t="s">
        <v>6713</v>
      </c>
      <c r="AH642" s="1" t="s">
        <v>740</v>
      </c>
      <c r="AI642" s="6">
        <v>1085.0</v>
      </c>
      <c r="AJ642" s="1" t="s">
        <v>224</v>
      </c>
      <c r="AK642" s="1" t="s">
        <v>6715</v>
      </c>
      <c r="AL642" s="1" t="s">
        <v>6716</v>
      </c>
      <c r="AM642" s="11" t="str">
        <f>VLOOKUP(N642,Sheet3!$B$4:$C$10,2,1)</f>
        <v>51-60</v>
      </c>
      <c r="AN642" s="12" t="str">
        <f>VLOOKUP(Z642,Sheet3!$F$4:$G$10,2,1)</f>
        <v>5-10</v>
      </c>
      <c r="AO642" s="5" t="str">
        <f>VLOOKUP(AA642,Sheet3!$I$3:$J$16,2,1)</f>
        <v>80000-100000</v>
      </c>
      <c r="AP642" s="5" t="str">
        <f>VLOOKUP(AB642,Sheet3!$L$4:$M$14,2,1)</f>
        <v>16% - 20%</v>
      </c>
    </row>
    <row r="643">
      <c r="A643" s="6">
        <v>888196.0</v>
      </c>
      <c r="B643" s="1" t="s">
        <v>109</v>
      </c>
      <c r="C643" s="1" t="s">
        <v>6717</v>
      </c>
      <c r="D643" s="1" t="s">
        <v>173</v>
      </c>
      <c r="E643" s="1" t="s">
        <v>201</v>
      </c>
      <c r="F643" s="1" t="s">
        <v>46</v>
      </c>
      <c r="G643" s="1" t="s">
        <v>6718</v>
      </c>
      <c r="H643" s="1" t="s">
        <v>5806</v>
      </c>
      <c r="I643" s="1" t="s">
        <v>6719</v>
      </c>
      <c r="J643" s="1" t="s">
        <v>6720</v>
      </c>
      <c r="K643" s="1" t="s">
        <v>2633</v>
      </c>
      <c r="L643" s="9">
        <v>30888.0</v>
      </c>
      <c r="M643" s="8">
        <v>0.3684722222222222</v>
      </c>
      <c r="N643" s="6">
        <v>33.03</v>
      </c>
      <c r="O643" s="6">
        <v>49.0</v>
      </c>
      <c r="P643" s="14">
        <v>40242.0</v>
      </c>
      <c r="Q643" s="1" t="s">
        <v>96</v>
      </c>
      <c r="R643" s="1" t="s">
        <v>76</v>
      </c>
      <c r="S643" s="6">
        <v>2010.0</v>
      </c>
      <c r="T643" s="6">
        <v>3.0</v>
      </c>
      <c r="U643" s="1" t="s">
        <v>97</v>
      </c>
      <c r="V643" s="1" t="s">
        <v>98</v>
      </c>
      <c r="W643" s="6">
        <v>5.0</v>
      </c>
      <c r="X643" s="1" t="s">
        <v>263</v>
      </c>
      <c r="Y643" s="1" t="s">
        <v>264</v>
      </c>
      <c r="Z643" s="6">
        <v>7.4</v>
      </c>
      <c r="AA643" s="6">
        <v>141141.0</v>
      </c>
      <c r="AB643" s="10">
        <v>0.08</v>
      </c>
      <c r="AC643" s="1" t="s">
        <v>6721</v>
      </c>
      <c r="AD643" s="1" t="s">
        <v>6722</v>
      </c>
      <c r="AE643" s="1" t="s">
        <v>6723</v>
      </c>
      <c r="AF643" s="1" t="s">
        <v>5775</v>
      </c>
      <c r="AG643" s="1" t="s">
        <v>6723</v>
      </c>
      <c r="AH643" s="1" t="s">
        <v>1103</v>
      </c>
      <c r="AI643" s="6">
        <v>3466.0</v>
      </c>
      <c r="AJ643" s="1" t="s">
        <v>224</v>
      </c>
      <c r="AK643" s="1" t="s">
        <v>6724</v>
      </c>
      <c r="AL643" s="1" t="s">
        <v>6725</v>
      </c>
      <c r="AM643" s="11" t="str">
        <f>VLOOKUP(N643,Sheet3!$B$4:$C$10,2,1)</f>
        <v>31-40</v>
      </c>
      <c r="AN643" s="12" t="str">
        <f>VLOOKUP(Z643,Sheet3!$F$4:$G$10,2,1)</f>
        <v>5-10</v>
      </c>
      <c r="AO643" s="5" t="str">
        <f>VLOOKUP(AA643,Sheet3!$I$3:$J$16,2,1)</f>
        <v>140000-160000</v>
      </c>
      <c r="AP643" s="5" t="str">
        <f>VLOOKUP(AB643,Sheet3!$L$4:$M$14,2,1)</f>
        <v>5% - 10%</v>
      </c>
    </row>
    <row r="644">
      <c r="A644" s="6">
        <v>696612.0</v>
      </c>
      <c r="B644" s="1" t="s">
        <v>125</v>
      </c>
      <c r="C644" s="1" t="s">
        <v>6726</v>
      </c>
      <c r="D644" s="1" t="s">
        <v>683</v>
      </c>
      <c r="E644" s="1" t="s">
        <v>4091</v>
      </c>
      <c r="F644" s="1" t="s">
        <v>70</v>
      </c>
      <c r="G644" s="1" t="s">
        <v>6727</v>
      </c>
      <c r="H644" s="1" t="s">
        <v>5806</v>
      </c>
      <c r="I644" s="1" t="s">
        <v>6728</v>
      </c>
      <c r="J644" s="1" t="s">
        <v>6729</v>
      </c>
      <c r="K644" s="1" t="s">
        <v>6730</v>
      </c>
      <c r="L644" s="9">
        <v>24219.0</v>
      </c>
      <c r="M644" s="8">
        <v>0.7730092592592592</v>
      </c>
      <c r="N644" s="6">
        <v>51.3</v>
      </c>
      <c r="O644" s="6">
        <v>81.0</v>
      </c>
      <c r="P644" s="9">
        <v>41748.0</v>
      </c>
      <c r="Q644" s="1" t="s">
        <v>75</v>
      </c>
      <c r="R644" s="1" t="s">
        <v>76</v>
      </c>
      <c r="S644" s="6">
        <v>2014.0</v>
      </c>
      <c r="T644" s="6">
        <v>4.0</v>
      </c>
      <c r="U644" s="1" t="s">
        <v>77</v>
      </c>
      <c r="V644" s="1" t="s">
        <v>78</v>
      </c>
      <c r="W644" s="6">
        <v>19.0</v>
      </c>
      <c r="X644" s="1" t="s">
        <v>56</v>
      </c>
      <c r="Y644" s="1" t="s">
        <v>57</v>
      </c>
      <c r="Z644" s="6">
        <v>3.28</v>
      </c>
      <c r="AA644" s="6">
        <v>137843.0</v>
      </c>
      <c r="AB644" s="10">
        <v>0.3</v>
      </c>
      <c r="AC644" s="1" t="s">
        <v>6731</v>
      </c>
      <c r="AD644" s="1" t="s">
        <v>6732</v>
      </c>
      <c r="AE644" s="1" t="s">
        <v>6733</v>
      </c>
      <c r="AF644" s="1" t="s">
        <v>6734</v>
      </c>
      <c r="AG644" s="1" t="s">
        <v>6733</v>
      </c>
      <c r="AH644" s="1" t="s">
        <v>1561</v>
      </c>
      <c r="AI644" s="6">
        <v>54816.0</v>
      </c>
      <c r="AJ644" s="1" t="s">
        <v>86</v>
      </c>
      <c r="AK644" s="1" t="s">
        <v>6735</v>
      </c>
      <c r="AL644" s="1" t="s">
        <v>6736</v>
      </c>
      <c r="AM644" s="11" t="str">
        <f>VLOOKUP(N644,Sheet3!$B$4:$C$10,2,1)</f>
        <v>51-60</v>
      </c>
      <c r="AN644" s="13" t="str">
        <f>VLOOKUP(Z644,Sheet3!$F$4:$G$10,2,1)</f>
        <v>&lt; 5</v>
      </c>
      <c r="AO644" s="5" t="str">
        <f>VLOOKUP(AA644,Sheet3!$I$3:$J$16,2,1)</f>
        <v>120000-140000</v>
      </c>
      <c r="AP644" s="5" t="str">
        <f>VLOOKUP(AB644,Sheet3!$L$4:$M$14,2,1)</f>
        <v>26% - 30%</v>
      </c>
    </row>
    <row r="645">
      <c r="A645" s="6">
        <v>775434.0</v>
      </c>
      <c r="B645" s="1" t="s">
        <v>42</v>
      </c>
      <c r="C645" s="1" t="s">
        <v>6737</v>
      </c>
      <c r="D645" s="1" t="s">
        <v>683</v>
      </c>
      <c r="E645" s="1" t="s">
        <v>307</v>
      </c>
      <c r="F645" s="1" t="s">
        <v>46</v>
      </c>
      <c r="G645" s="1" t="s">
        <v>6738</v>
      </c>
      <c r="H645" s="1" t="s">
        <v>5806</v>
      </c>
      <c r="I645" s="1" t="s">
        <v>6739</v>
      </c>
      <c r="J645" s="1" t="s">
        <v>6740</v>
      </c>
      <c r="K645" s="1" t="s">
        <v>6741</v>
      </c>
      <c r="L645" s="7">
        <v>28470.0</v>
      </c>
      <c r="M645" s="8">
        <v>0.06311342592592592</v>
      </c>
      <c r="N645" s="6">
        <v>39.65</v>
      </c>
      <c r="O645" s="6">
        <v>47.0</v>
      </c>
      <c r="P645" s="14">
        <v>37232.0</v>
      </c>
      <c r="Q645" s="1" t="s">
        <v>52</v>
      </c>
      <c r="R645" s="1" t="s">
        <v>53</v>
      </c>
      <c r="S645" s="6">
        <v>2001.0</v>
      </c>
      <c r="T645" s="6">
        <v>12.0</v>
      </c>
      <c r="U645" s="1" t="s">
        <v>54</v>
      </c>
      <c r="V645" s="1" t="s">
        <v>55</v>
      </c>
      <c r="W645" s="6">
        <v>7.0</v>
      </c>
      <c r="X645" s="1" t="s">
        <v>263</v>
      </c>
      <c r="Y645" s="1" t="s">
        <v>264</v>
      </c>
      <c r="Z645" s="6">
        <v>15.65</v>
      </c>
      <c r="AA645" s="6">
        <v>73471.0</v>
      </c>
      <c r="AB645" s="10">
        <v>0.21</v>
      </c>
      <c r="AC645" s="1" t="s">
        <v>6742</v>
      </c>
      <c r="AD645" s="1" t="s">
        <v>6743</v>
      </c>
      <c r="AE645" s="1" t="s">
        <v>6744</v>
      </c>
      <c r="AF645" s="1" t="s">
        <v>4067</v>
      </c>
      <c r="AG645" s="1" t="s">
        <v>6744</v>
      </c>
      <c r="AH645" s="1" t="s">
        <v>122</v>
      </c>
      <c r="AI645" s="6">
        <v>47037.0</v>
      </c>
      <c r="AJ645" s="1" t="s">
        <v>86</v>
      </c>
      <c r="AK645" s="1" t="s">
        <v>6745</v>
      </c>
      <c r="AL645" s="1" t="s">
        <v>6746</v>
      </c>
      <c r="AM645" s="11" t="str">
        <f>VLOOKUP(N645,Sheet3!$B$4:$C$10,2,1)</f>
        <v>31-40</v>
      </c>
      <c r="AN645" s="12" t="str">
        <f>VLOOKUP(Z645,Sheet3!$F$4:$G$10,2,1)</f>
        <v>11-20</v>
      </c>
      <c r="AO645" s="5" t="str">
        <f>VLOOKUP(AA645,Sheet3!$I$3:$J$16,2,1)</f>
        <v>60000-80000</v>
      </c>
      <c r="AP645" s="5" t="str">
        <f>VLOOKUP(AB645,Sheet3!$L$4:$M$14,2,1)</f>
        <v>21% - 25%</v>
      </c>
    </row>
    <row r="646">
      <c r="A646" s="6">
        <v>860093.0</v>
      </c>
      <c r="B646" s="1" t="s">
        <v>109</v>
      </c>
      <c r="C646" s="1" t="s">
        <v>5580</v>
      </c>
      <c r="D646" s="1" t="s">
        <v>127</v>
      </c>
      <c r="E646" s="1" t="s">
        <v>657</v>
      </c>
      <c r="F646" s="1" t="s">
        <v>46</v>
      </c>
      <c r="G646" s="1" t="s">
        <v>6747</v>
      </c>
      <c r="H646" s="1" t="s">
        <v>5806</v>
      </c>
      <c r="I646" s="1" t="s">
        <v>6748</v>
      </c>
      <c r="J646" s="1" t="s">
        <v>6749</v>
      </c>
      <c r="K646" s="1" t="s">
        <v>408</v>
      </c>
      <c r="L646" s="9">
        <v>25927.0</v>
      </c>
      <c r="M646" s="8">
        <v>0.3047337962962963</v>
      </c>
      <c r="N646" s="6">
        <v>46.62</v>
      </c>
      <c r="O646" s="6">
        <v>41.0</v>
      </c>
      <c r="P646" s="9">
        <v>37645.0</v>
      </c>
      <c r="Q646" s="1" t="s">
        <v>96</v>
      </c>
      <c r="R646" s="1" t="s">
        <v>76</v>
      </c>
      <c r="S646" s="6">
        <v>2003.0</v>
      </c>
      <c r="T646" s="6">
        <v>1.0</v>
      </c>
      <c r="U646" s="1" t="s">
        <v>276</v>
      </c>
      <c r="V646" s="1" t="s">
        <v>277</v>
      </c>
      <c r="W646" s="6">
        <v>24.0</v>
      </c>
      <c r="X646" s="1" t="s">
        <v>263</v>
      </c>
      <c r="Y646" s="1" t="s">
        <v>264</v>
      </c>
      <c r="Z646" s="6">
        <v>14.52</v>
      </c>
      <c r="AA646" s="6">
        <v>119388.0</v>
      </c>
      <c r="AB646" s="10">
        <v>0.24</v>
      </c>
      <c r="AC646" s="1" t="s">
        <v>6750</v>
      </c>
      <c r="AD646" s="1" t="s">
        <v>6751</v>
      </c>
      <c r="AE646" s="1" t="s">
        <v>6752</v>
      </c>
      <c r="AF646" s="1" t="s">
        <v>6753</v>
      </c>
      <c r="AG646" s="1" t="s">
        <v>6752</v>
      </c>
      <c r="AH646" s="1" t="s">
        <v>2028</v>
      </c>
      <c r="AI646" s="6">
        <v>86002.0</v>
      </c>
      <c r="AJ646" s="1" t="s">
        <v>63</v>
      </c>
      <c r="AK646" s="1" t="s">
        <v>6754</v>
      </c>
      <c r="AL646" s="1" t="s">
        <v>6755</v>
      </c>
      <c r="AM646" s="11" t="str">
        <f>VLOOKUP(N646,Sheet3!$B$4:$C$10,2,1)</f>
        <v>41-50</v>
      </c>
      <c r="AN646" s="12" t="str">
        <f>VLOOKUP(Z646,Sheet3!$F$4:$G$10,2,1)</f>
        <v>11-20</v>
      </c>
      <c r="AO646" s="5" t="str">
        <f>VLOOKUP(AA646,Sheet3!$I$3:$J$16,2,1)</f>
        <v>100000-120000</v>
      </c>
      <c r="AP646" s="5" t="str">
        <f>VLOOKUP(AB646,Sheet3!$L$4:$M$14,2,1)</f>
        <v>21% - 25%</v>
      </c>
    </row>
    <row r="647">
      <c r="A647" s="6">
        <v>476072.0</v>
      </c>
      <c r="B647" s="1" t="s">
        <v>125</v>
      </c>
      <c r="C647" s="1" t="s">
        <v>2273</v>
      </c>
      <c r="D647" s="1" t="s">
        <v>173</v>
      </c>
      <c r="E647" s="1" t="s">
        <v>764</v>
      </c>
      <c r="F647" s="1" t="s">
        <v>70</v>
      </c>
      <c r="G647" s="1" t="s">
        <v>6756</v>
      </c>
      <c r="H647" s="1" t="s">
        <v>5806</v>
      </c>
      <c r="I647" s="1" t="s">
        <v>6757</v>
      </c>
      <c r="J647" s="1" t="s">
        <v>6758</v>
      </c>
      <c r="K647" s="1" t="s">
        <v>2165</v>
      </c>
      <c r="L647" s="14">
        <v>27338.0</v>
      </c>
      <c r="M647" s="8">
        <v>0.03612268518518519</v>
      </c>
      <c r="N647" s="6">
        <v>42.76</v>
      </c>
      <c r="O647" s="6">
        <v>88.0</v>
      </c>
      <c r="P647" s="9">
        <v>35116.0</v>
      </c>
      <c r="Q647" s="1" t="s">
        <v>96</v>
      </c>
      <c r="R647" s="1" t="s">
        <v>76</v>
      </c>
      <c r="S647" s="6">
        <v>1996.0</v>
      </c>
      <c r="T647" s="6">
        <v>2.0</v>
      </c>
      <c r="U647" s="1" t="s">
        <v>117</v>
      </c>
      <c r="V647" s="1" t="s">
        <v>118</v>
      </c>
      <c r="W647" s="6">
        <v>21.0</v>
      </c>
      <c r="X647" s="1" t="s">
        <v>278</v>
      </c>
      <c r="Y647" s="1" t="s">
        <v>279</v>
      </c>
      <c r="Z647" s="6">
        <v>21.45</v>
      </c>
      <c r="AA647" s="6">
        <v>93228.0</v>
      </c>
      <c r="AB647" s="10">
        <v>0.22</v>
      </c>
      <c r="AC647" s="1" t="s">
        <v>6759</v>
      </c>
      <c r="AD647" s="1" t="s">
        <v>6760</v>
      </c>
      <c r="AE647" s="1" t="s">
        <v>6761</v>
      </c>
      <c r="AF647" s="1" t="s">
        <v>6762</v>
      </c>
      <c r="AG647" s="1" t="s">
        <v>6761</v>
      </c>
      <c r="AH647" s="1" t="s">
        <v>563</v>
      </c>
      <c r="AI647" s="6">
        <v>25143.0</v>
      </c>
      <c r="AJ647" s="1" t="s">
        <v>106</v>
      </c>
      <c r="AK647" s="1" t="s">
        <v>6763</v>
      </c>
      <c r="AL647" s="1" t="s">
        <v>6764</v>
      </c>
      <c r="AM647" s="11" t="str">
        <f>VLOOKUP(N647,Sheet3!$B$4:$C$10,2,1)</f>
        <v>41-50</v>
      </c>
      <c r="AN647" s="13" t="str">
        <f>VLOOKUP(Z647,Sheet3!$F$4:$G$10,2,1)</f>
        <v>21-30</v>
      </c>
      <c r="AO647" s="5" t="str">
        <f>VLOOKUP(AA647,Sheet3!$I$3:$J$16,2,1)</f>
        <v>80000-100000</v>
      </c>
      <c r="AP647" s="5" t="str">
        <f>VLOOKUP(AB647,Sheet3!$L$4:$M$14,2,1)</f>
        <v>21% - 25%</v>
      </c>
    </row>
    <row r="648">
      <c r="A648" s="6">
        <v>407160.0</v>
      </c>
      <c r="B648" s="1" t="s">
        <v>42</v>
      </c>
      <c r="C648" s="1" t="s">
        <v>6765</v>
      </c>
      <c r="D648" s="1" t="s">
        <v>683</v>
      </c>
      <c r="E648" s="1" t="s">
        <v>3711</v>
      </c>
      <c r="F648" s="1" t="s">
        <v>46</v>
      </c>
      <c r="G648" s="1" t="s">
        <v>6766</v>
      </c>
      <c r="H648" s="1" t="s">
        <v>5806</v>
      </c>
      <c r="I648" s="1" t="s">
        <v>6767</v>
      </c>
      <c r="J648" s="1" t="s">
        <v>6768</v>
      </c>
      <c r="K648" s="1" t="s">
        <v>6769</v>
      </c>
      <c r="L648" s="9">
        <v>23755.0</v>
      </c>
      <c r="M648" s="8">
        <v>0.7038425925925926</v>
      </c>
      <c r="N648" s="6">
        <v>52.57</v>
      </c>
      <c r="O648" s="6">
        <v>52.0</v>
      </c>
      <c r="P648" s="14">
        <v>42043.0</v>
      </c>
      <c r="Q648" s="1" t="s">
        <v>96</v>
      </c>
      <c r="R648" s="1" t="s">
        <v>76</v>
      </c>
      <c r="S648" s="6">
        <v>2015.0</v>
      </c>
      <c r="T648" s="6">
        <v>2.0</v>
      </c>
      <c r="U648" s="1" t="s">
        <v>117</v>
      </c>
      <c r="V648" s="1" t="s">
        <v>118</v>
      </c>
      <c r="W648" s="6">
        <v>8.0</v>
      </c>
      <c r="X648" s="1" t="s">
        <v>534</v>
      </c>
      <c r="Y648" s="1" t="s">
        <v>535</v>
      </c>
      <c r="Z648" s="6">
        <v>2.47</v>
      </c>
      <c r="AA648" s="6">
        <v>186933.0</v>
      </c>
      <c r="AB648" s="10">
        <v>0.08</v>
      </c>
      <c r="AC648" s="1" t="s">
        <v>6770</v>
      </c>
      <c r="AD648" s="1" t="s">
        <v>6771</v>
      </c>
      <c r="AE648" s="1" t="s">
        <v>6325</v>
      </c>
      <c r="AF648" s="1" t="s">
        <v>4666</v>
      </c>
      <c r="AG648" s="1" t="s">
        <v>6325</v>
      </c>
      <c r="AH648" s="1" t="s">
        <v>169</v>
      </c>
      <c r="AI648" s="6">
        <v>78412.0</v>
      </c>
      <c r="AJ648" s="1" t="s">
        <v>106</v>
      </c>
      <c r="AK648" s="1" t="s">
        <v>6772</v>
      </c>
      <c r="AL648" s="1" t="s">
        <v>6773</v>
      </c>
      <c r="AM648" s="11" t="str">
        <f>VLOOKUP(N648,Sheet3!$B$4:$C$10,2,1)</f>
        <v>51-60</v>
      </c>
      <c r="AN648" s="13" t="str">
        <f>VLOOKUP(Z648,Sheet3!$F$4:$G$10,2,1)</f>
        <v>&lt; 5</v>
      </c>
      <c r="AO648" s="5" t="str">
        <f>VLOOKUP(AA648,Sheet3!$I$3:$J$16,2,1)</f>
        <v>180000-200000</v>
      </c>
      <c r="AP648" s="5" t="str">
        <f>VLOOKUP(AB648,Sheet3!$L$4:$M$14,2,1)</f>
        <v>5% - 10%</v>
      </c>
    </row>
    <row r="649">
      <c r="A649" s="6">
        <v>221262.0</v>
      </c>
      <c r="B649" s="1" t="s">
        <v>125</v>
      </c>
      <c r="C649" s="1" t="s">
        <v>6774</v>
      </c>
      <c r="D649" s="1" t="s">
        <v>334</v>
      </c>
      <c r="E649" s="1" t="s">
        <v>1134</v>
      </c>
      <c r="F649" s="1" t="s">
        <v>46</v>
      </c>
      <c r="G649" s="1" t="s">
        <v>6775</v>
      </c>
      <c r="H649" s="1" t="s">
        <v>5806</v>
      </c>
      <c r="I649" s="1" t="s">
        <v>6776</v>
      </c>
      <c r="J649" s="1" t="s">
        <v>6777</v>
      </c>
      <c r="K649" s="1" t="s">
        <v>6778</v>
      </c>
      <c r="L649" s="9">
        <v>22971.0</v>
      </c>
      <c r="M649" s="8">
        <v>0.4340162037037037</v>
      </c>
      <c r="N649" s="6">
        <v>54.72</v>
      </c>
      <c r="O649" s="6">
        <v>44.0</v>
      </c>
      <c r="P649" s="14">
        <v>39363.0</v>
      </c>
      <c r="Q649" s="1" t="s">
        <v>52</v>
      </c>
      <c r="R649" s="1" t="s">
        <v>53</v>
      </c>
      <c r="S649" s="6">
        <v>2007.0</v>
      </c>
      <c r="T649" s="6">
        <v>10.0</v>
      </c>
      <c r="U649" s="1" t="s">
        <v>133</v>
      </c>
      <c r="V649" s="1" t="s">
        <v>134</v>
      </c>
      <c r="W649" s="6">
        <v>8.0</v>
      </c>
      <c r="X649" s="1" t="s">
        <v>99</v>
      </c>
      <c r="Y649" s="1" t="s">
        <v>100</v>
      </c>
      <c r="Z649" s="6">
        <v>9.81</v>
      </c>
      <c r="AA649" s="6">
        <v>90146.0</v>
      </c>
      <c r="AB649" s="10">
        <v>0.02</v>
      </c>
      <c r="AC649" s="1" t="s">
        <v>6779</v>
      </c>
      <c r="AD649" s="1" t="s">
        <v>6780</v>
      </c>
      <c r="AE649" s="1" t="s">
        <v>6781</v>
      </c>
      <c r="AF649" s="1" t="s">
        <v>4860</v>
      </c>
      <c r="AG649" s="1" t="s">
        <v>6781</v>
      </c>
      <c r="AH649" s="1" t="s">
        <v>893</v>
      </c>
      <c r="AI649" s="6">
        <v>27897.0</v>
      </c>
      <c r="AJ649" s="1" t="s">
        <v>106</v>
      </c>
      <c r="AK649" s="1" t="s">
        <v>6782</v>
      </c>
      <c r="AL649" s="1" t="s">
        <v>6783</v>
      </c>
      <c r="AM649" s="11" t="str">
        <f>VLOOKUP(N649,Sheet3!$B$4:$C$10,2,1)</f>
        <v>51-60</v>
      </c>
      <c r="AN649" s="12" t="str">
        <f>VLOOKUP(Z649,Sheet3!$F$4:$G$10,2,1)</f>
        <v>5-10</v>
      </c>
      <c r="AO649" s="5" t="str">
        <f>VLOOKUP(AA649,Sheet3!$I$3:$J$16,2,1)</f>
        <v>80000-100000</v>
      </c>
      <c r="AP649" s="5" t="str">
        <f>VLOOKUP(AB649,Sheet3!$L$4:$M$14,2,1)</f>
        <v>&lt; 5%</v>
      </c>
    </row>
    <row r="650">
      <c r="A650" s="6">
        <v>790187.0</v>
      </c>
      <c r="B650" s="1" t="s">
        <v>66</v>
      </c>
      <c r="C650" s="1" t="s">
        <v>6784</v>
      </c>
      <c r="D650" s="1" t="s">
        <v>318</v>
      </c>
      <c r="E650" s="1" t="s">
        <v>4061</v>
      </c>
      <c r="F650" s="1" t="s">
        <v>70</v>
      </c>
      <c r="G650" s="1" t="s">
        <v>6785</v>
      </c>
      <c r="H650" s="1" t="s">
        <v>5806</v>
      </c>
      <c r="I650" s="1" t="s">
        <v>6786</v>
      </c>
      <c r="J650" s="1" t="s">
        <v>6787</v>
      </c>
      <c r="K650" s="1" t="s">
        <v>1086</v>
      </c>
      <c r="L650" s="7">
        <v>21500.0</v>
      </c>
      <c r="M650" s="8">
        <v>0.40127314814814813</v>
      </c>
      <c r="N650" s="6">
        <v>58.75</v>
      </c>
      <c r="O650" s="6">
        <v>67.0</v>
      </c>
      <c r="P650" s="9">
        <v>41136.0</v>
      </c>
      <c r="Q650" s="1" t="s">
        <v>308</v>
      </c>
      <c r="R650" s="1" t="s">
        <v>53</v>
      </c>
      <c r="S650" s="6">
        <v>2012.0</v>
      </c>
      <c r="T650" s="6">
        <v>8.0</v>
      </c>
      <c r="U650" s="1" t="s">
        <v>433</v>
      </c>
      <c r="V650" s="1" t="s">
        <v>434</v>
      </c>
      <c r="W650" s="6">
        <v>15.0</v>
      </c>
      <c r="X650" s="1" t="s">
        <v>278</v>
      </c>
      <c r="Y650" s="1" t="s">
        <v>279</v>
      </c>
      <c r="Z650" s="6">
        <v>4.95</v>
      </c>
      <c r="AA650" s="6">
        <v>97528.0</v>
      </c>
      <c r="AB650" s="10">
        <v>0.03</v>
      </c>
      <c r="AC650" s="1" t="s">
        <v>6788</v>
      </c>
      <c r="AD650" s="1" t="s">
        <v>6789</v>
      </c>
      <c r="AE650" s="1" t="s">
        <v>6790</v>
      </c>
      <c r="AF650" s="1" t="s">
        <v>2071</v>
      </c>
      <c r="AG650" s="1" t="s">
        <v>6790</v>
      </c>
      <c r="AH650" s="1" t="s">
        <v>1561</v>
      </c>
      <c r="AI650" s="6">
        <v>54748.0</v>
      </c>
      <c r="AJ650" s="1" t="s">
        <v>86</v>
      </c>
      <c r="AK650" s="1" t="s">
        <v>6791</v>
      </c>
      <c r="AL650" s="1" t="s">
        <v>6792</v>
      </c>
      <c r="AM650" s="11" t="str">
        <f>VLOOKUP(N650,Sheet3!$B$4:$C$10,2,1)</f>
        <v>51-60</v>
      </c>
      <c r="AN650" s="13" t="str">
        <f>VLOOKUP(Z650,Sheet3!$F$4:$G$10,2,1)</f>
        <v>&lt; 5</v>
      </c>
      <c r="AO650" s="5" t="str">
        <f>VLOOKUP(AA650,Sheet3!$I$3:$J$16,2,1)</f>
        <v>80000-100000</v>
      </c>
      <c r="AP650" s="5" t="str">
        <f>VLOOKUP(AB650,Sheet3!$L$4:$M$14,2,1)</f>
        <v>&lt; 5%</v>
      </c>
    </row>
    <row r="651">
      <c r="A651" s="6">
        <v>771945.0</v>
      </c>
      <c r="B651" s="1" t="s">
        <v>66</v>
      </c>
      <c r="C651" s="1" t="s">
        <v>6793</v>
      </c>
      <c r="D651" s="1" t="s">
        <v>186</v>
      </c>
      <c r="E651" s="1" t="s">
        <v>5422</v>
      </c>
      <c r="F651" s="1" t="s">
        <v>70</v>
      </c>
      <c r="G651" s="1" t="s">
        <v>6794</v>
      </c>
      <c r="H651" s="1" t="s">
        <v>5806</v>
      </c>
      <c r="I651" s="1" t="s">
        <v>6795</v>
      </c>
      <c r="J651" s="1" t="s">
        <v>6796</v>
      </c>
      <c r="K651" s="1" t="s">
        <v>1225</v>
      </c>
      <c r="L651" s="9">
        <v>22875.0</v>
      </c>
      <c r="M651" s="8">
        <v>0.9293287037037037</v>
      </c>
      <c r="N651" s="6">
        <v>54.98</v>
      </c>
      <c r="O651" s="6">
        <v>71.0</v>
      </c>
      <c r="P651" s="9">
        <v>36452.0</v>
      </c>
      <c r="Q651" s="1" t="s">
        <v>52</v>
      </c>
      <c r="R651" s="1" t="s">
        <v>53</v>
      </c>
      <c r="S651" s="6">
        <v>1999.0</v>
      </c>
      <c r="T651" s="6">
        <v>10.0</v>
      </c>
      <c r="U651" s="1" t="s">
        <v>133</v>
      </c>
      <c r="V651" s="1" t="s">
        <v>134</v>
      </c>
      <c r="W651" s="6">
        <v>19.0</v>
      </c>
      <c r="X651" s="1" t="s">
        <v>79</v>
      </c>
      <c r="Y651" s="1" t="s">
        <v>80</v>
      </c>
      <c r="Z651" s="6">
        <v>17.79</v>
      </c>
      <c r="AA651" s="6">
        <v>114318.0</v>
      </c>
      <c r="AB651" s="10">
        <v>0.16</v>
      </c>
      <c r="AC651" s="1" t="s">
        <v>6797</v>
      </c>
      <c r="AD651" s="1" t="s">
        <v>6798</v>
      </c>
      <c r="AE651" s="1" t="s">
        <v>6799</v>
      </c>
      <c r="AF651" s="1" t="s">
        <v>6800</v>
      </c>
      <c r="AG651" s="1" t="s">
        <v>6799</v>
      </c>
      <c r="AH651" s="1" t="s">
        <v>356</v>
      </c>
      <c r="AI651" s="6">
        <v>13102.0</v>
      </c>
      <c r="AJ651" s="1" t="s">
        <v>224</v>
      </c>
      <c r="AK651" s="1" t="s">
        <v>6801</v>
      </c>
      <c r="AL651" s="1" t="s">
        <v>6802</v>
      </c>
      <c r="AM651" s="11" t="str">
        <f>VLOOKUP(N651,Sheet3!$B$4:$C$10,2,1)</f>
        <v>51-60</v>
      </c>
      <c r="AN651" s="12" t="str">
        <f>VLOOKUP(Z651,Sheet3!$F$4:$G$10,2,1)</f>
        <v>11-20</v>
      </c>
      <c r="AO651" s="5" t="str">
        <f>VLOOKUP(AA651,Sheet3!$I$3:$J$16,2,1)</f>
        <v>100000-120000</v>
      </c>
      <c r="AP651" s="5" t="str">
        <f>VLOOKUP(AB651,Sheet3!$L$4:$M$14,2,1)</f>
        <v>16% - 20%</v>
      </c>
    </row>
    <row r="652">
      <c r="A652" s="6">
        <v>372188.0</v>
      </c>
      <c r="B652" s="1" t="s">
        <v>42</v>
      </c>
      <c r="C652" s="1" t="s">
        <v>6803</v>
      </c>
      <c r="D652" s="1" t="s">
        <v>46</v>
      </c>
      <c r="E652" s="1" t="s">
        <v>3199</v>
      </c>
      <c r="F652" s="1" t="s">
        <v>46</v>
      </c>
      <c r="G652" s="1" t="s">
        <v>6804</v>
      </c>
      <c r="H652" s="1" t="s">
        <v>5806</v>
      </c>
      <c r="I652" s="1" t="s">
        <v>6805</v>
      </c>
      <c r="J652" s="1" t="s">
        <v>6806</v>
      </c>
      <c r="K652" s="1" t="s">
        <v>1509</v>
      </c>
      <c r="L652" s="14">
        <v>31542.0</v>
      </c>
      <c r="M652" s="8">
        <v>0.12409722222222222</v>
      </c>
      <c r="N652" s="6">
        <v>31.24</v>
      </c>
      <c r="O652" s="6">
        <v>42.0</v>
      </c>
      <c r="P652" s="14">
        <v>42864.0</v>
      </c>
      <c r="Q652" s="1" t="s">
        <v>75</v>
      </c>
      <c r="R652" s="1" t="s">
        <v>76</v>
      </c>
      <c r="S652" s="6">
        <v>2017.0</v>
      </c>
      <c r="T652" s="6">
        <v>5.0</v>
      </c>
      <c r="U652" s="1" t="s">
        <v>294</v>
      </c>
      <c r="V652" s="1" t="s">
        <v>294</v>
      </c>
      <c r="W652" s="6">
        <v>9.0</v>
      </c>
      <c r="X652" s="1" t="s">
        <v>79</v>
      </c>
      <c r="Y652" s="1" t="s">
        <v>80</v>
      </c>
      <c r="Z652" s="6">
        <v>0.22</v>
      </c>
      <c r="AA652" s="6">
        <v>137142.0</v>
      </c>
      <c r="AB652" s="10">
        <v>0.25</v>
      </c>
      <c r="AC652" s="1" t="s">
        <v>6807</v>
      </c>
      <c r="AD652" s="1" t="s">
        <v>6808</v>
      </c>
      <c r="AE652" s="1" t="s">
        <v>6809</v>
      </c>
      <c r="AF652" s="1" t="s">
        <v>623</v>
      </c>
      <c r="AG652" s="1" t="s">
        <v>6809</v>
      </c>
      <c r="AH652" s="1" t="s">
        <v>223</v>
      </c>
      <c r="AI652" s="6">
        <v>16041.0</v>
      </c>
      <c r="AJ652" s="1" t="s">
        <v>224</v>
      </c>
      <c r="AK652" s="1" t="s">
        <v>6810</v>
      </c>
      <c r="AL652" s="1" t="s">
        <v>6811</v>
      </c>
      <c r="AM652" s="11" t="str">
        <f>VLOOKUP(N652,Sheet3!$B$4:$C$10,2,1)</f>
        <v>31-40</v>
      </c>
      <c r="AN652" s="13" t="str">
        <f>VLOOKUP(Z652,Sheet3!$F$4:$G$10,2,1)</f>
        <v>&lt; 5</v>
      </c>
      <c r="AO652" s="5" t="str">
        <f>VLOOKUP(AA652,Sheet3!$I$3:$J$16,2,1)</f>
        <v>120000-140000</v>
      </c>
      <c r="AP652" s="5" t="str">
        <f>VLOOKUP(AB652,Sheet3!$L$4:$M$14,2,1)</f>
        <v>21% - 25%</v>
      </c>
    </row>
    <row r="653">
      <c r="A653" s="6">
        <v>657125.0</v>
      </c>
      <c r="B653" s="1" t="s">
        <v>109</v>
      </c>
      <c r="C653" s="1" t="s">
        <v>6812</v>
      </c>
      <c r="D653" s="1" t="s">
        <v>111</v>
      </c>
      <c r="E653" s="1" t="s">
        <v>63</v>
      </c>
      <c r="F653" s="1" t="s">
        <v>46</v>
      </c>
      <c r="G653" s="1" t="s">
        <v>6813</v>
      </c>
      <c r="H653" s="1" t="s">
        <v>5806</v>
      </c>
      <c r="I653" s="1" t="s">
        <v>6814</v>
      </c>
      <c r="J653" s="1" t="s">
        <v>6815</v>
      </c>
      <c r="K653" s="1" t="s">
        <v>6816</v>
      </c>
      <c r="L653" s="14">
        <v>26338.0</v>
      </c>
      <c r="M653" s="8">
        <v>0.3773958333333333</v>
      </c>
      <c r="N653" s="6">
        <v>45.5</v>
      </c>
      <c r="O653" s="6">
        <v>56.0</v>
      </c>
      <c r="P653" s="14">
        <v>36501.0</v>
      </c>
      <c r="Q653" s="1" t="s">
        <v>52</v>
      </c>
      <c r="R653" s="1" t="s">
        <v>53</v>
      </c>
      <c r="S653" s="6">
        <v>1999.0</v>
      </c>
      <c r="T653" s="6">
        <v>12.0</v>
      </c>
      <c r="U653" s="1" t="s">
        <v>54</v>
      </c>
      <c r="V653" s="1" t="s">
        <v>55</v>
      </c>
      <c r="W653" s="6">
        <v>7.0</v>
      </c>
      <c r="X653" s="1" t="s">
        <v>79</v>
      </c>
      <c r="Y653" s="1" t="s">
        <v>80</v>
      </c>
      <c r="Z653" s="6">
        <v>17.65</v>
      </c>
      <c r="AA653" s="6">
        <v>79089.0</v>
      </c>
      <c r="AB653" s="10">
        <v>0.22</v>
      </c>
      <c r="AC653" s="1" t="s">
        <v>6817</v>
      </c>
      <c r="AD653" s="1" t="s">
        <v>6818</v>
      </c>
      <c r="AE653" s="1" t="s">
        <v>2770</v>
      </c>
      <c r="AF653" s="1" t="s">
        <v>1439</v>
      </c>
      <c r="AG653" s="1" t="s">
        <v>2770</v>
      </c>
      <c r="AH653" s="1" t="s">
        <v>196</v>
      </c>
      <c r="AI653" s="6">
        <v>37320.0</v>
      </c>
      <c r="AJ653" s="1" t="s">
        <v>106</v>
      </c>
      <c r="AK653" s="1" t="s">
        <v>6819</v>
      </c>
      <c r="AL653" s="1" t="s">
        <v>6820</v>
      </c>
      <c r="AM653" s="11" t="str">
        <f>VLOOKUP(N653,Sheet3!$B$4:$C$10,2,1)</f>
        <v>41-50</v>
      </c>
      <c r="AN653" s="12" t="str">
        <f>VLOOKUP(Z653,Sheet3!$F$4:$G$10,2,1)</f>
        <v>11-20</v>
      </c>
      <c r="AO653" s="5" t="str">
        <f>VLOOKUP(AA653,Sheet3!$I$3:$J$16,2,1)</f>
        <v>60000-80000</v>
      </c>
      <c r="AP653" s="5" t="str">
        <f>VLOOKUP(AB653,Sheet3!$L$4:$M$14,2,1)</f>
        <v>21% - 25%</v>
      </c>
    </row>
    <row r="654">
      <c r="A654" s="6">
        <v>489761.0</v>
      </c>
      <c r="B654" s="1" t="s">
        <v>42</v>
      </c>
      <c r="C654" s="1" t="s">
        <v>6821</v>
      </c>
      <c r="D654" s="1" t="s">
        <v>861</v>
      </c>
      <c r="E654" s="1" t="s">
        <v>6822</v>
      </c>
      <c r="F654" s="1" t="s">
        <v>46</v>
      </c>
      <c r="G654" s="1" t="s">
        <v>6823</v>
      </c>
      <c r="H654" s="1" t="s">
        <v>5806</v>
      </c>
      <c r="I654" s="1" t="s">
        <v>6824</v>
      </c>
      <c r="J654" s="1" t="s">
        <v>6825</v>
      </c>
      <c r="K654" s="1" t="s">
        <v>3026</v>
      </c>
      <c r="L654" s="9">
        <v>35018.0</v>
      </c>
      <c r="M654" s="8">
        <v>0.5255902777777778</v>
      </c>
      <c r="N654" s="6">
        <v>21.72</v>
      </c>
      <c r="O654" s="6">
        <v>42.0</v>
      </c>
      <c r="P654" s="9">
        <v>42824.0</v>
      </c>
      <c r="Q654" s="1" t="s">
        <v>96</v>
      </c>
      <c r="R654" s="1" t="s">
        <v>76</v>
      </c>
      <c r="S654" s="6">
        <v>2017.0</v>
      </c>
      <c r="T654" s="6">
        <v>3.0</v>
      </c>
      <c r="U654" s="1" t="s">
        <v>97</v>
      </c>
      <c r="V654" s="1" t="s">
        <v>98</v>
      </c>
      <c r="W654" s="6">
        <v>30.0</v>
      </c>
      <c r="X654" s="1" t="s">
        <v>150</v>
      </c>
      <c r="Y654" s="1" t="s">
        <v>151</v>
      </c>
      <c r="Z654" s="6">
        <v>0.33</v>
      </c>
      <c r="AA654" s="6">
        <v>171987.0</v>
      </c>
      <c r="AB654" s="10">
        <v>0.11</v>
      </c>
      <c r="AC654" s="1" t="s">
        <v>6826</v>
      </c>
      <c r="AD654" s="1" t="s">
        <v>6827</v>
      </c>
      <c r="AE654" s="1" t="s">
        <v>237</v>
      </c>
      <c r="AF654" s="1" t="s">
        <v>237</v>
      </c>
      <c r="AG654" s="1" t="s">
        <v>237</v>
      </c>
      <c r="AH654" s="1" t="s">
        <v>238</v>
      </c>
      <c r="AI654" s="6">
        <v>90055.0</v>
      </c>
      <c r="AJ654" s="1" t="s">
        <v>63</v>
      </c>
      <c r="AK654" s="1" t="s">
        <v>6828</v>
      </c>
      <c r="AL654" s="1" t="s">
        <v>6829</v>
      </c>
      <c r="AM654" s="11" t="str">
        <f>VLOOKUP(N654,Sheet3!$B$4:$C$10,2,1)</f>
        <v>21-30</v>
      </c>
      <c r="AN654" s="13" t="str">
        <f>VLOOKUP(Z654,Sheet3!$F$4:$G$10,2,1)</f>
        <v>&lt; 5</v>
      </c>
      <c r="AO654" s="5" t="str">
        <f>VLOOKUP(AA654,Sheet3!$I$3:$J$16,2,1)</f>
        <v>160000-180000</v>
      </c>
      <c r="AP654" s="5" t="str">
        <f>VLOOKUP(AB654,Sheet3!$L$4:$M$14,2,1)</f>
        <v>11% - 15%</v>
      </c>
    </row>
    <row r="655">
      <c r="A655" s="6">
        <v>651738.0</v>
      </c>
      <c r="B655" s="1" t="s">
        <v>66</v>
      </c>
      <c r="C655" s="1" t="s">
        <v>6830</v>
      </c>
      <c r="D655" s="1" t="s">
        <v>200</v>
      </c>
      <c r="E655" s="1" t="s">
        <v>4238</v>
      </c>
      <c r="F655" s="1" t="s">
        <v>70</v>
      </c>
      <c r="G655" s="1" t="s">
        <v>6831</v>
      </c>
      <c r="H655" s="1" t="s">
        <v>5806</v>
      </c>
      <c r="I655" s="1" t="s">
        <v>6832</v>
      </c>
      <c r="J655" s="1" t="s">
        <v>6833</v>
      </c>
      <c r="K655" s="1" t="s">
        <v>6834</v>
      </c>
      <c r="L655" s="14">
        <v>21984.0</v>
      </c>
      <c r="M655" s="8">
        <v>0.6753935185185185</v>
      </c>
      <c r="N655" s="6">
        <v>57.42</v>
      </c>
      <c r="O655" s="6">
        <v>55.0</v>
      </c>
      <c r="P655" s="9">
        <v>33996.0</v>
      </c>
      <c r="Q655" s="1" t="s">
        <v>96</v>
      </c>
      <c r="R655" s="1" t="s">
        <v>76</v>
      </c>
      <c r="S655" s="6">
        <v>1993.0</v>
      </c>
      <c r="T655" s="6">
        <v>1.0</v>
      </c>
      <c r="U655" s="1" t="s">
        <v>276</v>
      </c>
      <c r="V655" s="1" t="s">
        <v>277</v>
      </c>
      <c r="W655" s="6">
        <v>27.0</v>
      </c>
      <c r="X655" s="1" t="s">
        <v>278</v>
      </c>
      <c r="Y655" s="1" t="s">
        <v>279</v>
      </c>
      <c r="Z655" s="6">
        <v>24.52</v>
      </c>
      <c r="AA655" s="6">
        <v>127075.0</v>
      </c>
      <c r="AB655" s="10">
        <v>0.12</v>
      </c>
      <c r="AC655" s="1" t="s">
        <v>6835</v>
      </c>
      <c r="AD655" s="1" t="s">
        <v>6836</v>
      </c>
      <c r="AE655" s="1" t="s">
        <v>6837</v>
      </c>
      <c r="AF655" s="1" t="s">
        <v>6837</v>
      </c>
      <c r="AG655" s="1" t="s">
        <v>6837</v>
      </c>
      <c r="AH655" s="1" t="s">
        <v>2483</v>
      </c>
      <c r="AI655" s="6">
        <v>29307.0</v>
      </c>
      <c r="AJ655" s="1" t="s">
        <v>106</v>
      </c>
      <c r="AK655" s="1" t="s">
        <v>6838</v>
      </c>
      <c r="AL655" s="1" t="s">
        <v>6839</v>
      </c>
      <c r="AM655" s="11" t="str">
        <f>VLOOKUP(N655,Sheet3!$B$4:$C$10,2,1)</f>
        <v>51-60</v>
      </c>
      <c r="AN655" s="13" t="str">
        <f>VLOOKUP(Z655,Sheet3!$F$4:$G$10,2,1)</f>
        <v>21-30</v>
      </c>
      <c r="AO655" s="5" t="str">
        <f>VLOOKUP(AA655,Sheet3!$I$3:$J$16,2,1)</f>
        <v>120000-140000</v>
      </c>
      <c r="AP655" s="5" t="str">
        <f>VLOOKUP(AB655,Sheet3!$L$4:$M$14,2,1)</f>
        <v>11% - 15%</v>
      </c>
    </row>
    <row r="656">
      <c r="A656" s="6">
        <v>463929.0</v>
      </c>
      <c r="B656" s="1" t="s">
        <v>66</v>
      </c>
      <c r="C656" s="1" t="s">
        <v>6840</v>
      </c>
      <c r="D656" s="1" t="s">
        <v>318</v>
      </c>
      <c r="E656" s="1" t="s">
        <v>3431</v>
      </c>
      <c r="F656" s="1" t="s">
        <v>70</v>
      </c>
      <c r="G656" s="1" t="s">
        <v>6841</v>
      </c>
      <c r="H656" s="1" t="s">
        <v>6842</v>
      </c>
      <c r="I656" s="1" t="s">
        <v>6843</v>
      </c>
      <c r="J656" s="1" t="s">
        <v>6844</v>
      </c>
      <c r="K656" s="1" t="s">
        <v>1066</v>
      </c>
      <c r="L656" s="14">
        <v>30988.0</v>
      </c>
      <c r="M656" s="8">
        <v>0.8156828703703703</v>
      </c>
      <c r="N656" s="6">
        <v>32.76</v>
      </c>
      <c r="O656" s="6">
        <v>70.0</v>
      </c>
      <c r="P656" s="14">
        <v>38904.0</v>
      </c>
      <c r="Q656" s="1" t="s">
        <v>308</v>
      </c>
      <c r="R656" s="1" t="s">
        <v>53</v>
      </c>
      <c r="S656" s="6">
        <v>2006.0</v>
      </c>
      <c r="T656" s="6">
        <v>7.0</v>
      </c>
      <c r="U656" s="1" t="s">
        <v>366</v>
      </c>
      <c r="V656" s="1" t="s">
        <v>367</v>
      </c>
      <c r="W656" s="6">
        <v>6.0</v>
      </c>
      <c r="X656" s="1" t="s">
        <v>150</v>
      </c>
      <c r="Y656" s="1" t="s">
        <v>151</v>
      </c>
      <c r="Z656" s="6">
        <v>11.07</v>
      </c>
      <c r="AA656" s="6">
        <v>70471.0</v>
      </c>
      <c r="AB656" s="10">
        <v>0.18</v>
      </c>
      <c r="AC656" s="1" t="s">
        <v>6845</v>
      </c>
      <c r="AD656" s="1" t="s">
        <v>6846</v>
      </c>
      <c r="AE656" s="1" t="s">
        <v>6847</v>
      </c>
      <c r="AF656" s="1" t="s">
        <v>1343</v>
      </c>
      <c r="AG656" s="1" t="s">
        <v>6847</v>
      </c>
      <c r="AH656" s="1" t="s">
        <v>740</v>
      </c>
      <c r="AI656" s="6">
        <v>2459.0</v>
      </c>
      <c r="AJ656" s="1" t="s">
        <v>224</v>
      </c>
      <c r="AK656" s="1" t="s">
        <v>6848</v>
      </c>
      <c r="AL656" s="1" t="s">
        <v>6849</v>
      </c>
      <c r="AM656" s="11" t="str">
        <f>VLOOKUP(N656,Sheet3!$B$4:$C$10,2,1)</f>
        <v>31-40</v>
      </c>
      <c r="AN656" s="12" t="str">
        <f>VLOOKUP(Z656,Sheet3!$F$4:$G$10,2,1)</f>
        <v>11-20</v>
      </c>
      <c r="AO656" s="5" t="str">
        <f>VLOOKUP(AA656,Sheet3!$I$3:$J$16,2,1)</f>
        <v>60000-80000</v>
      </c>
      <c r="AP656" s="5" t="str">
        <f>VLOOKUP(AB656,Sheet3!$L$4:$M$14,2,1)</f>
        <v>16% - 20%</v>
      </c>
    </row>
    <row r="657">
      <c r="A657" s="6">
        <v>521878.0</v>
      </c>
      <c r="B657" s="1" t="s">
        <v>255</v>
      </c>
      <c r="C657" s="1" t="s">
        <v>6618</v>
      </c>
      <c r="D657" s="1" t="s">
        <v>1300</v>
      </c>
      <c r="E657" s="1" t="s">
        <v>848</v>
      </c>
      <c r="F657" s="1" t="s">
        <v>70</v>
      </c>
      <c r="G657" s="1" t="s">
        <v>6850</v>
      </c>
      <c r="H657" s="1" t="s">
        <v>6842</v>
      </c>
      <c r="I657" s="1" t="s">
        <v>6851</v>
      </c>
      <c r="J657" s="1" t="s">
        <v>6852</v>
      </c>
      <c r="K657" s="1" t="s">
        <v>6853</v>
      </c>
      <c r="L657" s="14">
        <v>31597.0</v>
      </c>
      <c r="M657" s="8">
        <v>0.4739583333333333</v>
      </c>
      <c r="N657" s="6">
        <v>31.09</v>
      </c>
      <c r="O657" s="6">
        <v>71.0</v>
      </c>
      <c r="P657" s="9">
        <v>42361.0</v>
      </c>
      <c r="Q657" s="1" t="s">
        <v>52</v>
      </c>
      <c r="R657" s="1" t="s">
        <v>53</v>
      </c>
      <c r="S657" s="6">
        <v>2015.0</v>
      </c>
      <c r="T657" s="6">
        <v>12.0</v>
      </c>
      <c r="U657" s="1" t="s">
        <v>54</v>
      </c>
      <c r="V657" s="1" t="s">
        <v>55</v>
      </c>
      <c r="W657" s="6">
        <v>23.0</v>
      </c>
      <c r="X657" s="1" t="s">
        <v>278</v>
      </c>
      <c r="Y657" s="1" t="s">
        <v>279</v>
      </c>
      <c r="Z657" s="6">
        <v>1.6</v>
      </c>
      <c r="AA657" s="6">
        <v>84296.0</v>
      </c>
      <c r="AB657" s="10">
        <v>0.23</v>
      </c>
      <c r="AC657" s="1" t="s">
        <v>6854</v>
      </c>
      <c r="AD657" s="1" t="s">
        <v>6855</v>
      </c>
      <c r="AE657" s="1" t="s">
        <v>69</v>
      </c>
      <c r="AF657" s="1" t="s">
        <v>2267</v>
      </c>
      <c r="AG657" s="1" t="s">
        <v>69</v>
      </c>
      <c r="AH657" s="1" t="s">
        <v>356</v>
      </c>
      <c r="AI657" s="6">
        <v>12917.0</v>
      </c>
      <c r="AJ657" s="1" t="s">
        <v>224</v>
      </c>
      <c r="AK657" s="1" t="s">
        <v>6856</v>
      </c>
      <c r="AL657" s="1" t="s">
        <v>6857</v>
      </c>
      <c r="AM657" s="11" t="str">
        <f>VLOOKUP(N657,Sheet3!$B$4:$C$10,2,1)</f>
        <v>31-40</v>
      </c>
      <c r="AN657" s="13" t="str">
        <f>VLOOKUP(Z657,Sheet3!$F$4:$G$10,2,1)</f>
        <v>&lt; 5</v>
      </c>
      <c r="AO657" s="5" t="str">
        <f>VLOOKUP(AA657,Sheet3!$I$3:$J$16,2,1)</f>
        <v>80000-100000</v>
      </c>
      <c r="AP657" s="5" t="str">
        <f>VLOOKUP(AB657,Sheet3!$L$4:$M$14,2,1)</f>
        <v>21% - 25%</v>
      </c>
    </row>
    <row r="658">
      <c r="A658" s="6">
        <v>697802.0</v>
      </c>
      <c r="B658" s="1" t="s">
        <v>42</v>
      </c>
      <c r="C658" s="1" t="s">
        <v>6858</v>
      </c>
      <c r="D658" s="1" t="s">
        <v>1663</v>
      </c>
      <c r="E658" s="1" t="s">
        <v>1244</v>
      </c>
      <c r="F658" s="1" t="s">
        <v>46</v>
      </c>
      <c r="G658" s="1" t="s">
        <v>6859</v>
      </c>
      <c r="H658" s="1" t="s">
        <v>6842</v>
      </c>
      <c r="I658" s="1" t="s">
        <v>6860</v>
      </c>
      <c r="J658" s="1" t="s">
        <v>6861</v>
      </c>
      <c r="K658" s="1" t="s">
        <v>5412</v>
      </c>
      <c r="L658" s="14">
        <v>32204.0</v>
      </c>
      <c r="M658" s="8">
        <v>0.20526620370370371</v>
      </c>
      <c r="N658" s="6">
        <v>29.42</v>
      </c>
      <c r="O658" s="6">
        <v>42.0</v>
      </c>
      <c r="P658" s="9">
        <v>40376.0</v>
      </c>
      <c r="Q658" s="1" t="s">
        <v>308</v>
      </c>
      <c r="R658" s="1" t="s">
        <v>53</v>
      </c>
      <c r="S658" s="6">
        <v>2010.0</v>
      </c>
      <c r="T658" s="6">
        <v>7.0</v>
      </c>
      <c r="U658" s="1" t="s">
        <v>366</v>
      </c>
      <c r="V658" s="1" t="s">
        <v>367</v>
      </c>
      <c r="W658" s="6">
        <v>17.0</v>
      </c>
      <c r="X658" s="1" t="s">
        <v>56</v>
      </c>
      <c r="Y658" s="1" t="s">
        <v>57</v>
      </c>
      <c r="Z658" s="6">
        <v>7.04</v>
      </c>
      <c r="AA658" s="6">
        <v>140782.0</v>
      </c>
      <c r="AB658" s="10">
        <v>0.24</v>
      </c>
      <c r="AC658" s="1" t="s">
        <v>6862</v>
      </c>
      <c r="AD658" s="1" t="s">
        <v>6863</v>
      </c>
      <c r="AE658" s="1" t="s">
        <v>3054</v>
      </c>
      <c r="AF658" s="1" t="s">
        <v>6864</v>
      </c>
      <c r="AG658" s="1" t="s">
        <v>3054</v>
      </c>
      <c r="AH658" s="1" t="s">
        <v>385</v>
      </c>
      <c r="AI658" s="6">
        <v>99030.0</v>
      </c>
      <c r="AJ658" s="1" t="s">
        <v>63</v>
      </c>
      <c r="AK658" s="1" t="s">
        <v>6865</v>
      </c>
      <c r="AL658" s="1" t="s">
        <v>6866</v>
      </c>
      <c r="AM658" s="11" t="str">
        <f>VLOOKUP(N658,Sheet3!$B$4:$C$10,2,1)</f>
        <v>21-30</v>
      </c>
      <c r="AN658" s="12" t="str">
        <f>VLOOKUP(Z658,Sheet3!$F$4:$G$10,2,1)</f>
        <v>5-10</v>
      </c>
      <c r="AO658" s="5" t="str">
        <f>VLOOKUP(AA658,Sheet3!$I$3:$J$16,2,1)</f>
        <v>140000-160000</v>
      </c>
      <c r="AP658" s="5" t="str">
        <f>VLOOKUP(AB658,Sheet3!$L$4:$M$14,2,1)</f>
        <v>21% - 25%</v>
      </c>
    </row>
    <row r="659">
      <c r="A659" s="6">
        <v>842936.0</v>
      </c>
      <c r="B659" s="1" t="s">
        <v>42</v>
      </c>
      <c r="C659" s="1" t="s">
        <v>6867</v>
      </c>
      <c r="D659" s="1" t="s">
        <v>861</v>
      </c>
      <c r="E659" s="1" t="s">
        <v>5253</v>
      </c>
      <c r="F659" s="1" t="s">
        <v>46</v>
      </c>
      <c r="G659" s="1" t="s">
        <v>6868</v>
      </c>
      <c r="H659" s="1" t="s">
        <v>6842</v>
      </c>
      <c r="I659" s="1" t="s">
        <v>6869</v>
      </c>
      <c r="J659" s="1" t="s">
        <v>6870</v>
      </c>
      <c r="K659" s="1" t="s">
        <v>1130</v>
      </c>
      <c r="L659" s="9">
        <v>29370.0</v>
      </c>
      <c r="M659" s="8">
        <v>0.17797453703703703</v>
      </c>
      <c r="N659" s="6">
        <v>37.19</v>
      </c>
      <c r="O659" s="6">
        <v>40.0</v>
      </c>
      <c r="P659" s="14">
        <v>37470.0</v>
      </c>
      <c r="Q659" s="1" t="s">
        <v>308</v>
      </c>
      <c r="R659" s="1" t="s">
        <v>53</v>
      </c>
      <c r="S659" s="6">
        <v>2002.0</v>
      </c>
      <c r="T659" s="6">
        <v>8.0</v>
      </c>
      <c r="U659" s="1" t="s">
        <v>433</v>
      </c>
      <c r="V659" s="1" t="s">
        <v>434</v>
      </c>
      <c r="W659" s="6">
        <v>2.0</v>
      </c>
      <c r="X659" s="1" t="s">
        <v>263</v>
      </c>
      <c r="Y659" s="1" t="s">
        <v>264</v>
      </c>
      <c r="Z659" s="6">
        <v>15.0</v>
      </c>
      <c r="AA659" s="6">
        <v>147448.0</v>
      </c>
      <c r="AB659" s="10">
        <v>0.01</v>
      </c>
      <c r="AC659" s="1" t="s">
        <v>6871</v>
      </c>
      <c r="AD659" s="1" t="s">
        <v>6872</v>
      </c>
      <c r="AE659" s="1" t="s">
        <v>3577</v>
      </c>
      <c r="AF659" s="1" t="s">
        <v>1424</v>
      </c>
      <c r="AG659" s="1" t="s">
        <v>3577</v>
      </c>
      <c r="AH659" s="1" t="s">
        <v>1032</v>
      </c>
      <c r="AI659" s="6">
        <v>66225.0</v>
      </c>
      <c r="AJ659" s="1" t="s">
        <v>86</v>
      </c>
      <c r="AK659" s="1" t="s">
        <v>6873</v>
      </c>
      <c r="AL659" s="1" t="s">
        <v>6874</v>
      </c>
      <c r="AM659" s="11" t="str">
        <f>VLOOKUP(N659,Sheet3!$B$4:$C$10,2,1)</f>
        <v>31-40</v>
      </c>
      <c r="AN659" s="12" t="str">
        <f>VLOOKUP(Z659,Sheet3!$F$4:$G$10,2,1)</f>
        <v>11-20</v>
      </c>
      <c r="AO659" s="5" t="str">
        <f>VLOOKUP(AA659,Sheet3!$I$3:$J$16,2,1)</f>
        <v>140000-160000</v>
      </c>
      <c r="AP659" s="5" t="str">
        <f>VLOOKUP(AB659,Sheet3!$L$4:$M$14,2,1)</f>
        <v>&lt; 5%</v>
      </c>
    </row>
    <row r="660">
      <c r="A660" s="6">
        <v>333260.0</v>
      </c>
      <c r="B660" s="1" t="s">
        <v>66</v>
      </c>
      <c r="C660" s="1" t="s">
        <v>6875</v>
      </c>
      <c r="D660" s="1" t="s">
        <v>70</v>
      </c>
      <c r="E660" s="1" t="s">
        <v>467</v>
      </c>
      <c r="F660" s="1" t="s">
        <v>70</v>
      </c>
      <c r="G660" s="1" t="s">
        <v>6876</v>
      </c>
      <c r="H660" s="1" t="s">
        <v>6842</v>
      </c>
      <c r="I660" s="1" t="s">
        <v>6877</v>
      </c>
      <c r="J660" s="1" t="s">
        <v>6878</v>
      </c>
      <c r="K660" s="1" t="s">
        <v>6879</v>
      </c>
      <c r="L660" s="14">
        <v>21738.0</v>
      </c>
      <c r="M660" s="8">
        <v>0.6272569444444445</v>
      </c>
      <c r="N660" s="6">
        <v>58.1</v>
      </c>
      <c r="O660" s="6">
        <v>63.0</v>
      </c>
      <c r="P660" s="9">
        <v>39382.0</v>
      </c>
      <c r="Q660" s="1" t="s">
        <v>52</v>
      </c>
      <c r="R660" s="1" t="s">
        <v>53</v>
      </c>
      <c r="S660" s="6">
        <v>2007.0</v>
      </c>
      <c r="T660" s="6">
        <v>10.0</v>
      </c>
      <c r="U660" s="1" t="s">
        <v>133</v>
      </c>
      <c r="V660" s="1" t="s">
        <v>134</v>
      </c>
      <c r="W660" s="6">
        <v>27.0</v>
      </c>
      <c r="X660" s="1" t="s">
        <v>56</v>
      </c>
      <c r="Y660" s="1" t="s">
        <v>57</v>
      </c>
      <c r="Z660" s="6">
        <v>9.76</v>
      </c>
      <c r="AA660" s="6">
        <v>109080.0</v>
      </c>
      <c r="AB660" s="10">
        <v>0.13</v>
      </c>
      <c r="AC660" s="1" t="s">
        <v>6880</v>
      </c>
      <c r="AD660" s="1" t="s">
        <v>6881</v>
      </c>
      <c r="AE660" s="1" t="s">
        <v>6882</v>
      </c>
      <c r="AF660" s="1" t="s">
        <v>6883</v>
      </c>
      <c r="AG660" s="1" t="s">
        <v>6882</v>
      </c>
      <c r="AH660" s="1" t="s">
        <v>223</v>
      </c>
      <c r="AI660" s="6">
        <v>17881.0</v>
      </c>
      <c r="AJ660" s="1" t="s">
        <v>224</v>
      </c>
      <c r="AK660" s="1" t="s">
        <v>6884</v>
      </c>
      <c r="AL660" s="1" t="s">
        <v>6885</v>
      </c>
      <c r="AM660" s="11" t="str">
        <f>VLOOKUP(N660,Sheet3!$B$4:$C$10,2,1)</f>
        <v>51-60</v>
      </c>
      <c r="AN660" s="12" t="str">
        <f>VLOOKUP(Z660,Sheet3!$F$4:$G$10,2,1)</f>
        <v>5-10</v>
      </c>
      <c r="AO660" s="5" t="str">
        <f>VLOOKUP(AA660,Sheet3!$I$3:$J$16,2,1)</f>
        <v>100000-120000</v>
      </c>
      <c r="AP660" s="5" t="str">
        <f>VLOOKUP(AB660,Sheet3!$L$4:$M$14,2,1)</f>
        <v>11% - 15%</v>
      </c>
    </row>
    <row r="661">
      <c r="A661" s="6">
        <v>696218.0</v>
      </c>
      <c r="B661" s="1" t="s">
        <v>109</v>
      </c>
      <c r="C661" s="1" t="s">
        <v>6886</v>
      </c>
      <c r="D661" s="1" t="s">
        <v>389</v>
      </c>
      <c r="E661" s="1" t="s">
        <v>2371</v>
      </c>
      <c r="F661" s="1" t="s">
        <v>46</v>
      </c>
      <c r="G661" s="1" t="s">
        <v>6887</v>
      </c>
      <c r="H661" s="1" t="s">
        <v>6842</v>
      </c>
      <c r="I661" s="1" t="s">
        <v>6888</v>
      </c>
      <c r="J661" s="1" t="s">
        <v>6889</v>
      </c>
      <c r="K661" s="1" t="s">
        <v>2141</v>
      </c>
      <c r="L661" s="9">
        <v>21322.0</v>
      </c>
      <c r="M661" s="8">
        <v>0.9365856481481482</v>
      </c>
      <c r="N661" s="6">
        <v>59.24</v>
      </c>
      <c r="O661" s="6">
        <v>47.0</v>
      </c>
      <c r="P661" s="9">
        <v>36912.0</v>
      </c>
      <c r="Q661" s="1" t="s">
        <v>96</v>
      </c>
      <c r="R661" s="1" t="s">
        <v>76</v>
      </c>
      <c r="S661" s="6">
        <v>2001.0</v>
      </c>
      <c r="T661" s="6">
        <v>1.0</v>
      </c>
      <c r="U661" s="1" t="s">
        <v>276</v>
      </c>
      <c r="V661" s="1" t="s">
        <v>277</v>
      </c>
      <c r="W661" s="6">
        <v>21.0</v>
      </c>
      <c r="X661" s="1" t="s">
        <v>534</v>
      </c>
      <c r="Y661" s="1" t="s">
        <v>535</v>
      </c>
      <c r="Z661" s="6">
        <v>16.53</v>
      </c>
      <c r="AA661" s="6">
        <v>189291.0</v>
      </c>
      <c r="AB661" s="10">
        <v>0.05</v>
      </c>
      <c r="AC661" s="1" t="s">
        <v>6890</v>
      </c>
      <c r="AD661" s="1" t="s">
        <v>6891</v>
      </c>
      <c r="AE661" s="1" t="s">
        <v>6892</v>
      </c>
      <c r="AF661" s="1" t="s">
        <v>1031</v>
      </c>
      <c r="AG661" s="1" t="s">
        <v>6892</v>
      </c>
      <c r="AH661" s="1" t="s">
        <v>252</v>
      </c>
      <c r="AI661" s="6">
        <v>97479.0</v>
      </c>
      <c r="AJ661" s="1" t="s">
        <v>63</v>
      </c>
      <c r="AK661" s="1" t="s">
        <v>6893</v>
      </c>
      <c r="AL661" s="1" t="s">
        <v>6894</v>
      </c>
      <c r="AM661" s="11" t="str">
        <f>VLOOKUP(N661,Sheet3!$B$4:$C$10,2,1)</f>
        <v>51-60</v>
      </c>
      <c r="AN661" s="12" t="str">
        <f>VLOOKUP(Z661,Sheet3!$F$4:$G$10,2,1)</f>
        <v>11-20</v>
      </c>
      <c r="AO661" s="5" t="str">
        <f>VLOOKUP(AA661,Sheet3!$I$3:$J$16,2,1)</f>
        <v>180000-200000</v>
      </c>
      <c r="AP661" s="5" t="str">
        <f>VLOOKUP(AB661,Sheet3!$L$4:$M$14,2,1)</f>
        <v>5% - 10%</v>
      </c>
    </row>
    <row r="662">
      <c r="A662" s="6">
        <v>161109.0</v>
      </c>
      <c r="B662" s="1" t="s">
        <v>125</v>
      </c>
      <c r="C662" s="1" t="s">
        <v>5457</v>
      </c>
      <c r="D662" s="1" t="s">
        <v>443</v>
      </c>
      <c r="E662" s="1" t="s">
        <v>6895</v>
      </c>
      <c r="F662" s="1" t="s">
        <v>70</v>
      </c>
      <c r="G662" s="1" t="s">
        <v>6896</v>
      </c>
      <c r="H662" s="1" t="s">
        <v>6842</v>
      </c>
      <c r="I662" s="1" t="s">
        <v>6897</v>
      </c>
      <c r="J662" s="1" t="s">
        <v>6898</v>
      </c>
      <c r="K662" s="1" t="s">
        <v>2448</v>
      </c>
      <c r="L662" s="9">
        <v>27051.0</v>
      </c>
      <c r="M662" s="8">
        <v>0.9050462962962963</v>
      </c>
      <c r="N662" s="6">
        <v>43.54</v>
      </c>
      <c r="O662" s="6">
        <v>69.0</v>
      </c>
      <c r="P662" s="9">
        <v>37185.0</v>
      </c>
      <c r="Q662" s="1" t="s">
        <v>52</v>
      </c>
      <c r="R662" s="1" t="s">
        <v>53</v>
      </c>
      <c r="S662" s="6">
        <v>2001.0</v>
      </c>
      <c r="T662" s="6">
        <v>10.0</v>
      </c>
      <c r="U662" s="1" t="s">
        <v>133</v>
      </c>
      <c r="V662" s="1" t="s">
        <v>134</v>
      </c>
      <c r="W662" s="6">
        <v>21.0</v>
      </c>
      <c r="X662" s="1" t="s">
        <v>534</v>
      </c>
      <c r="Y662" s="1" t="s">
        <v>535</v>
      </c>
      <c r="Z662" s="6">
        <v>15.78</v>
      </c>
      <c r="AA662" s="6">
        <v>163337.0</v>
      </c>
      <c r="AB662" s="10">
        <v>0.25</v>
      </c>
      <c r="AC662" s="1" t="s">
        <v>6899</v>
      </c>
      <c r="AD662" s="1" t="s">
        <v>6900</v>
      </c>
      <c r="AE662" s="1" t="s">
        <v>371</v>
      </c>
      <c r="AF662" s="1" t="s">
        <v>4941</v>
      </c>
      <c r="AG662" s="1" t="s">
        <v>371</v>
      </c>
      <c r="AH662" s="1" t="s">
        <v>4942</v>
      </c>
      <c r="AI662" s="6">
        <v>20099.0</v>
      </c>
      <c r="AJ662" s="1" t="s">
        <v>106</v>
      </c>
      <c r="AK662" s="1" t="s">
        <v>6901</v>
      </c>
      <c r="AL662" s="1" t="s">
        <v>6902</v>
      </c>
      <c r="AM662" s="11" t="str">
        <f>VLOOKUP(N662,Sheet3!$B$4:$C$10,2,1)</f>
        <v>41-50</v>
      </c>
      <c r="AN662" s="12" t="str">
        <f>VLOOKUP(Z662,Sheet3!$F$4:$G$10,2,1)</f>
        <v>11-20</v>
      </c>
      <c r="AO662" s="5" t="str">
        <f>VLOOKUP(AA662,Sheet3!$I$3:$J$16,2,1)</f>
        <v>160000-180000</v>
      </c>
      <c r="AP662" s="5" t="str">
        <f>VLOOKUP(AB662,Sheet3!$L$4:$M$14,2,1)</f>
        <v>21% - 25%</v>
      </c>
    </row>
    <row r="663">
      <c r="A663" s="6">
        <v>938475.0</v>
      </c>
      <c r="B663" s="1" t="s">
        <v>66</v>
      </c>
      <c r="C663" s="1" t="s">
        <v>6903</v>
      </c>
      <c r="D663" s="1" t="s">
        <v>200</v>
      </c>
      <c r="E663" s="1" t="s">
        <v>571</v>
      </c>
      <c r="F663" s="1" t="s">
        <v>70</v>
      </c>
      <c r="G663" s="1" t="s">
        <v>6904</v>
      </c>
      <c r="H663" s="1" t="s">
        <v>6842</v>
      </c>
      <c r="I663" s="1" t="s">
        <v>6905</v>
      </c>
      <c r="J663" s="1" t="s">
        <v>6906</v>
      </c>
      <c r="K663" s="1" t="s">
        <v>2703</v>
      </c>
      <c r="L663" s="9">
        <v>28608.0</v>
      </c>
      <c r="M663" s="8">
        <v>0.6682638888888889</v>
      </c>
      <c r="N663" s="6">
        <v>39.28</v>
      </c>
      <c r="O663" s="6">
        <v>72.0</v>
      </c>
      <c r="P663" s="14">
        <v>40797.0</v>
      </c>
      <c r="Q663" s="1" t="s">
        <v>308</v>
      </c>
      <c r="R663" s="1" t="s">
        <v>53</v>
      </c>
      <c r="S663" s="6">
        <v>2011.0</v>
      </c>
      <c r="T663" s="6">
        <v>9.0</v>
      </c>
      <c r="U663" s="1" t="s">
        <v>309</v>
      </c>
      <c r="V663" s="1" t="s">
        <v>310</v>
      </c>
      <c r="W663" s="6">
        <v>11.0</v>
      </c>
      <c r="X663" s="1" t="s">
        <v>534</v>
      </c>
      <c r="Y663" s="1" t="s">
        <v>535</v>
      </c>
      <c r="Z663" s="6">
        <v>5.88</v>
      </c>
      <c r="AA663" s="6">
        <v>67164.0</v>
      </c>
      <c r="AB663" s="10">
        <v>0.08</v>
      </c>
      <c r="AC663" s="1" t="s">
        <v>6907</v>
      </c>
      <c r="AD663" s="1" t="s">
        <v>6908</v>
      </c>
      <c r="AE663" s="1" t="s">
        <v>6909</v>
      </c>
      <c r="AF663" s="1" t="s">
        <v>869</v>
      </c>
      <c r="AG663" s="1" t="s">
        <v>6909</v>
      </c>
      <c r="AH663" s="1" t="s">
        <v>122</v>
      </c>
      <c r="AI663" s="6">
        <v>46346.0</v>
      </c>
      <c r="AJ663" s="1" t="s">
        <v>86</v>
      </c>
      <c r="AK663" s="1" t="s">
        <v>6910</v>
      </c>
      <c r="AL663" s="1" t="s">
        <v>6911</v>
      </c>
      <c r="AM663" s="11" t="str">
        <f>VLOOKUP(N663,Sheet3!$B$4:$C$10,2,1)</f>
        <v>31-40</v>
      </c>
      <c r="AN663" s="12" t="str">
        <f>VLOOKUP(Z663,Sheet3!$F$4:$G$10,2,1)</f>
        <v>5-10</v>
      </c>
      <c r="AO663" s="5" t="str">
        <f>VLOOKUP(AA663,Sheet3!$I$3:$J$16,2,1)</f>
        <v>60000-80000</v>
      </c>
      <c r="AP663" s="5" t="str">
        <f>VLOOKUP(AB663,Sheet3!$L$4:$M$14,2,1)</f>
        <v>5% - 10%</v>
      </c>
    </row>
    <row r="664">
      <c r="A664" s="6">
        <v>368041.0</v>
      </c>
      <c r="B664" s="1" t="s">
        <v>42</v>
      </c>
      <c r="C664" s="1" t="s">
        <v>6912</v>
      </c>
      <c r="D664" s="1" t="s">
        <v>44</v>
      </c>
      <c r="E664" s="1" t="s">
        <v>2955</v>
      </c>
      <c r="F664" s="1" t="s">
        <v>46</v>
      </c>
      <c r="G664" s="1" t="s">
        <v>6913</v>
      </c>
      <c r="H664" s="1" t="s">
        <v>6842</v>
      </c>
      <c r="I664" s="1" t="s">
        <v>6914</v>
      </c>
      <c r="J664" s="1" t="s">
        <v>6915</v>
      </c>
      <c r="K664" s="1" t="s">
        <v>174</v>
      </c>
      <c r="L664" s="14">
        <v>26794.0</v>
      </c>
      <c r="M664" s="8">
        <v>0.4776273148148148</v>
      </c>
      <c r="N664" s="6">
        <v>44.25</v>
      </c>
      <c r="O664" s="6">
        <v>46.0</v>
      </c>
      <c r="P664" s="9">
        <v>40111.0</v>
      </c>
      <c r="Q664" s="1" t="s">
        <v>52</v>
      </c>
      <c r="R664" s="1" t="s">
        <v>53</v>
      </c>
      <c r="S664" s="6">
        <v>2009.0</v>
      </c>
      <c r="T664" s="6">
        <v>10.0</v>
      </c>
      <c r="U664" s="1" t="s">
        <v>133</v>
      </c>
      <c r="V664" s="1" t="s">
        <v>134</v>
      </c>
      <c r="W664" s="6">
        <v>25.0</v>
      </c>
      <c r="X664" s="1" t="s">
        <v>534</v>
      </c>
      <c r="Y664" s="1" t="s">
        <v>535</v>
      </c>
      <c r="Z664" s="6">
        <v>7.76</v>
      </c>
      <c r="AA664" s="6">
        <v>107782.0</v>
      </c>
      <c r="AB664" s="10">
        <v>0.28</v>
      </c>
      <c r="AC664" s="1" t="s">
        <v>6916</v>
      </c>
      <c r="AD664" s="1" t="s">
        <v>6917</v>
      </c>
      <c r="AE664" s="1" t="s">
        <v>4620</v>
      </c>
      <c r="AF664" s="1" t="s">
        <v>4620</v>
      </c>
      <c r="AG664" s="1" t="s">
        <v>4620</v>
      </c>
      <c r="AH664" s="1" t="s">
        <v>1561</v>
      </c>
      <c r="AI664" s="6">
        <v>53219.0</v>
      </c>
      <c r="AJ664" s="1" t="s">
        <v>86</v>
      </c>
      <c r="AK664" s="1" t="s">
        <v>6918</v>
      </c>
      <c r="AL664" s="1" t="s">
        <v>6919</v>
      </c>
      <c r="AM664" s="11" t="str">
        <f>VLOOKUP(N664,Sheet3!$B$4:$C$10,2,1)</f>
        <v>41-50</v>
      </c>
      <c r="AN664" s="12" t="str">
        <f>VLOOKUP(Z664,Sheet3!$F$4:$G$10,2,1)</f>
        <v>5-10</v>
      </c>
      <c r="AO664" s="5" t="str">
        <f>VLOOKUP(AA664,Sheet3!$I$3:$J$16,2,1)</f>
        <v>100000-120000</v>
      </c>
      <c r="AP664" s="5" t="str">
        <f>VLOOKUP(AB664,Sheet3!$L$4:$M$14,2,1)</f>
        <v>26% - 30%</v>
      </c>
    </row>
    <row r="665">
      <c r="A665" s="6">
        <v>738794.0</v>
      </c>
      <c r="B665" s="1" t="s">
        <v>66</v>
      </c>
      <c r="C665" s="1" t="s">
        <v>6920</v>
      </c>
      <c r="D665" s="1" t="s">
        <v>416</v>
      </c>
      <c r="E665" s="1" t="s">
        <v>491</v>
      </c>
      <c r="F665" s="1" t="s">
        <v>70</v>
      </c>
      <c r="G665" s="1" t="s">
        <v>6921</v>
      </c>
      <c r="H665" s="1" t="s">
        <v>6842</v>
      </c>
      <c r="I665" s="1" t="s">
        <v>6922</v>
      </c>
      <c r="J665" s="1" t="s">
        <v>6923</v>
      </c>
      <c r="K665" s="1" t="s">
        <v>583</v>
      </c>
      <c r="L665" s="14">
        <v>31694.0</v>
      </c>
      <c r="M665" s="8">
        <v>0.9339004629629629</v>
      </c>
      <c r="N665" s="6">
        <v>30.82</v>
      </c>
      <c r="O665" s="6">
        <v>61.0</v>
      </c>
      <c r="P665" s="14">
        <v>40555.0</v>
      </c>
      <c r="Q665" s="1" t="s">
        <v>96</v>
      </c>
      <c r="R665" s="1" t="s">
        <v>76</v>
      </c>
      <c r="S665" s="6">
        <v>2011.0</v>
      </c>
      <c r="T665" s="6">
        <v>1.0</v>
      </c>
      <c r="U665" s="1" t="s">
        <v>276</v>
      </c>
      <c r="V665" s="1" t="s">
        <v>277</v>
      </c>
      <c r="W665" s="6">
        <v>12.0</v>
      </c>
      <c r="X665" s="1" t="s">
        <v>278</v>
      </c>
      <c r="Y665" s="1" t="s">
        <v>279</v>
      </c>
      <c r="Z665" s="6">
        <v>6.55</v>
      </c>
      <c r="AA665" s="6">
        <v>159630.0</v>
      </c>
      <c r="AB665" s="10">
        <v>0.05</v>
      </c>
      <c r="AC665" s="1" t="s">
        <v>6924</v>
      </c>
      <c r="AD665" s="1" t="s">
        <v>6925</v>
      </c>
      <c r="AE665" s="1" t="s">
        <v>3697</v>
      </c>
      <c r="AF665" s="1" t="s">
        <v>3697</v>
      </c>
      <c r="AG665" s="1" t="s">
        <v>3697</v>
      </c>
      <c r="AH665" s="1" t="s">
        <v>169</v>
      </c>
      <c r="AI665" s="6">
        <v>75239.0</v>
      </c>
      <c r="AJ665" s="1" t="s">
        <v>106</v>
      </c>
      <c r="AK665" s="1" t="s">
        <v>6926</v>
      </c>
      <c r="AL665" s="1" t="s">
        <v>6927</v>
      </c>
      <c r="AM665" s="11" t="str">
        <f>VLOOKUP(N665,Sheet3!$B$4:$C$10,2,1)</f>
        <v>21-30</v>
      </c>
      <c r="AN665" s="12" t="str">
        <f>VLOOKUP(Z665,Sheet3!$F$4:$G$10,2,1)</f>
        <v>5-10</v>
      </c>
      <c r="AO665" s="5" t="str">
        <f>VLOOKUP(AA665,Sheet3!$I$3:$J$16,2,1)</f>
        <v>140000-160000</v>
      </c>
      <c r="AP665" s="5" t="str">
        <f>VLOOKUP(AB665,Sheet3!$L$4:$M$14,2,1)</f>
        <v>5% - 10%</v>
      </c>
    </row>
    <row r="666">
      <c r="A666" s="6">
        <v>703738.0</v>
      </c>
      <c r="B666" s="1" t="s">
        <v>89</v>
      </c>
      <c r="C666" s="1" t="s">
        <v>6928</v>
      </c>
      <c r="D666" s="1" t="s">
        <v>44</v>
      </c>
      <c r="E666" s="1" t="s">
        <v>1169</v>
      </c>
      <c r="F666" s="1" t="s">
        <v>46</v>
      </c>
      <c r="G666" s="1" t="s">
        <v>6929</v>
      </c>
      <c r="H666" s="1" t="s">
        <v>6842</v>
      </c>
      <c r="I666" s="1" t="s">
        <v>6930</v>
      </c>
      <c r="J666" s="1" t="s">
        <v>6931</v>
      </c>
      <c r="K666" s="1" t="s">
        <v>922</v>
      </c>
      <c r="L666" s="14">
        <v>31995.0</v>
      </c>
      <c r="M666" s="8">
        <v>0.4917824074074074</v>
      </c>
      <c r="N666" s="6">
        <v>30.0</v>
      </c>
      <c r="O666" s="6">
        <v>52.0</v>
      </c>
      <c r="P666" s="9">
        <v>42364.0</v>
      </c>
      <c r="Q666" s="1" t="s">
        <v>52</v>
      </c>
      <c r="R666" s="1" t="s">
        <v>53</v>
      </c>
      <c r="S666" s="6">
        <v>2015.0</v>
      </c>
      <c r="T666" s="6">
        <v>12.0</v>
      </c>
      <c r="U666" s="1" t="s">
        <v>54</v>
      </c>
      <c r="V666" s="1" t="s">
        <v>55</v>
      </c>
      <c r="W666" s="6">
        <v>26.0</v>
      </c>
      <c r="X666" s="1" t="s">
        <v>56</v>
      </c>
      <c r="Y666" s="1" t="s">
        <v>57</v>
      </c>
      <c r="Z666" s="6">
        <v>1.59</v>
      </c>
      <c r="AA666" s="6">
        <v>72982.0</v>
      </c>
      <c r="AB666" s="10">
        <v>0.13</v>
      </c>
      <c r="AC666" s="1" t="s">
        <v>6932</v>
      </c>
      <c r="AD666" s="1" t="s">
        <v>6933</v>
      </c>
      <c r="AE666" s="1" t="s">
        <v>6934</v>
      </c>
      <c r="AF666" s="1" t="s">
        <v>5621</v>
      </c>
      <c r="AG666" s="1" t="s">
        <v>6934</v>
      </c>
      <c r="AH666" s="1" t="s">
        <v>906</v>
      </c>
      <c r="AI666" s="6">
        <v>8802.0</v>
      </c>
      <c r="AJ666" s="1" t="s">
        <v>224</v>
      </c>
      <c r="AK666" s="1" t="s">
        <v>6935</v>
      </c>
      <c r="AL666" s="1" t="s">
        <v>6936</v>
      </c>
      <c r="AM666" s="11" t="str">
        <f>VLOOKUP(N666,Sheet3!$B$4:$C$10,2,1)</f>
        <v>21-30</v>
      </c>
      <c r="AN666" s="13" t="str">
        <f>VLOOKUP(Z666,Sheet3!$F$4:$G$10,2,1)</f>
        <v>&lt; 5</v>
      </c>
      <c r="AO666" s="5" t="str">
        <f>VLOOKUP(AA666,Sheet3!$I$3:$J$16,2,1)</f>
        <v>60000-80000</v>
      </c>
      <c r="AP666" s="5" t="str">
        <f>VLOOKUP(AB666,Sheet3!$L$4:$M$14,2,1)</f>
        <v>11% - 15%</v>
      </c>
    </row>
    <row r="667">
      <c r="A667" s="6">
        <v>188409.0</v>
      </c>
      <c r="B667" s="1" t="s">
        <v>42</v>
      </c>
      <c r="C667" s="1" t="s">
        <v>6937</v>
      </c>
      <c r="D667" s="1" t="s">
        <v>70</v>
      </c>
      <c r="E667" s="1" t="s">
        <v>1130</v>
      </c>
      <c r="F667" s="1" t="s">
        <v>46</v>
      </c>
      <c r="G667" s="1" t="s">
        <v>6938</v>
      </c>
      <c r="H667" s="1" t="s">
        <v>6842</v>
      </c>
      <c r="I667" s="1" t="s">
        <v>6939</v>
      </c>
      <c r="J667" s="1" t="s">
        <v>6940</v>
      </c>
      <c r="K667" s="1" t="s">
        <v>6941</v>
      </c>
      <c r="L667" s="14">
        <v>31967.0</v>
      </c>
      <c r="M667" s="8">
        <v>0.2549074074074074</v>
      </c>
      <c r="N667" s="6">
        <v>30.07</v>
      </c>
      <c r="O667" s="6">
        <v>49.0</v>
      </c>
      <c r="P667" s="9">
        <v>39813.0</v>
      </c>
      <c r="Q667" s="1" t="s">
        <v>52</v>
      </c>
      <c r="R667" s="1" t="s">
        <v>53</v>
      </c>
      <c r="S667" s="6">
        <v>2008.0</v>
      </c>
      <c r="T667" s="6">
        <v>12.0</v>
      </c>
      <c r="U667" s="1" t="s">
        <v>54</v>
      </c>
      <c r="V667" s="1" t="s">
        <v>55</v>
      </c>
      <c r="W667" s="6">
        <v>31.0</v>
      </c>
      <c r="X667" s="1" t="s">
        <v>278</v>
      </c>
      <c r="Y667" s="1" t="s">
        <v>279</v>
      </c>
      <c r="Z667" s="6">
        <v>8.58</v>
      </c>
      <c r="AA667" s="6">
        <v>116234.0</v>
      </c>
      <c r="AB667" s="10">
        <v>0.15</v>
      </c>
      <c r="AC667" s="1" t="s">
        <v>6942</v>
      </c>
      <c r="AD667" s="1" t="s">
        <v>6943</v>
      </c>
      <c r="AE667" s="1" t="s">
        <v>6944</v>
      </c>
      <c r="AF667" s="1" t="s">
        <v>2430</v>
      </c>
      <c r="AG667" s="1" t="s">
        <v>6944</v>
      </c>
      <c r="AH667" s="1" t="s">
        <v>1344</v>
      </c>
      <c r="AI667" s="6">
        <v>6247.0</v>
      </c>
      <c r="AJ667" s="1" t="s">
        <v>224</v>
      </c>
      <c r="AK667" s="1" t="s">
        <v>6945</v>
      </c>
      <c r="AL667" s="1" t="s">
        <v>6946</v>
      </c>
      <c r="AM667" s="11" t="str">
        <f>VLOOKUP(N667,Sheet3!$B$4:$C$10,2,1)</f>
        <v>21-30</v>
      </c>
      <c r="AN667" s="12" t="str">
        <f>VLOOKUP(Z667,Sheet3!$F$4:$G$10,2,1)</f>
        <v>5-10</v>
      </c>
      <c r="AO667" s="5" t="str">
        <f>VLOOKUP(AA667,Sheet3!$I$3:$J$16,2,1)</f>
        <v>100000-120000</v>
      </c>
      <c r="AP667" s="5" t="str">
        <f>VLOOKUP(AB667,Sheet3!$L$4:$M$14,2,1)</f>
        <v>11% - 15%</v>
      </c>
    </row>
    <row r="668">
      <c r="A668" s="6">
        <v>206997.0</v>
      </c>
      <c r="B668" s="1" t="s">
        <v>66</v>
      </c>
      <c r="C668" s="1" t="s">
        <v>1718</v>
      </c>
      <c r="D668" s="1" t="s">
        <v>554</v>
      </c>
      <c r="E668" s="1" t="s">
        <v>595</v>
      </c>
      <c r="F668" s="1" t="s">
        <v>70</v>
      </c>
      <c r="G668" s="1" t="s">
        <v>6947</v>
      </c>
      <c r="H668" s="1" t="s">
        <v>6842</v>
      </c>
      <c r="I668" s="1" t="s">
        <v>6948</v>
      </c>
      <c r="J668" s="1" t="s">
        <v>6949</v>
      </c>
      <c r="K668" s="1" t="s">
        <v>4041</v>
      </c>
      <c r="L668" s="9">
        <v>28451.0</v>
      </c>
      <c r="M668" s="8">
        <v>0.7814930555555556</v>
      </c>
      <c r="N668" s="6">
        <v>39.71</v>
      </c>
      <c r="O668" s="6">
        <v>69.0</v>
      </c>
      <c r="P668" s="9">
        <v>36642.0</v>
      </c>
      <c r="Q668" s="1" t="s">
        <v>75</v>
      </c>
      <c r="R668" s="1" t="s">
        <v>76</v>
      </c>
      <c r="S668" s="6">
        <v>2000.0</v>
      </c>
      <c r="T668" s="6">
        <v>4.0</v>
      </c>
      <c r="U668" s="1" t="s">
        <v>77</v>
      </c>
      <c r="V668" s="1" t="s">
        <v>78</v>
      </c>
      <c r="W668" s="6">
        <v>26.0</v>
      </c>
      <c r="X668" s="1" t="s">
        <v>278</v>
      </c>
      <c r="Y668" s="1" t="s">
        <v>279</v>
      </c>
      <c r="Z668" s="6">
        <v>17.27</v>
      </c>
      <c r="AA668" s="6">
        <v>186548.0</v>
      </c>
      <c r="AB668" s="10">
        <v>0.01</v>
      </c>
      <c r="AC668" s="1" t="s">
        <v>6950</v>
      </c>
      <c r="AD668" s="1" t="s">
        <v>6951</v>
      </c>
      <c r="AE668" s="1" t="s">
        <v>764</v>
      </c>
      <c r="AF668" s="1" t="s">
        <v>1937</v>
      </c>
      <c r="AG668" s="1" t="s">
        <v>764</v>
      </c>
      <c r="AH668" s="1" t="s">
        <v>811</v>
      </c>
      <c r="AI668" s="6">
        <v>39210.0</v>
      </c>
      <c r="AJ668" s="1" t="s">
        <v>106</v>
      </c>
      <c r="AK668" s="1" t="s">
        <v>6952</v>
      </c>
      <c r="AL668" s="1" t="s">
        <v>6953</v>
      </c>
      <c r="AM668" s="11" t="str">
        <f>VLOOKUP(N668,Sheet3!$B$4:$C$10,2,1)</f>
        <v>31-40</v>
      </c>
      <c r="AN668" s="12" t="str">
        <f>VLOOKUP(Z668,Sheet3!$F$4:$G$10,2,1)</f>
        <v>11-20</v>
      </c>
      <c r="AO668" s="5" t="str">
        <f>VLOOKUP(AA668,Sheet3!$I$3:$J$16,2,1)</f>
        <v>180000-200000</v>
      </c>
      <c r="AP668" s="5" t="str">
        <f>VLOOKUP(AB668,Sheet3!$L$4:$M$14,2,1)</f>
        <v>&lt; 5%</v>
      </c>
    </row>
    <row r="669">
      <c r="A669" s="6">
        <v>677871.0</v>
      </c>
      <c r="B669" s="1" t="s">
        <v>66</v>
      </c>
      <c r="C669" s="1" t="s">
        <v>6954</v>
      </c>
      <c r="D669" s="1" t="s">
        <v>443</v>
      </c>
      <c r="E669" s="1" t="s">
        <v>619</v>
      </c>
      <c r="F669" s="1" t="s">
        <v>70</v>
      </c>
      <c r="G669" s="1" t="s">
        <v>6955</v>
      </c>
      <c r="H669" s="1" t="s">
        <v>6842</v>
      </c>
      <c r="I669" s="1" t="s">
        <v>6956</v>
      </c>
      <c r="J669" s="1" t="s">
        <v>6957</v>
      </c>
      <c r="K669" s="1" t="s">
        <v>6958</v>
      </c>
      <c r="L669" s="9">
        <v>31495.0</v>
      </c>
      <c r="M669" s="8">
        <v>0.38185185185185183</v>
      </c>
      <c r="N669" s="6">
        <v>31.37</v>
      </c>
      <c r="O669" s="6">
        <v>76.0</v>
      </c>
      <c r="P669" s="9">
        <v>39984.0</v>
      </c>
      <c r="Q669" s="1" t="s">
        <v>75</v>
      </c>
      <c r="R669" s="1" t="s">
        <v>76</v>
      </c>
      <c r="S669" s="6">
        <v>2009.0</v>
      </c>
      <c r="T669" s="6">
        <v>6.0</v>
      </c>
      <c r="U669" s="1" t="s">
        <v>324</v>
      </c>
      <c r="V669" s="1" t="s">
        <v>325</v>
      </c>
      <c r="W669" s="6">
        <v>20.0</v>
      </c>
      <c r="X669" s="1" t="s">
        <v>56</v>
      </c>
      <c r="Y669" s="1" t="s">
        <v>57</v>
      </c>
      <c r="Z669" s="6">
        <v>8.11</v>
      </c>
      <c r="AA669" s="6">
        <v>85402.0</v>
      </c>
      <c r="AB669" s="10">
        <v>0.21</v>
      </c>
      <c r="AC669" s="1" t="s">
        <v>6959</v>
      </c>
      <c r="AD669" s="1" t="s">
        <v>6960</v>
      </c>
      <c r="AE669" s="1" t="s">
        <v>6961</v>
      </c>
      <c r="AF669" s="1" t="s">
        <v>6962</v>
      </c>
      <c r="AG669" s="1" t="s">
        <v>6961</v>
      </c>
      <c r="AH669" s="1" t="s">
        <v>284</v>
      </c>
      <c r="AI669" s="6">
        <v>52760.0</v>
      </c>
      <c r="AJ669" s="1" t="s">
        <v>86</v>
      </c>
      <c r="AK669" s="1" t="s">
        <v>6963</v>
      </c>
      <c r="AL669" s="1" t="s">
        <v>6964</v>
      </c>
      <c r="AM669" s="11" t="str">
        <f>VLOOKUP(N669,Sheet3!$B$4:$C$10,2,1)</f>
        <v>31-40</v>
      </c>
      <c r="AN669" s="12" t="str">
        <f>VLOOKUP(Z669,Sheet3!$F$4:$G$10,2,1)</f>
        <v>5-10</v>
      </c>
      <c r="AO669" s="5" t="str">
        <f>VLOOKUP(AA669,Sheet3!$I$3:$J$16,2,1)</f>
        <v>80000-100000</v>
      </c>
      <c r="AP669" s="5" t="str">
        <f>VLOOKUP(AB669,Sheet3!$L$4:$M$14,2,1)</f>
        <v>21% - 25%</v>
      </c>
    </row>
    <row r="670">
      <c r="A670" s="6">
        <v>963113.0</v>
      </c>
      <c r="B670" s="1" t="s">
        <v>109</v>
      </c>
      <c r="C670" s="1" t="s">
        <v>6965</v>
      </c>
      <c r="D670" s="1" t="s">
        <v>200</v>
      </c>
      <c r="E670" s="1" t="s">
        <v>6958</v>
      </c>
      <c r="F670" s="1" t="s">
        <v>46</v>
      </c>
      <c r="G670" s="1" t="s">
        <v>6966</v>
      </c>
      <c r="H670" s="1" t="s">
        <v>6842</v>
      </c>
      <c r="I670" s="1" t="s">
        <v>6967</v>
      </c>
      <c r="J670" s="1" t="s">
        <v>6968</v>
      </c>
      <c r="K670" s="1" t="s">
        <v>727</v>
      </c>
      <c r="L670" s="14">
        <v>22324.0</v>
      </c>
      <c r="M670" s="8">
        <v>0.12796296296296297</v>
      </c>
      <c r="N670" s="6">
        <v>56.49</v>
      </c>
      <c r="O670" s="6">
        <v>42.0</v>
      </c>
      <c r="P670" s="14">
        <v>35711.0</v>
      </c>
      <c r="Q670" s="1" t="s">
        <v>52</v>
      </c>
      <c r="R670" s="1" t="s">
        <v>53</v>
      </c>
      <c r="S670" s="6">
        <v>1997.0</v>
      </c>
      <c r="T670" s="6">
        <v>10.0</v>
      </c>
      <c r="U670" s="1" t="s">
        <v>133</v>
      </c>
      <c r="V670" s="1" t="s">
        <v>134</v>
      </c>
      <c r="W670" s="6">
        <v>8.0</v>
      </c>
      <c r="X670" s="1" t="s">
        <v>278</v>
      </c>
      <c r="Y670" s="1" t="s">
        <v>279</v>
      </c>
      <c r="Z670" s="6">
        <v>19.82</v>
      </c>
      <c r="AA670" s="6">
        <v>169456.0</v>
      </c>
      <c r="AB670" s="10">
        <v>0.19</v>
      </c>
      <c r="AC670" s="1" t="s">
        <v>6969</v>
      </c>
      <c r="AD670" s="1" t="s">
        <v>6970</v>
      </c>
      <c r="AE670" s="1" t="s">
        <v>764</v>
      </c>
      <c r="AF670" s="1" t="s">
        <v>764</v>
      </c>
      <c r="AG670" s="1" t="s">
        <v>764</v>
      </c>
      <c r="AH670" s="1" t="s">
        <v>85</v>
      </c>
      <c r="AI670" s="6">
        <v>49201.0</v>
      </c>
      <c r="AJ670" s="1" t="s">
        <v>86</v>
      </c>
      <c r="AK670" s="1" t="s">
        <v>6971</v>
      </c>
      <c r="AL670" s="1" t="s">
        <v>6972</v>
      </c>
      <c r="AM670" s="11" t="str">
        <f>VLOOKUP(N670,Sheet3!$B$4:$C$10,2,1)</f>
        <v>51-60</v>
      </c>
      <c r="AN670" s="12" t="str">
        <f>VLOOKUP(Z670,Sheet3!$F$4:$G$10,2,1)</f>
        <v>11-20</v>
      </c>
      <c r="AO670" s="5" t="str">
        <f>VLOOKUP(AA670,Sheet3!$I$3:$J$16,2,1)</f>
        <v>160000-180000</v>
      </c>
      <c r="AP670" s="5" t="str">
        <f>VLOOKUP(AB670,Sheet3!$L$4:$M$14,2,1)</f>
        <v>16% - 20%</v>
      </c>
    </row>
    <row r="671">
      <c r="A671" s="6">
        <v>291577.0</v>
      </c>
      <c r="B671" s="1" t="s">
        <v>109</v>
      </c>
      <c r="C671" s="1" t="s">
        <v>6973</v>
      </c>
      <c r="D671" s="1" t="s">
        <v>1663</v>
      </c>
      <c r="E671" s="1" t="s">
        <v>3347</v>
      </c>
      <c r="F671" s="1" t="s">
        <v>46</v>
      </c>
      <c r="G671" s="1" t="s">
        <v>6974</v>
      </c>
      <c r="H671" s="1" t="s">
        <v>6842</v>
      </c>
      <c r="I671" s="1" t="s">
        <v>6975</v>
      </c>
      <c r="J671" s="1" t="s">
        <v>6976</v>
      </c>
      <c r="K671" s="1" t="s">
        <v>5655</v>
      </c>
      <c r="L671" s="9">
        <v>30583.0</v>
      </c>
      <c r="M671" s="8">
        <v>0.9581712962962963</v>
      </c>
      <c r="N671" s="6">
        <v>33.87</v>
      </c>
      <c r="O671" s="6">
        <v>53.0</v>
      </c>
      <c r="P671" s="9">
        <v>40932.0</v>
      </c>
      <c r="Q671" s="1" t="s">
        <v>96</v>
      </c>
      <c r="R671" s="1" t="s">
        <v>76</v>
      </c>
      <c r="S671" s="6">
        <v>2012.0</v>
      </c>
      <c r="T671" s="6">
        <v>1.0</v>
      </c>
      <c r="U671" s="1" t="s">
        <v>276</v>
      </c>
      <c r="V671" s="1" t="s">
        <v>277</v>
      </c>
      <c r="W671" s="6">
        <v>24.0</v>
      </c>
      <c r="X671" s="1" t="s">
        <v>79</v>
      </c>
      <c r="Y671" s="1" t="s">
        <v>80</v>
      </c>
      <c r="Z671" s="6">
        <v>5.51</v>
      </c>
      <c r="AA671" s="6">
        <v>85449.0</v>
      </c>
      <c r="AB671" s="10">
        <v>0.06</v>
      </c>
      <c r="AC671" s="1" t="s">
        <v>6977</v>
      </c>
      <c r="AD671" s="1" t="s">
        <v>6978</v>
      </c>
      <c r="AE671" s="1" t="s">
        <v>6979</v>
      </c>
      <c r="AF671" s="1" t="s">
        <v>6980</v>
      </c>
      <c r="AG671" s="1" t="s">
        <v>6979</v>
      </c>
      <c r="AH671" s="1" t="s">
        <v>356</v>
      </c>
      <c r="AI671" s="6">
        <v>10583.0</v>
      </c>
      <c r="AJ671" s="1" t="s">
        <v>224</v>
      </c>
      <c r="AK671" s="1" t="s">
        <v>6981</v>
      </c>
      <c r="AL671" s="1" t="s">
        <v>6982</v>
      </c>
      <c r="AM671" s="11" t="str">
        <f>VLOOKUP(N671,Sheet3!$B$4:$C$10,2,1)</f>
        <v>31-40</v>
      </c>
      <c r="AN671" s="12" t="str">
        <f>VLOOKUP(Z671,Sheet3!$F$4:$G$10,2,1)</f>
        <v>5-10</v>
      </c>
      <c r="AO671" s="5" t="str">
        <f>VLOOKUP(AA671,Sheet3!$I$3:$J$16,2,1)</f>
        <v>80000-100000</v>
      </c>
      <c r="AP671" s="5" t="str">
        <f>VLOOKUP(AB671,Sheet3!$L$4:$M$14,2,1)</f>
        <v>5% - 10%</v>
      </c>
    </row>
    <row r="672">
      <c r="A672" s="6">
        <v>142501.0</v>
      </c>
      <c r="B672" s="1" t="s">
        <v>255</v>
      </c>
      <c r="C672" s="1" t="s">
        <v>6983</v>
      </c>
      <c r="D672" s="1" t="s">
        <v>443</v>
      </c>
      <c r="E672" s="1" t="s">
        <v>1748</v>
      </c>
      <c r="F672" s="1" t="s">
        <v>70</v>
      </c>
      <c r="G672" s="1" t="s">
        <v>6984</v>
      </c>
      <c r="H672" s="1" t="s">
        <v>6842</v>
      </c>
      <c r="I672" s="1" t="s">
        <v>6985</v>
      </c>
      <c r="J672" s="1" t="s">
        <v>6986</v>
      </c>
      <c r="K672" s="1" t="s">
        <v>6987</v>
      </c>
      <c r="L672" s="14">
        <v>32360.0</v>
      </c>
      <c r="M672" s="8">
        <v>0.521261574074074</v>
      </c>
      <c r="N672" s="6">
        <v>29.0</v>
      </c>
      <c r="O672" s="6">
        <v>53.0</v>
      </c>
      <c r="P672" s="9">
        <v>40840.0</v>
      </c>
      <c r="Q672" s="1" t="s">
        <v>52</v>
      </c>
      <c r="R672" s="1" t="s">
        <v>53</v>
      </c>
      <c r="S672" s="6">
        <v>2011.0</v>
      </c>
      <c r="T672" s="6">
        <v>10.0</v>
      </c>
      <c r="U672" s="1" t="s">
        <v>133</v>
      </c>
      <c r="V672" s="1" t="s">
        <v>134</v>
      </c>
      <c r="W672" s="6">
        <v>24.0</v>
      </c>
      <c r="X672" s="1" t="s">
        <v>99</v>
      </c>
      <c r="Y672" s="1" t="s">
        <v>100</v>
      </c>
      <c r="Z672" s="6">
        <v>5.76</v>
      </c>
      <c r="AA672" s="6">
        <v>183005.0</v>
      </c>
      <c r="AB672" s="10">
        <v>0.09</v>
      </c>
      <c r="AC672" s="1" t="s">
        <v>6988</v>
      </c>
      <c r="AD672" s="1" t="s">
        <v>6989</v>
      </c>
      <c r="AE672" s="1" t="s">
        <v>6990</v>
      </c>
      <c r="AF672" s="1" t="s">
        <v>6991</v>
      </c>
      <c r="AG672" s="1" t="s">
        <v>6990</v>
      </c>
      <c r="AH672" s="1" t="s">
        <v>330</v>
      </c>
      <c r="AI672" s="6">
        <v>20788.0</v>
      </c>
      <c r="AJ672" s="1" t="s">
        <v>106</v>
      </c>
      <c r="AK672" s="1" t="s">
        <v>6992</v>
      </c>
      <c r="AL672" s="1" t="s">
        <v>6993</v>
      </c>
      <c r="AM672" s="11" t="str">
        <f>VLOOKUP(N672,Sheet3!$B$4:$C$10,2,1)</f>
        <v>21-30</v>
      </c>
      <c r="AN672" s="12" t="str">
        <f>VLOOKUP(Z672,Sheet3!$F$4:$G$10,2,1)</f>
        <v>5-10</v>
      </c>
      <c r="AO672" s="5" t="str">
        <f>VLOOKUP(AA672,Sheet3!$I$3:$J$16,2,1)</f>
        <v>180000-200000</v>
      </c>
      <c r="AP672" s="5" t="str">
        <f>VLOOKUP(AB672,Sheet3!$L$4:$M$14,2,1)</f>
        <v>5% - 10%</v>
      </c>
    </row>
    <row r="673">
      <c r="A673" s="6">
        <v>358556.0</v>
      </c>
      <c r="B673" s="1" t="s">
        <v>42</v>
      </c>
      <c r="C673" s="1" t="s">
        <v>6994</v>
      </c>
      <c r="D673" s="1" t="s">
        <v>242</v>
      </c>
      <c r="E673" s="1" t="s">
        <v>6995</v>
      </c>
      <c r="F673" s="1" t="s">
        <v>46</v>
      </c>
      <c r="G673" s="1" t="s">
        <v>6996</v>
      </c>
      <c r="H673" s="1" t="s">
        <v>6842</v>
      </c>
      <c r="I673" s="1" t="s">
        <v>6997</v>
      </c>
      <c r="J673" s="1" t="s">
        <v>6998</v>
      </c>
      <c r="K673" s="1" t="s">
        <v>1495</v>
      </c>
      <c r="L673" s="9">
        <v>28880.0</v>
      </c>
      <c r="M673" s="8">
        <v>0.8690162037037037</v>
      </c>
      <c r="N673" s="6">
        <v>38.53</v>
      </c>
      <c r="O673" s="6">
        <v>40.0</v>
      </c>
      <c r="P673" s="14">
        <v>36557.0</v>
      </c>
      <c r="Q673" s="1" t="s">
        <v>96</v>
      </c>
      <c r="R673" s="1" t="s">
        <v>76</v>
      </c>
      <c r="S673" s="6">
        <v>2000.0</v>
      </c>
      <c r="T673" s="6">
        <v>2.0</v>
      </c>
      <c r="U673" s="1" t="s">
        <v>117</v>
      </c>
      <c r="V673" s="1" t="s">
        <v>118</v>
      </c>
      <c r="W673" s="6">
        <v>1.0</v>
      </c>
      <c r="X673" s="1" t="s">
        <v>79</v>
      </c>
      <c r="Y673" s="1" t="s">
        <v>80</v>
      </c>
      <c r="Z673" s="6">
        <v>17.5</v>
      </c>
      <c r="AA673" s="6">
        <v>103726.0</v>
      </c>
      <c r="AB673" s="10">
        <v>0.3</v>
      </c>
      <c r="AC673" s="1" t="s">
        <v>6999</v>
      </c>
      <c r="AD673" s="1" t="s">
        <v>7000</v>
      </c>
      <c r="AE673" s="1" t="s">
        <v>7001</v>
      </c>
      <c r="AF673" s="1" t="s">
        <v>4238</v>
      </c>
      <c r="AG673" s="1" t="s">
        <v>7001</v>
      </c>
      <c r="AH673" s="1" t="s">
        <v>1561</v>
      </c>
      <c r="AI673" s="6">
        <v>54867.0</v>
      </c>
      <c r="AJ673" s="1" t="s">
        <v>86</v>
      </c>
      <c r="AK673" s="1" t="s">
        <v>7002</v>
      </c>
      <c r="AL673" s="1" t="s">
        <v>7003</v>
      </c>
      <c r="AM673" s="11" t="str">
        <f>VLOOKUP(N673,Sheet3!$B$4:$C$10,2,1)</f>
        <v>31-40</v>
      </c>
      <c r="AN673" s="12" t="str">
        <f>VLOOKUP(Z673,Sheet3!$F$4:$G$10,2,1)</f>
        <v>11-20</v>
      </c>
      <c r="AO673" s="5" t="str">
        <f>VLOOKUP(AA673,Sheet3!$I$3:$J$16,2,1)</f>
        <v>100000-120000</v>
      </c>
      <c r="AP673" s="5" t="str">
        <f>VLOOKUP(AB673,Sheet3!$L$4:$M$14,2,1)</f>
        <v>26% - 30%</v>
      </c>
    </row>
    <row r="674">
      <c r="A674" s="6">
        <v>126137.0</v>
      </c>
      <c r="B674" s="1" t="s">
        <v>255</v>
      </c>
      <c r="C674" s="1" t="s">
        <v>7004</v>
      </c>
      <c r="D674" s="1" t="s">
        <v>416</v>
      </c>
      <c r="E674" s="1" t="s">
        <v>1988</v>
      </c>
      <c r="F674" s="1" t="s">
        <v>70</v>
      </c>
      <c r="G674" s="1" t="s">
        <v>7005</v>
      </c>
      <c r="H674" s="1" t="s">
        <v>6842</v>
      </c>
      <c r="I674" s="1" t="s">
        <v>7006</v>
      </c>
      <c r="J674" s="1" t="s">
        <v>7007</v>
      </c>
      <c r="K674" s="1" t="s">
        <v>779</v>
      </c>
      <c r="L674" s="14">
        <v>28714.0</v>
      </c>
      <c r="M674" s="8">
        <v>0.46620370370370373</v>
      </c>
      <c r="N674" s="6">
        <v>38.99</v>
      </c>
      <c r="O674" s="6">
        <v>87.0</v>
      </c>
      <c r="P674" s="9">
        <v>37634.0</v>
      </c>
      <c r="Q674" s="1" t="s">
        <v>96</v>
      </c>
      <c r="R674" s="1" t="s">
        <v>76</v>
      </c>
      <c r="S674" s="6">
        <v>2003.0</v>
      </c>
      <c r="T674" s="6">
        <v>1.0</v>
      </c>
      <c r="U674" s="1" t="s">
        <v>276</v>
      </c>
      <c r="V674" s="1" t="s">
        <v>277</v>
      </c>
      <c r="W674" s="6">
        <v>13.0</v>
      </c>
      <c r="X674" s="1" t="s">
        <v>99</v>
      </c>
      <c r="Y674" s="1" t="s">
        <v>100</v>
      </c>
      <c r="Z674" s="6">
        <v>14.55</v>
      </c>
      <c r="AA674" s="6">
        <v>131397.0</v>
      </c>
      <c r="AB674" s="10">
        <v>0.29</v>
      </c>
      <c r="AC674" s="1" t="s">
        <v>7008</v>
      </c>
      <c r="AD674" s="1" t="s">
        <v>7009</v>
      </c>
      <c r="AE674" s="1" t="s">
        <v>7010</v>
      </c>
      <c r="AF674" s="1" t="s">
        <v>7011</v>
      </c>
      <c r="AG674" s="1" t="s">
        <v>7010</v>
      </c>
      <c r="AH674" s="1" t="s">
        <v>1505</v>
      </c>
      <c r="AI674" s="6">
        <v>56516.0</v>
      </c>
      <c r="AJ674" s="1" t="s">
        <v>86</v>
      </c>
      <c r="AK674" s="1" t="s">
        <v>7012</v>
      </c>
      <c r="AL674" s="1" t="s">
        <v>7013</v>
      </c>
      <c r="AM674" s="11" t="str">
        <f>VLOOKUP(N674,Sheet3!$B$4:$C$10,2,1)</f>
        <v>31-40</v>
      </c>
      <c r="AN674" s="12" t="str">
        <f>VLOOKUP(Z674,Sheet3!$F$4:$G$10,2,1)</f>
        <v>11-20</v>
      </c>
      <c r="AO674" s="5" t="str">
        <f>VLOOKUP(AA674,Sheet3!$I$3:$J$16,2,1)</f>
        <v>120000-140000</v>
      </c>
      <c r="AP674" s="5" t="str">
        <f>VLOOKUP(AB674,Sheet3!$L$4:$M$14,2,1)</f>
        <v>26% - 30%</v>
      </c>
    </row>
    <row r="675">
      <c r="A675" s="6">
        <v>409492.0</v>
      </c>
      <c r="B675" s="1" t="s">
        <v>89</v>
      </c>
      <c r="C675" s="1" t="s">
        <v>465</v>
      </c>
      <c r="D675" s="1" t="s">
        <v>127</v>
      </c>
      <c r="E675" s="1" t="s">
        <v>74</v>
      </c>
      <c r="F675" s="1" t="s">
        <v>46</v>
      </c>
      <c r="G675" s="1" t="s">
        <v>7014</v>
      </c>
      <c r="H675" s="1" t="s">
        <v>6842</v>
      </c>
      <c r="I675" s="1" t="s">
        <v>7015</v>
      </c>
      <c r="J675" s="1" t="s">
        <v>7016</v>
      </c>
      <c r="K675" s="1" t="s">
        <v>719</v>
      </c>
      <c r="L675" s="14">
        <v>30053.0</v>
      </c>
      <c r="M675" s="8">
        <v>0.36092592592592593</v>
      </c>
      <c r="N675" s="6">
        <v>35.32</v>
      </c>
      <c r="O675" s="6">
        <v>48.0</v>
      </c>
      <c r="P675" s="9">
        <v>40587.0</v>
      </c>
      <c r="Q675" s="1" t="s">
        <v>96</v>
      </c>
      <c r="R675" s="1" t="s">
        <v>76</v>
      </c>
      <c r="S675" s="6">
        <v>2011.0</v>
      </c>
      <c r="T675" s="6">
        <v>2.0</v>
      </c>
      <c r="U675" s="1" t="s">
        <v>117</v>
      </c>
      <c r="V675" s="1" t="s">
        <v>118</v>
      </c>
      <c r="W675" s="6">
        <v>13.0</v>
      </c>
      <c r="X675" s="1" t="s">
        <v>534</v>
      </c>
      <c r="Y675" s="1" t="s">
        <v>535</v>
      </c>
      <c r="Z675" s="6">
        <v>6.46</v>
      </c>
      <c r="AA675" s="6">
        <v>188881.0</v>
      </c>
      <c r="AB675" s="10">
        <v>0.0</v>
      </c>
      <c r="AC675" s="1" t="s">
        <v>7017</v>
      </c>
      <c r="AD675" s="1" t="s">
        <v>7018</v>
      </c>
      <c r="AE675" s="1" t="s">
        <v>7019</v>
      </c>
      <c r="AF675" s="1" t="s">
        <v>7020</v>
      </c>
      <c r="AG675" s="1" t="s">
        <v>7019</v>
      </c>
      <c r="AH675" s="1" t="s">
        <v>882</v>
      </c>
      <c r="AI675" s="6">
        <v>30576.0</v>
      </c>
      <c r="AJ675" s="1" t="s">
        <v>106</v>
      </c>
      <c r="AK675" s="1" t="s">
        <v>7021</v>
      </c>
      <c r="AL675" s="1" t="s">
        <v>7022</v>
      </c>
      <c r="AM675" s="11" t="str">
        <f>VLOOKUP(N675,Sheet3!$B$4:$C$10,2,1)</f>
        <v>31-40</v>
      </c>
      <c r="AN675" s="12" t="str">
        <f>VLOOKUP(Z675,Sheet3!$F$4:$G$10,2,1)</f>
        <v>5-10</v>
      </c>
      <c r="AO675" s="5" t="str">
        <f>VLOOKUP(AA675,Sheet3!$I$3:$J$16,2,1)</f>
        <v>180000-200000</v>
      </c>
      <c r="AP675" s="5" t="str">
        <f>VLOOKUP(AB675,Sheet3!$L$4:$M$14,2,1)</f>
        <v>&lt; 5%</v>
      </c>
    </row>
    <row r="676">
      <c r="A676" s="6">
        <v>967793.0</v>
      </c>
      <c r="B676" s="1" t="s">
        <v>42</v>
      </c>
      <c r="C676" s="1" t="s">
        <v>5005</v>
      </c>
      <c r="D676" s="1" t="s">
        <v>318</v>
      </c>
      <c r="E676" s="1" t="s">
        <v>7023</v>
      </c>
      <c r="F676" s="1" t="s">
        <v>46</v>
      </c>
      <c r="G676" s="1" t="s">
        <v>7024</v>
      </c>
      <c r="H676" s="1" t="s">
        <v>6842</v>
      </c>
      <c r="I676" s="1" t="s">
        <v>7025</v>
      </c>
      <c r="J676" s="1" t="s">
        <v>7026</v>
      </c>
      <c r="K676" s="1" t="s">
        <v>4041</v>
      </c>
      <c r="L676" s="14">
        <v>31939.0</v>
      </c>
      <c r="M676" s="8">
        <v>0.521724537037037</v>
      </c>
      <c r="N676" s="6">
        <v>30.15</v>
      </c>
      <c r="O676" s="6">
        <v>52.0</v>
      </c>
      <c r="P676" s="9">
        <v>40136.0</v>
      </c>
      <c r="Q676" s="1" t="s">
        <v>52</v>
      </c>
      <c r="R676" s="1" t="s">
        <v>53</v>
      </c>
      <c r="S676" s="6">
        <v>2009.0</v>
      </c>
      <c r="T676" s="6">
        <v>11.0</v>
      </c>
      <c r="U676" s="1" t="s">
        <v>148</v>
      </c>
      <c r="V676" s="1" t="s">
        <v>149</v>
      </c>
      <c r="W676" s="6">
        <v>19.0</v>
      </c>
      <c r="X676" s="1" t="s">
        <v>150</v>
      </c>
      <c r="Y676" s="1" t="s">
        <v>151</v>
      </c>
      <c r="Z676" s="6">
        <v>7.69</v>
      </c>
      <c r="AA676" s="6">
        <v>104936.0</v>
      </c>
      <c r="AB676" s="10">
        <v>0.0</v>
      </c>
      <c r="AC676" s="1" t="s">
        <v>7027</v>
      </c>
      <c r="AD676" s="1" t="s">
        <v>7028</v>
      </c>
      <c r="AE676" s="1" t="s">
        <v>7029</v>
      </c>
      <c r="AF676" s="1" t="s">
        <v>562</v>
      </c>
      <c r="AG676" s="1" t="s">
        <v>7029</v>
      </c>
      <c r="AH676" s="1" t="s">
        <v>974</v>
      </c>
      <c r="AI676" s="6">
        <v>43989.0</v>
      </c>
      <c r="AJ676" s="1" t="s">
        <v>86</v>
      </c>
      <c r="AK676" s="1" t="s">
        <v>7030</v>
      </c>
      <c r="AL676" s="1" t="s">
        <v>7031</v>
      </c>
      <c r="AM676" s="11" t="str">
        <f>VLOOKUP(N676,Sheet3!$B$4:$C$10,2,1)</f>
        <v>21-30</v>
      </c>
      <c r="AN676" s="12" t="str">
        <f>VLOOKUP(Z676,Sheet3!$F$4:$G$10,2,1)</f>
        <v>5-10</v>
      </c>
      <c r="AO676" s="5" t="str">
        <f>VLOOKUP(AA676,Sheet3!$I$3:$J$16,2,1)</f>
        <v>100000-120000</v>
      </c>
      <c r="AP676" s="5" t="str">
        <f>VLOOKUP(AB676,Sheet3!$L$4:$M$14,2,1)</f>
        <v>&lt; 5%</v>
      </c>
    </row>
    <row r="677">
      <c r="A677" s="6">
        <v>790017.0</v>
      </c>
      <c r="B677" s="1" t="s">
        <v>227</v>
      </c>
      <c r="C677" s="1" t="s">
        <v>1484</v>
      </c>
      <c r="D677" s="1" t="s">
        <v>683</v>
      </c>
      <c r="E677" s="1" t="s">
        <v>6438</v>
      </c>
      <c r="F677" s="1" t="s">
        <v>70</v>
      </c>
      <c r="G677" s="1" t="s">
        <v>7032</v>
      </c>
      <c r="H677" s="1" t="s">
        <v>6842</v>
      </c>
      <c r="I677" s="1" t="s">
        <v>7033</v>
      </c>
      <c r="J677" s="1" t="s">
        <v>7034</v>
      </c>
      <c r="K677" s="1" t="s">
        <v>2723</v>
      </c>
      <c r="L677" s="9">
        <v>21546.0</v>
      </c>
      <c r="M677" s="8">
        <v>0.5541319444444445</v>
      </c>
      <c r="N677" s="6">
        <v>58.62</v>
      </c>
      <c r="O677" s="6">
        <v>57.0</v>
      </c>
      <c r="P677" s="9">
        <v>38426.0</v>
      </c>
      <c r="Q677" s="1" t="s">
        <v>96</v>
      </c>
      <c r="R677" s="1" t="s">
        <v>76</v>
      </c>
      <c r="S677" s="6">
        <v>2005.0</v>
      </c>
      <c r="T677" s="6">
        <v>3.0</v>
      </c>
      <c r="U677" s="1" t="s">
        <v>97</v>
      </c>
      <c r="V677" s="1" t="s">
        <v>98</v>
      </c>
      <c r="W677" s="6">
        <v>15.0</v>
      </c>
      <c r="X677" s="1" t="s">
        <v>79</v>
      </c>
      <c r="Y677" s="1" t="s">
        <v>80</v>
      </c>
      <c r="Z677" s="6">
        <v>12.38</v>
      </c>
      <c r="AA677" s="6">
        <v>161252.0</v>
      </c>
      <c r="AB677" s="10">
        <v>0.26</v>
      </c>
      <c r="AC677" s="1" t="s">
        <v>7035</v>
      </c>
      <c r="AD677" s="1" t="s">
        <v>7036</v>
      </c>
      <c r="AE677" s="1" t="s">
        <v>7037</v>
      </c>
      <c r="AF677" s="1" t="s">
        <v>7038</v>
      </c>
      <c r="AG677" s="1" t="s">
        <v>7037</v>
      </c>
      <c r="AH677" s="1" t="s">
        <v>2483</v>
      </c>
      <c r="AI677" s="6">
        <v>29484.0</v>
      </c>
      <c r="AJ677" s="1" t="s">
        <v>106</v>
      </c>
      <c r="AK677" s="1" t="s">
        <v>7039</v>
      </c>
      <c r="AL677" s="1" t="s">
        <v>7040</v>
      </c>
      <c r="AM677" s="11" t="str">
        <f>VLOOKUP(N677,Sheet3!$B$4:$C$10,2,1)</f>
        <v>51-60</v>
      </c>
      <c r="AN677" s="12" t="str">
        <f>VLOOKUP(Z677,Sheet3!$F$4:$G$10,2,1)</f>
        <v>11-20</v>
      </c>
      <c r="AO677" s="5" t="str">
        <f>VLOOKUP(AA677,Sheet3!$I$3:$J$16,2,1)</f>
        <v>160000-180000</v>
      </c>
      <c r="AP677" s="5" t="str">
        <f>VLOOKUP(AB677,Sheet3!$L$4:$M$14,2,1)</f>
        <v>26% - 30%</v>
      </c>
    </row>
    <row r="678">
      <c r="A678" s="6">
        <v>998638.0</v>
      </c>
      <c r="B678" s="1" t="s">
        <v>42</v>
      </c>
      <c r="C678" s="1" t="s">
        <v>5599</v>
      </c>
      <c r="D678" s="1" t="s">
        <v>403</v>
      </c>
      <c r="E678" s="1" t="s">
        <v>5280</v>
      </c>
      <c r="F678" s="1" t="s">
        <v>46</v>
      </c>
      <c r="G678" s="1" t="s">
        <v>7041</v>
      </c>
      <c r="H678" s="1" t="s">
        <v>6842</v>
      </c>
      <c r="I678" s="1" t="s">
        <v>7042</v>
      </c>
      <c r="J678" s="1" t="s">
        <v>7043</v>
      </c>
      <c r="K678" s="1" t="s">
        <v>3071</v>
      </c>
      <c r="L678" s="9">
        <v>30458.0</v>
      </c>
      <c r="M678" s="8">
        <v>0.8937847222222223</v>
      </c>
      <c r="N678" s="6">
        <v>34.21</v>
      </c>
      <c r="O678" s="6">
        <v>42.0</v>
      </c>
      <c r="P678" s="9">
        <v>42634.0</v>
      </c>
      <c r="Q678" s="1" t="s">
        <v>308</v>
      </c>
      <c r="R678" s="1" t="s">
        <v>53</v>
      </c>
      <c r="S678" s="6">
        <v>2016.0</v>
      </c>
      <c r="T678" s="6">
        <v>9.0</v>
      </c>
      <c r="U678" s="1" t="s">
        <v>309</v>
      </c>
      <c r="V678" s="1" t="s">
        <v>310</v>
      </c>
      <c r="W678" s="6">
        <v>21.0</v>
      </c>
      <c r="X678" s="1" t="s">
        <v>278</v>
      </c>
      <c r="Y678" s="1" t="s">
        <v>279</v>
      </c>
      <c r="Z678" s="6">
        <v>0.85</v>
      </c>
      <c r="AA678" s="6">
        <v>48857.0</v>
      </c>
      <c r="AB678" s="10">
        <v>0.17</v>
      </c>
      <c r="AC678" s="1" t="s">
        <v>7044</v>
      </c>
      <c r="AD678" s="1" t="s">
        <v>7045</v>
      </c>
      <c r="AE678" s="1" t="s">
        <v>7046</v>
      </c>
      <c r="AF678" s="1" t="s">
        <v>7047</v>
      </c>
      <c r="AG678" s="1" t="s">
        <v>7046</v>
      </c>
      <c r="AH678" s="1" t="s">
        <v>2028</v>
      </c>
      <c r="AI678" s="6">
        <v>85542.0</v>
      </c>
      <c r="AJ678" s="1" t="s">
        <v>63</v>
      </c>
      <c r="AK678" s="1" t="s">
        <v>7048</v>
      </c>
      <c r="AL678" s="1" t="s">
        <v>7049</v>
      </c>
      <c r="AM678" s="11" t="str">
        <f>VLOOKUP(N678,Sheet3!$B$4:$C$10,2,1)</f>
        <v>31-40</v>
      </c>
      <c r="AN678" s="13" t="str">
        <f>VLOOKUP(Z678,Sheet3!$F$4:$G$10,2,1)</f>
        <v>&lt; 5</v>
      </c>
      <c r="AO678" s="5" t="str">
        <f>VLOOKUP(AA678,Sheet3!$I$3:$J$16,2,1)</f>
        <v>40000-60000</v>
      </c>
      <c r="AP678" s="5" t="str">
        <f>VLOOKUP(AB678,Sheet3!$L$4:$M$14,2,1)</f>
        <v>16% - 20%</v>
      </c>
    </row>
    <row r="679">
      <c r="A679" s="6">
        <v>402452.0</v>
      </c>
      <c r="B679" s="1" t="s">
        <v>255</v>
      </c>
      <c r="C679" s="1" t="s">
        <v>6476</v>
      </c>
      <c r="D679" s="1" t="s">
        <v>173</v>
      </c>
      <c r="E679" s="1" t="s">
        <v>7050</v>
      </c>
      <c r="F679" s="1" t="s">
        <v>70</v>
      </c>
      <c r="G679" s="1" t="s">
        <v>7051</v>
      </c>
      <c r="H679" s="1" t="s">
        <v>6842</v>
      </c>
      <c r="I679" s="1" t="s">
        <v>7052</v>
      </c>
      <c r="J679" s="1" t="s">
        <v>7053</v>
      </c>
      <c r="K679" s="1" t="s">
        <v>7054</v>
      </c>
      <c r="L679" s="14">
        <v>29076.0</v>
      </c>
      <c r="M679" s="8">
        <v>0.36952546296296296</v>
      </c>
      <c r="N679" s="6">
        <v>37.99</v>
      </c>
      <c r="O679" s="6">
        <v>51.0</v>
      </c>
      <c r="P679" s="14">
        <v>41463.0</v>
      </c>
      <c r="Q679" s="1" t="s">
        <v>308</v>
      </c>
      <c r="R679" s="1" t="s">
        <v>53</v>
      </c>
      <c r="S679" s="6">
        <v>2013.0</v>
      </c>
      <c r="T679" s="6">
        <v>7.0</v>
      </c>
      <c r="U679" s="1" t="s">
        <v>366</v>
      </c>
      <c r="V679" s="1" t="s">
        <v>367</v>
      </c>
      <c r="W679" s="6">
        <v>8.0</v>
      </c>
      <c r="X679" s="1" t="s">
        <v>99</v>
      </c>
      <c r="Y679" s="1" t="s">
        <v>100</v>
      </c>
      <c r="Z679" s="6">
        <v>4.06</v>
      </c>
      <c r="AA679" s="6">
        <v>46383.0</v>
      </c>
      <c r="AB679" s="10">
        <v>0.2</v>
      </c>
      <c r="AC679" s="1" t="s">
        <v>7055</v>
      </c>
      <c r="AD679" s="1" t="s">
        <v>7056</v>
      </c>
      <c r="AE679" s="1" t="s">
        <v>7057</v>
      </c>
      <c r="AF679" s="1" t="s">
        <v>619</v>
      </c>
      <c r="AG679" s="1" t="s">
        <v>7057</v>
      </c>
      <c r="AH679" s="1" t="s">
        <v>1605</v>
      </c>
      <c r="AI679" s="6">
        <v>58325.0</v>
      </c>
      <c r="AJ679" s="1" t="s">
        <v>86</v>
      </c>
      <c r="AK679" s="1" t="s">
        <v>7058</v>
      </c>
      <c r="AL679" s="1" t="s">
        <v>7059</v>
      </c>
      <c r="AM679" s="11" t="str">
        <f>VLOOKUP(N679,Sheet3!$B$4:$C$10,2,1)</f>
        <v>31-40</v>
      </c>
      <c r="AN679" s="13" t="str">
        <f>VLOOKUP(Z679,Sheet3!$F$4:$G$10,2,1)</f>
        <v>&lt; 5</v>
      </c>
      <c r="AO679" s="5" t="str">
        <f>VLOOKUP(AA679,Sheet3!$I$3:$J$16,2,1)</f>
        <v>40000-60000</v>
      </c>
      <c r="AP679" s="5" t="str">
        <f>VLOOKUP(AB679,Sheet3!$L$4:$M$14,2,1)</f>
        <v>16% - 20%</v>
      </c>
    </row>
    <row r="680">
      <c r="A680" s="6">
        <v>490868.0</v>
      </c>
      <c r="B680" s="1" t="s">
        <v>227</v>
      </c>
      <c r="C680" s="1" t="s">
        <v>1148</v>
      </c>
      <c r="D680" s="1" t="s">
        <v>443</v>
      </c>
      <c r="E680" s="1" t="s">
        <v>4000</v>
      </c>
      <c r="F680" s="1" t="s">
        <v>70</v>
      </c>
      <c r="G680" s="1" t="s">
        <v>7060</v>
      </c>
      <c r="H680" s="1" t="s">
        <v>6842</v>
      </c>
      <c r="I680" s="1" t="s">
        <v>7061</v>
      </c>
      <c r="J680" s="1" t="s">
        <v>7062</v>
      </c>
      <c r="K680" s="1" t="s">
        <v>1305</v>
      </c>
      <c r="L680" s="9">
        <v>29725.0</v>
      </c>
      <c r="M680" s="8">
        <v>0.04096064814814815</v>
      </c>
      <c r="N680" s="6">
        <v>36.22</v>
      </c>
      <c r="O680" s="6">
        <v>83.0</v>
      </c>
      <c r="P680" s="14">
        <v>41184.0</v>
      </c>
      <c r="Q680" s="1" t="s">
        <v>52</v>
      </c>
      <c r="R680" s="1" t="s">
        <v>53</v>
      </c>
      <c r="S680" s="6">
        <v>2012.0</v>
      </c>
      <c r="T680" s="6">
        <v>10.0</v>
      </c>
      <c r="U680" s="1" t="s">
        <v>133</v>
      </c>
      <c r="V680" s="1" t="s">
        <v>134</v>
      </c>
      <c r="W680" s="6">
        <v>2.0</v>
      </c>
      <c r="X680" s="1" t="s">
        <v>79</v>
      </c>
      <c r="Y680" s="1" t="s">
        <v>80</v>
      </c>
      <c r="Z680" s="6">
        <v>4.82</v>
      </c>
      <c r="AA680" s="6">
        <v>142782.0</v>
      </c>
      <c r="AB680" s="10">
        <v>0.29</v>
      </c>
      <c r="AC680" s="1" t="s">
        <v>7063</v>
      </c>
      <c r="AD680" s="1" t="s">
        <v>7064</v>
      </c>
      <c r="AE680" s="1" t="s">
        <v>7065</v>
      </c>
      <c r="AF680" s="1" t="s">
        <v>7065</v>
      </c>
      <c r="AG680" s="1" t="s">
        <v>7065</v>
      </c>
      <c r="AH680" s="1" t="s">
        <v>906</v>
      </c>
      <c r="AI680" s="6">
        <v>7699.0</v>
      </c>
      <c r="AJ680" s="1" t="s">
        <v>224</v>
      </c>
      <c r="AK680" s="1" t="s">
        <v>7066</v>
      </c>
      <c r="AL680" s="1" t="s">
        <v>7067</v>
      </c>
      <c r="AM680" s="11" t="str">
        <f>VLOOKUP(N680,Sheet3!$B$4:$C$10,2,1)</f>
        <v>31-40</v>
      </c>
      <c r="AN680" s="13" t="str">
        <f>VLOOKUP(Z680,Sheet3!$F$4:$G$10,2,1)</f>
        <v>&lt; 5</v>
      </c>
      <c r="AO680" s="5" t="str">
        <f>VLOOKUP(AA680,Sheet3!$I$3:$J$16,2,1)</f>
        <v>140000-160000</v>
      </c>
      <c r="AP680" s="5" t="str">
        <f>VLOOKUP(AB680,Sheet3!$L$4:$M$14,2,1)</f>
        <v>26% - 30%</v>
      </c>
    </row>
    <row r="681">
      <c r="A681" s="6">
        <v>381597.0</v>
      </c>
      <c r="B681" s="1" t="s">
        <v>125</v>
      </c>
      <c r="C681" s="1" t="s">
        <v>7068</v>
      </c>
      <c r="D681" s="1" t="s">
        <v>111</v>
      </c>
      <c r="E681" s="1" t="s">
        <v>4263</v>
      </c>
      <c r="F681" s="1" t="s">
        <v>70</v>
      </c>
      <c r="G681" s="1" t="s">
        <v>7069</v>
      </c>
      <c r="H681" s="1" t="s">
        <v>6842</v>
      </c>
      <c r="I681" s="1" t="s">
        <v>7070</v>
      </c>
      <c r="J681" s="1" t="s">
        <v>7071</v>
      </c>
      <c r="K681" s="1" t="s">
        <v>7072</v>
      </c>
      <c r="L681" s="14">
        <v>32329.0</v>
      </c>
      <c r="M681" s="8">
        <v>0.06672453703703704</v>
      </c>
      <c r="N681" s="6">
        <v>29.08</v>
      </c>
      <c r="O681" s="6">
        <v>60.0</v>
      </c>
      <c r="P681" s="9">
        <v>42687.0</v>
      </c>
      <c r="Q681" s="1" t="s">
        <v>52</v>
      </c>
      <c r="R681" s="1" t="s">
        <v>53</v>
      </c>
      <c r="S681" s="6">
        <v>2016.0</v>
      </c>
      <c r="T681" s="6">
        <v>11.0</v>
      </c>
      <c r="U681" s="1" t="s">
        <v>148</v>
      </c>
      <c r="V681" s="1" t="s">
        <v>149</v>
      </c>
      <c r="W681" s="6">
        <v>13.0</v>
      </c>
      <c r="X681" s="1" t="s">
        <v>534</v>
      </c>
      <c r="Y681" s="1" t="s">
        <v>535</v>
      </c>
      <c r="Z681" s="6">
        <v>0.7</v>
      </c>
      <c r="AA681" s="6">
        <v>136662.0</v>
      </c>
      <c r="AB681" s="10">
        <v>0.26</v>
      </c>
      <c r="AC681" s="1" t="s">
        <v>7073</v>
      </c>
      <c r="AD681" s="1" t="s">
        <v>7074</v>
      </c>
      <c r="AE681" s="1" t="s">
        <v>7075</v>
      </c>
      <c r="AF681" s="1" t="s">
        <v>7076</v>
      </c>
      <c r="AG681" s="1" t="s">
        <v>7075</v>
      </c>
      <c r="AH681" s="1" t="s">
        <v>356</v>
      </c>
      <c r="AI681" s="6">
        <v>13056.0</v>
      </c>
      <c r="AJ681" s="1" t="s">
        <v>224</v>
      </c>
      <c r="AK681" s="1" t="s">
        <v>7077</v>
      </c>
      <c r="AL681" s="1" t="s">
        <v>7078</v>
      </c>
      <c r="AM681" s="11" t="str">
        <f>VLOOKUP(N681,Sheet3!$B$4:$C$10,2,1)</f>
        <v>21-30</v>
      </c>
      <c r="AN681" s="13" t="str">
        <f>VLOOKUP(Z681,Sheet3!$F$4:$G$10,2,1)</f>
        <v>&lt; 5</v>
      </c>
      <c r="AO681" s="5" t="str">
        <f>VLOOKUP(AA681,Sheet3!$I$3:$J$16,2,1)</f>
        <v>120000-140000</v>
      </c>
      <c r="AP681" s="5" t="str">
        <f>VLOOKUP(AB681,Sheet3!$L$4:$M$14,2,1)</f>
        <v>26% - 30%</v>
      </c>
    </row>
    <row r="682">
      <c r="A682" s="6">
        <v>852587.0</v>
      </c>
      <c r="B682" s="1" t="s">
        <v>227</v>
      </c>
      <c r="C682" s="1" t="s">
        <v>6252</v>
      </c>
      <c r="D682" s="1" t="s">
        <v>242</v>
      </c>
      <c r="E682" s="1" t="s">
        <v>803</v>
      </c>
      <c r="F682" s="1" t="s">
        <v>70</v>
      </c>
      <c r="G682" s="1" t="s">
        <v>7079</v>
      </c>
      <c r="H682" s="1" t="s">
        <v>6842</v>
      </c>
      <c r="I682" s="1" t="s">
        <v>7080</v>
      </c>
      <c r="J682" s="1" t="s">
        <v>7081</v>
      </c>
      <c r="K682" s="1" t="s">
        <v>95</v>
      </c>
      <c r="L682" s="14">
        <v>33762.0</v>
      </c>
      <c r="M682" s="8">
        <v>0.0025</v>
      </c>
      <c r="N682" s="6">
        <v>25.16</v>
      </c>
      <c r="O682" s="6">
        <v>53.0</v>
      </c>
      <c r="P682" s="14">
        <v>42742.0</v>
      </c>
      <c r="Q682" s="1" t="s">
        <v>96</v>
      </c>
      <c r="R682" s="1" t="s">
        <v>76</v>
      </c>
      <c r="S682" s="6">
        <v>2017.0</v>
      </c>
      <c r="T682" s="6">
        <v>1.0</v>
      </c>
      <c r="U682" s="1" t="s">
        <v>276</v>
      </c>
      <c r="V682" s="1" t="s">
        <v>277</v>
      </c>
      <c r="W682" s="6">
        <v>7.0</v>
      </c>
      <c r="X682" s="1" t="s">
        <v>56</v>
      </c>
      <c r="Y682" s="1" t="s">
        <v>57</v>
      </c>
      <c r="Z682" s="6">
        <v>0.55</v>
      </c>
      <c r="AA682" s="6">
        <v>55791.0</v>
      </c>
      <c r="AB682" s="10">
        <v>0.14</v>
      </c>
      <c r="AC682" s="1" t="s">
        <v>7082</v>
      </c>
      <c r="AD682" s="1" t="s">
        <v>7083</v>
      </c>
      <c r="AE682" s="1" t="s">
        <v>371</v>
      </c>
      <c r="AF682" s="1" t="s">
        <v>4941</v>
      </c>
      <c r="AG682" s="1" t="s">
        <v>371</v>
      </c>
      <c r="AH682" s="1" t="s">
        <v>4942</v>
      </c>
      <c r="AI682" s="6">
        <v>20053.0</v>
      </c>
      <c r="AJ682" s="1" t="s">
        <v>106</v>
      </c>
      <c r="AK682" s="1" t="s">
        <v>7084</v>
      </c>
      <c r="AL682" s="1" t="s">
        <v>7085</v>
      </c>
      <c r="AM682" s="11" t="str">
        <f>VLOOKUP(N682,Sheet3!$B$4:$C$10,2,1)</f>
        <v>21-30</v>
      </c>
      <c r="AN682" s="13" t="str">
        <f>VLOOKUP(Z682,Sheet3!$F$4:$G$10,2,1)</f>
        <v>&lt; 5</v>
      </c>
      <c r="AO682" s="5" t="str">
        <f>VLOOKUP(AA682,Sheet3!$I$3:$J$16,2,1)</f>
        <v>40000-60000</v>
      </c>
      <c r="AP682" s="5" t="str">
        <f>VLOOKUP(AB682,Sheet3!$L$4:$M$14,2,1)</f>
        <v>11% - 15%</v>
      </c>
    </row>
    <row r="683">
      <c r="A683" s="6">
        <v>732315.0</v>
      </c>
      <c r="B683" s="1" t="s">
        <v>89</v>
      </c>
      <c r="C683" s="1" t="s">
        <v>7086</v>
      </c>
      <c r="D683" s="1" t="s">
        <v>466</v>
      </c>
      <c r="E683" s="1" t="s">
        <v>3554</v>
      </c>
      <c r="F683" s="1" t="s">
        <v>46</v>
      </c>
      <c r="G683" s="1" t="s">
        <v>7087</v>
      </c>
      <c r="H683" s="1" t="s">
        <v>6842</v>
      </c>
      <c r="I683" s="1" t="s">
        <v>7088</v>
      </c>
      <c r="J683" s="1" t="s">
        <v>7089</v>
      </c>
      <c r="K683" s="1" t="s">
        <v>1278</v>
      </c>
      <c r="L683" s="14">
        <v>26576.0</v>
      </c>
      <c r="M683" s="8">
        <v>0.3963773148148148</v>
      </c>
      <c r="N683" s="6">
        <v>44.84</v>
      </c>
      <c r="O683" s="6">
        <v>47.0</v>
      </c>
      <c r="P683" s="14">
        <v>42379.0</v>
      </c>
      <c r="Q683" s="1" t="s">
        <v>96</v>
      </c>
      <c r="R683" s="1" t="s">
        <v>76</v>
      </c>
      <c r="S683" s="6">
        <v>2016.0</v>
      </c>
      <c r="T683" s="6">
        <v>1.0</v>
      </c>
      <c r="U683" s="1" t="s">
        <v>276</v>
      </c>
      <c r="V683" s="1" t="s">
        <v>277</v>
      </c>
      <c r="W683" s="6">
        <v>10.0</v>
      </c>
      <c r="X683" s="1" t="s">
        <v>534</v>
      </c>
      <c r="Y683" s="1" t="s">
        <v>535</v>
      </c>
      <c r="Z683" s="6">
        <v>1.55</v>
      </c>
      <c r="AA683" s="6">
        <v>106090.0</v>
      </c>
      <c r="AB683" s="10">
        <v>0.14</v>
      </c>
      <c r="AC683" s="1" t="s">
        <v>7090</v>
      </c>
      <c r="AD683" s="1" t="s">
        <v>7091</v>
      </c>
      <c r="AE683" s="1" t="s">
        <v>7092</v>
      </c>
      <c r="AF683" s="1" t="s">
        <v>6111</v>
      </c>
      <c r="AG683" s="1" t="s">
        <v>7092</v>
      </c>
      <c r="AH683" s="1" t="s">
        <v>238</v>
      </c>
      <c r="AI683" s="6">
        <v>92054.0</v>
      </c>
      <c r="AJ683" s="1" t="s">
        <v>63</v>
      </c>
      <c r="AK683" s="1" t="s">
        <v>7093</v>
      </c>
      <c r="AL683" s="1" t="s">
        <v>7094</v>
      </c>
      <c r="AM683" s="11" t="str">
        <f>VLOOKUP(N683,Sheet3!$B$4:$C$10,2,1)</f>
        <v>41-50</v>
      </c>
      <c r="AN683" s="13" t="str">
        <f>VLOOKUP(Z683,Sheet3!$F$4:$G$10,2,1)</f>
        <v>&lt; 5</v>
      </c>
      <c r="AO683" s="5" t="str">
        <f>VLOOKUP(AA683,Sheet3!$I$3:$J$16,2,1)</f>
        <v>100000-120000</v>
      </c>
      <c r="AP683" s="5" t="str">
        <f>VLOOKUP(AB683,Sheet3!$L$4:$M$14,2,1)</f>
        <v>11% - 15%</v>
      </c>
    </row>
    <row r="684">
      <c r="A684" s="6">
        <v>937260.0</v>
      </c>
      <c r="B684" s="1" t="s">
        <v>109</v>
      </c>
      <c r="C684" s="1" t="s">
        <v>5758</v>
      </c>
      <c r="D684" s="1" t="s">
        <v>257</v>
      </c>
      <c r="E684" s="1" t="s">
        <v>7095</v>
      </c>
      <c r="F684" s="1" t="s">
        <v>46</v>
      </c>
      <c r="G684" s="1" t="s">
        <v>7096</v>
      </c>
      <c r="H684" s="1" t="s">
        <v>6842</v>
      </c>
      <c r="I684" s="1" t="s">
        <v>7097</v>
      </c>
      <c r="J684" s="1" t="s">
        <v>7098</v>
      </c>
      <c r="K684" s="1" t="s">
        <v>4397</v>
      </c>
      <c r="L684" s="14">
        <v>30257.0</v>
      </c>
      <c r="M684" s="8">
        <v>0.02875</v>
      </c>
      <c r="N684" s="6">
        <v>34.76</v>
      </c>
      <c r="O684" s="6">
        <v>55.0</v>
      </c>
      <c r="P684" s="9">
        <v>39900.0</v>
      </c>
      <c r="Q684" s="1" t="s">
        <v>96</v>
      </c>
      <c r="R684" s="1" t="s">
        <v>76</v>
      </c>
      <c r="S684" s="6">
        <v>2009.0</v>
      </c>
      <c r="T684" s="6">
        <v>3.0</v>
      </c>
      <c r="U684" s="1" t="s">
        <v>97</v>
      </c>
      <c r="V684" s="1" t="s">
        <v>98</v>
      </c>
      <c r="W684" s="6">
        <v>28.0</v>
      </c>
      <c r="X684" s="1" t="s">
        <v>56</v>
      </c>
      <c r="Y684" s="1" t="s">
        <v>57</v>
      </c>
      <c r="Z684" s="6">
        <v>8.34</v>
      </c>
      <c r="AA684" s="6">
        <v>82136.0</v>
      </c>
      <c r="AB684" s="10">
        <v>0.03</v>
      </c>
      <c r="AC684" s="1" t="s">
        <v>7099</v>
      </c>
      <c r="AD684" s="1" t="s">
        <v>7100</v>
      </c>
      <c r="AE684" s="1" t="s">
        <v>7101</v>
      </c>
      <c r="AF684" s="1" t="s">
        <v>1539</v>
      </c>
      <c r="AG684" s="1" t="s">
        <v>7101</v>
      </c>
      <c r="AH684" s="1" t="s">
        <v>238</v>
      </c>
      <c r="AI684" s="6">
        <v>92693.0</v>
      </c>
      <c r="AJ684" s="1" t="s">
        <v>63</v>
      </c>
      <c r="AK684" s="1" t="s">
        <v>7102</v>
      </c>
      <c r="AL684" s="1" t="s">
        <v>7103</v>
      </c>
      <c r="AM684" s="11" t="str">
        <f>VLOOKUP(N684,Sheet3!$B$4:$C$10,2,1)</f>
        <v>31-40</v>
      </c>
      <c r="AN684" s="12" t="str">
        <f>VLOOKUP(Z684,Sheet3!$F$4:$G$10,2,1)</f>
        <v>5-10</v>
      </c>
      <c r="AO684" s="5" t="str">
        <f>VLOOKUP(AA684,Sheet3!$I$3:$J$16,2,1)</f>
        <v>80000-100000</v>
      </c>
      <c r="AP684" s="5" t="str">
        <f>VLOOKUP(AB684,Sheet3!$L$4:$M$14,2,1)</f>
        <v>&lt; 5%</v>
      </c>
    </row>
    <row r="685">
      <c r="A685" s="6">
        <v>290034.0</v>
      </c>
      <c r="B685" s="1" t="s">
        <v>109</v>
      </c>
      <c r="C685" s="1" t="s">
        <v>7104</v>
      </c>
      <c r="D685" s="1" t="s">
        <v>360</v>
      </c>
      <c r="E685" s="1" t="s">
        <v>6091</v>
      </c>
      <c r="F685" s="1" t="s">
        <v>46</v>
      </c>
      <c r="G685" s="1" t="s">
        <v>7105</v>
      </c>
      <c r="H685" s="1" t="s">
        <v>6842</v>
      </c>
      <c r="I685" s="1" t="s">
        <v>7106</v>
      </c>
      <c r="J685" s="1" t="s">
        <v>7107</v>
      </c>
      <c r="K685" s="1" t="s">
        <v>7108</v>
      </c>
      <c r="L685" s="14">
        <v>30901.0</v>
      </c>
      <c r="M685" s="8">
        <v>0.8049537037037037</v>
      </c>
      <c r="N685" s="6">
        <v>32.99</v>
      </c>
      <c r="O685" s="6">
        <v>50.0</v>
      </c>
      <c r="P685" s="9">
        <v>41274.0</v>
      </c>
      <c r="Q685" s="1" t="s">
        <v>52</v>
      </c>
      <c r="R685" s="1" t="s">
        <v>53</v>
      </c>
      <c r="S685" s="6">
        <v>2012.0</v>
      </c>
      <c r="T685" s="6">
        <v>12.0</v>
      </c>
      <c r="U685" s="1" t="s">
        <v>54</v>
      </c>
      <c r="V685" s="1" t="s">
        <v>55</v>
      </c>
      <c r="W685" s="6">
        <v>31.0</v>
      </c>
      <c r="X685" s="1" t="s">
        <v>99</v>
      </c>
      <c r="Y685" s="1" t="s">
        <v>100</v>
      </c>
      <c r="Z685" s="6">
        <v>4.58</v>
      </c>
      <c r="AA685" s="6">
        <v>163170.0</v>
      </c>
      <c r="AB685" s="10">
        <v>0.22</v>
      </c>
      <c r="AC685" s="1" t="s">
        <v>7109</v>
      </c>
      <c r="AD685" s="1" t="s">
        <v>7110</v>
      </c>
      <c r="AE685" s="1" t="s">
        <v>7111</v>
      </c>
      <c r="AF685" s="1" t="s">
        <v>6370</v>
      </c>
      <c r="AG685" s="1" t="s">
        <v>7111</v>
      </c>
      <c r="AH685" s="1" t="s">
        <v>399</v>
      </c>
      <c r="AI685" s="6">
        <v>71227.0</v>
      </c>
      <c r="AJ685" s="1" t="s">
        <v>106</v>
      </c>
      <c r="AK685" s="1" t="s">
        <v>7112</v>
      </c>
      <c r="AL685" s="1" t="s">
        <v>7113</v>
      </c>
      <c r="AM685" s="11" t="str">
        <f>VLOOKUP(N685,Sheet3!$B$4:$C$10,2,1)</f>
        <v>31-40</v>
      </c>
      <c r="AN685" s="13" t="str">
        <f>VLOOKUP(Z685,Sheet3!$F$4:$G$10,2,1)</f>
        <v>&lt; 5</v>
      </c>
      <c r="AO685" s="5" t="str">
        <f>VLOOKUP(AA685,Sheet3!$I$3:$J$16,2,1)</f>
        <v>160000-180000</v>
      </c>
      <c r="AP685" s="5" t="str">
        <f>VLOOKUP(AB685,Sheet3!$L$4:$M$14,2,1)</f>
        <v>21% - 25%</v>
      </c>
    </row>
    <row r="686">
      <c r="A686" s="6">
        <v>273325.0</v>
      </c>
      <c r="B686" s="1" t="s">
        <v>42</v>
      </c>
      <c r="C686" s="1" t="s">
        <v>1288</v>
      </c>
      <c r="D686" s="1" t="s">
        <v>127</v>
      </c>
      <c r="E686" s="1" t="s">
        <v>852</v>
      </c>
      <c r="F686" s="1" t="s">
        <v>46</v>
      </c>
      <c r="G686" s="1" t="s">
        <v>7114</v>
      </c>
      <c r="H686" s="1" t="s">
        <v>6842</v>
      </c>
      <c r="I686" s="1" t="s">
        <v>7115</v>
      </c>
      <c r="J686" s="1" t="s">
        <v>7116</v>
      </c>
      <c r="K686" s="1" t="s">
        <v>7117</v>
      </c>
      <c r="L686" s="14">
        <v>21924.0</v>
      </c>
      <c r="M686" s="8">
        <v>0.018287037037037036</v>
      </c>
      <c r="N686" s="6">
        <v>57.59</v>
      </c>
      <c r="O686" s="6">
        <v>50.0</v>
      </c>
      <c r="P686" s="14">
        <v>29650.0</v>
      </c>
      <c r="Q686" s="1" t="s">
        <v>96</v>
      </c>
      <c r="R686" s="1" t="s">
        <v>76</v>
      </c>
      <c r="S686" s="6">
        <v>1981.0</v>
      </c>
      <c r="T686" s="6">
        <v>3.0</v>
      </c>
      <c r="U686" s="1" t="s">
        <v>97</v>
      </c>
      <c r="V686" s="1" t="s">
        <v>98</v>
      </c>
      <c r="W686" s="6">
        <v>5.0</v>
      </c>
      <c r="X686" s="1" t="s">
        <v>150</v>
      </c>
      <c r="Y686" s="1" t="s">
        <v>151</v>
      </c>
      <c r="Z686" s="6">
        <v>36.42</v>
      </c>
      <c r="AA686" s="6">
        <v>162559.0</v>
      </c>
      <c r="AB686" s="10">
        <v>0.28</v>
      </c>
      <c r="AC686" s="1" t="s">
        <v>7118</v>
      </c>
      <c r="AD686" s="1" t="s">
        <v>7119</v>
      </c>
      <c r="AE686" s="1" t="s">
        <v>7120</v>
      </c>
      <c r="AF686" s="1" t="s">
        <v>7121</v>
      </c>
      <c r="AG686" s="1" t="s">
        <v>7120</v>
      </c>
      <c r="AH686" s="1" t="s">
        <v>974</v>
      </c>
      <c r="AI686" s="6">
        <v>43945.0</v>
      </c>
      <c r="AJ686" s="1" t="s">
        <v>86</v>
      </c>
      <c r="AK686" s="1" t="s">
        <v>7122</v>
      </c>
      <c r="AL686" s="1" t="s">
        <v>7123</v>
      </c>
      <c r="AM686" s="11" t="str">
        <f>VLOOKUP(N686,Sheet3!$B$4:$C$10,2,1)</f>
        <v>51-60</v>
      </c>
      <c r="AN686" s="13" t="str">
        <f>VLOOKUP(Z686,Sheet3!$F$4:$G$10,2,1)</f>
        <v>31-40</v>
      </c>
      <c r="AO686" s="5" t="str">
        <f>VLOOKUP(AA686,Sheet3!$I$3:$J$16,2,1)</f>
        <v>160000-180000</v>
      </c>
      <c r="AP686" s="5" t="str">
        <f>VLOOKUP(AB686,Sheet3!$L$4:$M$14,2,1)</f>
        <v>26% - 30%</v>
      </c>
    </row>
    <row r="687">
      <c r="A687" s="6">
        <v>809726.0</v>
      </c>
      <c r="B687" s="1" t="s">
        <v>255</v>
      </c>
      <c r="C687" s="1" t="s">
        <v>7124</v>
      </c>
      <c r="D687" s="1" t="s">
        <v>466</v>
      </c>
      <c r="E687" s="1" t="s">
        <v>4968</v>
      </c>
      <c r="F687" s="1" t="s">
        <v>70</v>
      </c>
      <c r="G687" s="1" t="s">
        <v>7125</v>
      </c>
      <c r="H687" s="1" t="s">
        <v>6842</v>
      </c>
      <c r="I687" s="1" t="s">
        <v>7126</v>
      </c>
      <c r="J687" s="1" t="s">
        <v>7127</v>
      </c>
      <c r="K687" s="1" t="s">
        <v>1378</v>
      </c>
      <c r="L687" s="9">
        <v>28814.0</v>
      </c>
      <c r="M687" s="8">
        <v>0.2962152777777778</v>
      </c>
      <c r="N687" s="6">
        <v>38.71</v>
      </c>
      <c r="O687" s="6">
        <v>58.0</v>
      </c>
      <c r="P687" s="9">
        <v>38101.0</v>
      </c>
      <c r="Q687" s="1" t="s">
        <v>75</v>
      </c>
      <c r="R687" s="1" t="s">
        <v>76</v>
      </c>
      <c r="S687" s="6">
        <v>2004.0</v>
      </c>
      <c r="T687" s="6">
        <v>4.0</v>
      </c>
      <c r="U687" s="1" t="s">
        <v>77</v>
      </c>
      <c r="V687" s="1" t="s">
        <v>78</v>
      </c>
      <c r="W687" s="6">
        <v>24.0</v>
      </c>
      <c r="X687" s="1" t="s">
        <v>56</v>
      </c>
      <c r="Y687" s="1" t="s">
        <v>57</v>
      </c>
      <c r="Z687" s="6">
        <v>13.27</v>
      </c>
      <c r="AA687" s="6">
        <v>66919.0</v>
      </c>
      <c r="AB687" s="10">
        <v>0.01</v>
      </c>
      <c r="AC687" s="1" t="s">
        <v>7128</v>
      </c>
      <c r="AD687" s="1" t="s">
        <v>7129</v>
      </c>
      <c r="AE687" s="1" t="s">
        <v>7130</v>
      </c>
      <c r="AF687" s="1" t="s">
        <v>7131</v>
      </c>
      <c r="AG687" s="1" t="s">
        <v>7130</v>
      </c>
      <c r="AH687" s="1" t="s">
        <v>210</v>
      </c>
      <c r="AI687" s="6">
        <v>61818.0</v>
      </c>
      <c r="AJ687" s="1" t="s">
        <v>86</v>
      </c>
      <c r="AK687" s="1" t="s">
        <v>7132</v>
      </c>
      <c r="AL687" s="1" t="s">
        <v>7133</v>
      </c>
      <c r="AM687" s="11" t="str">
        <f>VLOOKUP(N687,Sheet3!$B$4:$C$10,2,1)</f>
        <v>31-40</v>
      </c>
      <c r="AN687" s="12" t="str">
        <f>VLOOKUP(Z687,Sheet3!$F$4:$G$10,2,1)</f>
        <v>11-20</v>
      </c>
      <c r="AO687" s="5" t="str">
        <f>VLOOKUP(AA687,Sheet3!$I$3:$J$16,2,1)</f>
        <v>60000-80000</v>
      </c>
      <c r="AP687" s="5" t="str">
        <f>VLOOKUP(AB687,Sheet3!$L$4:$M$14,2,1)</f>
        <v>&lt; 5%</v>
      </c>
    </row>
    <row r="688">
      <c r="A688" s="6">
        <v>575035.0</v>
      </c>
      <c r="B688" s="1" t="s">
        <v>109</v>
      </c>
      <c r="C688" s="1" t="s">
        <v>7134</v>
      </c>
      <c r="D688" s="1" t="s">
        <v>70</v>
      </c>
      <c r="E688" s="1" t="s">
        <v>2625</v>
      </c>
      <c r="F688" s="1" t="s">
        <v>46</v>
      </c>
      <c r="G688" s="1" t="s">
        <v>7135</v>
      </c>
      <c r="H688" s="1" t="s">
        <v>6842</v>
      </c>
      <c r="I688" s="1" t="s">
        <v>7136</v>
      </c>
      <c r="J688" s="1" t="s">
        <v>7137</v>
      </c>
      <c r="K688" s="1" t="s">
        <v>558</v>
      </c>
      <c r="L688" s="9">
        <v>32958.0</v>
      </c>
      <c r="M688" s="8">
        <v>0.8636226851851851</v>
      </c>
      <c r="N688" s="6">
        <v>27.36</v>
      </c>
      <c r="O688" s="6">
        <v>52.0</v>
      </c>
      <c r="P688" s="14">
        <v>42743.0</v>
      </c>
      <c r="Q688" s="1" t="s">
        <v>96</v>
      </c>
      <c r="R688" s="1" t="s">
        <v>76</v>
      </c>
      <c r="S688" s="6">
        <v>2017.0</v>
      </c>
      <c r="T688" s="6">
        <v>1.0</v>
      </c>
      <c r="U688" s="1" t="s">
        <v>276</v>
      </c>
      <c r="V688" s="1" t="s">
        <v>277</v>
      </c>
      <c r="W688" s="6">
        <v>8.0</v>
      </c>
      <c r="X688" s="1" t="s">
        <v>534</v>
      </c>
      <c r="Y688" s="1" t="s">
        <v>535</v>
      </c>
      <c r="Z688" s="6">
        <v>0.55</v>
      </c>
      <c r="AA688" s="6">
        <v>196252.0</v>
      </c>
      <c r="AB688" s="10">
        <v>0.26</v>
      </c>
      <c r="AC688" s="1" t="s">
        <v>7138</v>
      </c>
      <c r="AD688" s="1" t="s">
        <v>7139</v>
      </c>
      <c r="AE688" s="1" t="s">
        <v>4047</v>
      </c>
      <c r="AF688" s="1" t="s">
        <v>649</v>
      </c>
      <c r="AG688" s="1" t="s">
        <v>4047</v>
      </c>
      <c r="AH688" s="1" t="s">
        <v>105</v>
      </c>
      <c r="AI688" s="6">
        <v>40255.0</v>
      </c>
      <c r="AJ688" s="1" t="s">
        <v>106</v>
      </c>
      <c r="AK688" s="1" t="s">
        <v>7140</v>
      </c>
      <c r="AL688" s="1" t="s">
        <v>7141</v>
      </c>
      <c r="AM688" s="11" t="str">
        <f>VLOOKUP(N688,Sheet3!$B$4:$C$10,2,1)</f>
        <v>21-30</v>
      </c>
      <c r="AN688" s="13" t="str">
        <f>VLOOKUP(Z688,Sheet3!$F$4:$G$10,2,1)</f>
        <v>&lt; 5</v>
      </c>
      <c r="AO688" s="5" t="str">
        <f>VLOOKUP(AA688,Sheet3!$I$3:$J$16,2,1)</f>
        <v>180000-200000</v>
      </c>
      <c r="AP688" s="5" t="str">
        <f>VLOOKUP(AB688,Sheet3!$L$4:$M$14,2,1)</f>
        <v>26% - 30%</v>
      </c>
    </row>
    <row r="689">
      <c r="A689" s="6">
        <v>211129.0</v>
      </c>
      <c r="B689" s="1" t="s">
        <v>66</v>
      </c>
      <c r="C689" s="1" t="s">
        <v>7142</v>
      </c>
      <c r="D689" s="1" t="s">
        <v>529</v>
      </c>
      <c r="E689" s="1" t="s">
        <v>7143</v>
      </c>
      <c r="F689" s="1" t="s">
        <v>70</v>
      </c>
      <c r="G689" s="1" t="s">
        <v>7144</v>
      </c>
      <c r="H689" s="1" t="s">
        <v>6842</v>
      </c>
      <c r="I689" s="1" t="s">
        <v>7145</v>
      </c>
      <c r="J689" s="1" t="s">
        <v>7146</v>
      </c>
      <c r="K689" s="1" t="s">
        <v>3813</v>
      </c>
      <c r="L689" s="14">
        <v>26305.0</v>
      </c>
      <c r="M689" s="8">
        <v>0.8977430555555556</v>
      </c>
      <c r="N689" s="6">
        <v>45.59</v>
      </c>
      <c r="O689" s="6">
        <v>72.0</v>
      </c>
      <c r="P689" s="9">
        <v>37402.0</v>
      </c>
      <c r="Q689" s="1" t="s">
        <v>75</v>
      </c>
      <c r="R689" s="1" t="s">
        <v>76</v>
      </c>
      <c r="S689" s="6">
        <v>2002.0</v>
      </c>
      <c r="T689" s="6">
        <v>5.0</v>
      </c>
      <c r="U689" s="1" t="s">
        <v>294</v>
      </c>
      <c r="V689" s="1" t="s">
        <v>294</v>
      </c>
      <c r="W689" s="6">
        <v>26.0</v>
      </c>
      <c r="X689" s="1" t="s">
        <v>534</v>
      </c>
      <c r="Y689" s="1" t="s">
        <v>535</v>
      </c>
      <c r="Z689" s="6">
        <v>15.18</v>
      </c>
      <c r="AA689" s="6">
        <v>191018.0</v>
      </c>
      <c r="AB689" s="10">
        <v>0.09</v>
      </c>
      <c r="AC689" s="1" t="s">
        <v>7147</v>
      </c>
      <c r="AD689" s="1" t="s">
        <v>7148</v>
      </c>
      <c r="AE689" s="1" t="s">
        <v>1447</v>
      </c>
      <c r="AF689" s="1" t="s">
        <v>4860</v>
      </c>
      <c r="AG689" s="1" t="s">
        <v>1447</v>
      </c>
      <c r="AH689" s="1" t="s">
        <v>223</v>
      </c>
      <c r="AI689" s="6">
        <v>18351.0</v>
      </c>
      <c r="AJ689" s="1" t="s">
        <v>224</v>
      </c>
      <c r="AK689" s="1" t="s">
        <v>7149</v>
      </c>
      <c r="AL689" s="1" t="s">
        <v>7150</v>
      </c>
      <c r="AM689" s="11" t="str">
        <f>VLOOKUP(N689,Sheet3!$B$4:$C$10,2,1)</f>
        <v>41-50</v>
      </c>
      <c r="AN689" s="12" t="str">
        <f>VLOOKUP(Z689,Sheet3!$F$4:$G$10,2,1)</f>
        <v>11-20</v>
      </c>
      <c r="AO689" s="5" t="str">
        <f>VLOOKUP(AA689,Sheet3!$I$3:$J$16,2,1)</f>
        <v>180000-200000</v>
      </c>
      <c r="AP689" s="5" t="str">
        <f>VLOOKUP(AB689,Sheet3!$L$4:$M$14,2,1)</f>
        <v>5% - 10%</v>
      </c>
    </row>
    <row r="690">
      <c r="A690" s="6">
        <v>673451.0</v>
      </c>
      <c r="B690" s="1" t="s">
        <v>89</v>
      </c>
      <c r="C690" s="1" t="s">
        <v>7151</v>
      </c>
      <c r="D690" s="1" t="s">
        <v>443</v>
      </c>
      <c r="E690" s="1" t="s">
        <v>2682</v>
      </c>
      <c r="F690" s="1" t="s">
        <v>46</v>
      </c>
      <c r="G690" s="1" t="s">
        <v>7152</v>
      </c>
      <c r="H690" s="1" t="s">
        <v>6842</v>
      </c>
      <c r="I690" s="1" t="s">
        <v>7153</v>
      </c>
      <c r="J690" s="1" t="s">
        <v>7154</v>
      </c>
      <c r="K690" s="1" t="s">
        <v>2214</v>
      </c>
      <c r="L690" s="9">
        <v>33626.0</v>
      </c>
      <c r="M690" s="8">
        <v>0.12483796296296296</v>
      </c>
      <c r="N690" s="6">
        <v>25.53</v>
      </c>
      <c r="O690" s="6">
        <v>43.0</v>
      </c>
      <c r="P690" s="9">
        <v>42444.0</v>
      </c>
      <c r="Q690" s="1" t="s">
        <v>96</v>
      </c>
      <c r="R690" s="1" t="s">
        <v>76</v>
      </c>
      <c r="S690" s="6">
        <v>2016.0</v>
      </c>
      <c r="T690" s="6">
        <v>3.0</v>
      </c>
      <c r="U690" s="1" t="s">
        <v>97</v>
      </c>
      <c r="V690" s="1" t="s">
        <v>98</v>
      </c>
      <c r="W690" s="6">
        <v>15.0</v>
      </c>
      <c r="X690" s="1" t="s">
        <v>79</v>
      </c>
      <c r="Y690" s="1" t="s">
        <v>80</v>
      </c>
      <c r="Z690" s="6">
        <v>1.37</v>
      </c>
      <c r="AA690" s="6">
        <v>128429.0</v>
      </c>
      <c r="AB690" s="10">
        <v>0.03</v>
      </c>
      <c r="AC690" s="1" t="s">
        <v>7155</v>
      </c>
      <c r="AD690" s="1" t="s">
        <v>7156</v>
      </c>
      <c r="AE690" s="1" t="s">
        <v>1790</v>
      </c>
      <c r="AF690" s="1" t="s">
        <v>1791</v>
      </c>
      <c r="AG690" s="1" t="s">
        <v>1790</v>
      </c>
      <c r="AH690" s="1" t="s">
        <v>857</v>
      </c>
      <c r="AI690" s="6">
        <v>63137.0</v>
      </c>
      <c r="AJ690" s="1" t="s">
        <v>86</v>
      </c>
      <c r="AK690" s="1" t="s">
        <v>7157</v>
      </c>
      <c r="AL690" s="1" t="s">
        <v>7158</v>
      </c>
      <c r="AM690" s="11" t="str">
        <f>VLOOKUP(N690,Sheet3!$B$4:$C$10,2,1)</f>
        <v>21-30</v>
      </c>
      <c r="AN690" s="13" t="str">
        <f>VLOOKUP(Z690,Sheet3!$F$4:$G$10,2,1)</f>
        <v>&lt; 5</v>
      </c>
      <c r="AO690" s="5" t="str">
        <f>VLOOKUP(AA690,Sheet3!$I$3:$J$16,2,1)</f>
        <v>120000-140000</v>
      </c>
      <c r="AP690" s="5" t="str">
        <f>VLOOKUP(AB690,Sheet3!$L$4:$M$14,2,1)</f>
        <v>&lt; 5%</v>
      </c>
    </row>
    <row r="691">
      <c r="A691" s="6">
        <v>230226.0</v>
      </c>
      <c r="B691" s="1" t="s">
        <v>42</v>
      </c>
      <c r="C691" s="1" t="s">
        <v>7159</v>
      </c>
      <c r="D691" s="1" t="s">
        <v>46</v>
      </c>
      <c r="E691" s="1" t="s">
        <v>7160</v>
      </c>
      <c r="F691" s="1" t="s">
        <v>46</v>
      </c>
      <c r="G691" s="1" t="s">
        <v>7161</v>
      </c>
      <c r="H691" s="1" t="s">
        <v>6842</v>
      </c>
      <c r="I691" s="1" t="s">
        <v>7162</v>
      </c>
      <c r="J691" s="1" t="s">
        <v>7163</v>
      </c>
      <c r="K691" s="1" t="s">
        <v>3632</v>
      </c>
      <c r="L691" s="14">
        <v>28042.0</v>
      </c>
      <c r="M691" s="8">
        <v>0.5323148148148148</v>
      </c>
      <c r="N691" s="6">
        <v>40.83</v>
      </c>
      <c r="O691" s="6">
        <v>58.0</v>
      </c>
      <c r="P691" s="14">
        <v>41801.0</v>
      </c>
      <c r="Q691" s="1" t="s">
        <v>75</v>
      </c>
      <c r="R691" s="1" t="s">
        <v>76</v>
      </c>
      <c r="S691" s="6">
        <v>2014.0</v>
      </c>
      <c r="T691" s="6">
        <v>6.0</v>
      </c>
      <c r="U691" s="1" t="s">
        <v>324</v>
      </c>
      <c r="V691" s="1" t="s">
        <v>325</v>
      </c>
      <c r="W691" s="6">
        <v>11.0</v>
      </c>
      <c r="X691" s="1" t="s">
        <v>278</v>
      </c>
      <c r="Y691" s="1" t="s">
        <v>279</v>
      </c>
      <c r="Z691" s="6">
        <v>3.13</v>
      </c>
      <c r="AA691" s="6">
        <v>61066.0</v>
      </c>
      <c r="AB691" s="10">
        <v>0.02</v>
      </c>
      <c r="AC691" s="1" t="s">
        <v>7164</v>
      </c>
      <c r="AD691" s="1" t="s">
        <v>7165</v>
      </c>
      <c r="AE691" s="1" t="s">
        <v>7166</v>
      </c>
      <c r="AF691" s="1" t="s">
        <v>739</v>
      </c>
      <c r="AG691" s="1" t="s">
        <v>7166</v>
      </c>
      <c r="AH691" s="1" t="s">
        <v>563</v>
      </c>
      <c r="AI691" s="6">
        <v>26761.0</v>
      </c>
      <c r="AJ691" s="1" t="s">
        <v>106</v>
      </c>
      <c r="AK691" s="1" t="s">
        <v>7167</v>
      </c>
      <c r="AL691" s="1" t="s">
        <v>7168</v>
      </c>
      <c r="AM691" s="11" t="str">
        <f>VLOOKUP(N691,Sheet3!$B$4:$C$10,2,1)</f>
        <v>31-40</v>
      </c>
      <c r="AN691" s="13" t="str">
        <f>VLOOKUP(Z691,Sheet3!$F$4:$G$10,2,1)</f>
        <v>&lt; 5</v>
      </c>
      <c r="AO691" s="5" t="str">
        <f>VLOOKUP(AA691,Sheet3!$I$3:$J$16,2,1)</f>
        <v>60000-80000</v>
      </c>
      <c r="AP691" s="5" t="str">
        <f>VLOOKUP(AB691,Sheet3!$L$4:$M$14,2,1)</f>
        <v>&lt; 5%</v>
      </c>
    </row>
    <row r="692">
      <c r="A692" s="6">
        <v>673126.0</v>
      </c>
      <c r="B692" s="1" t="s">
        <v>255</v>
      </c>
      <c r="C692" s="1" t="s">
        <v>1193</v>
      </c>
      <c r="D692" s="1" t="s">
        <v>360</v>
      </c>
      <c r="E692" s="1" t="s">
        <v>4534</v>
      </c>
      <c r="F692" s="1" t="s">
        <v>70</v>
      </c>
      <c r="G692" s="1" t="s">
        <v>7169</v>
      </c>
      <c r="H692" s="1" t="s">
        <v>6842</v>
      </c>
      <c r="I692" s="1" t="s">
        <v>7170</v>
      </c>
      <c r="J692" s="1" t="s">
        <v>7171</v>
      </c>
      <c r="K692" s="1" t="s">
        <v>756</v>
      </c>
      <c r="L692" s="9">
        <v>25016.0</v>
      </c>
      <c r="M692" s="8">
        <v>0.7546759259259259</v>
      </c>
      <c r="N692" s="6">
        <v>49.12</v>
      </c>
      <c r="O692" s="6">
        <v>86.0</v>
      </c>
      <c r="P692" s="14">
        <v>37202.0</v>
      </c>
      <c r="Q692" s="1" t="s">
        <v>52</v>
      </c>
      <c r="R692" s="1" t="s">
        <v>53</v>
      </c>
      <c r="S692" s="6">
        <v>2001.0</v>
      </c>
      <c r="T692" s="6">
        <v>11.0</v>
      </c>
      <c r="U692" s="1" t="s">
        <v>148</v>
      </c>
      <c r="V692" s="1" t="s">
        <v>149</v>
      </c>
      <c r="W692" s="6">
        <v>7.0</v>
      </c>
      <c r="X692" s="1" t="s">
        <v>278</v>
      </c>
      <c r="Y692" s="1" t="s">
        <v>279</v>
      </c>
      <c r="Z692" s="6">
        <v>15.73</v>
      </c>
      <c r="AA692" s="6">
        <v>98537.0</v>
      </c>
      <c r="AB692" s="10">
        <v>0.05</v>
      </c>
      <c r="AC692" s="1" t="s">
        <v>7172</v>
      </c>
      <c r="AD692" s="1" t="s">
        <v>7173</v>
      </c>
      <c r="AE692" s="1" t="s">
        <v>7174</v>
      </c>
      <c r="AF692" s="1" t="s">
        <v>3365</v>
      </c>
      <c r="AG692" s="1" t="s">
        <v>7174</v>
      </c>
      <c r="AH692" s="1" t="s">
        <v>974</v>
      </c>
      <c r="AI692" s="6">
        <v>43147.0</v>
      </c>
      <c r="AJ692" s="1" t="s">
        <v>86</v>
      </c>
      <c r="AK692" s="1" t="s">
        <v>7175</v>
      </c>
      <c r="AL692" s="1" t="s">
        <v>7176</v>
      </c>
      <c r="AM692" s="11" t="str">
        <f>VLOOKUP(N692,Sheet3!$B$4:$C$10,2,1)</f>
        <v>41-50</v>
      </c>
      <c r="AN692" s="12" t="str">
        <f>VLOOKUP(Z692,Sheet3!$F$4:$G$10,2,1)</f>
        <v>11-20</v>
      </c>
      <c r="AO692" s="5" t="str">
        <f>VLOOKUP(AA692,Sheet3!$I$3:$J$16,2,1)</f>
        <v>80000-100000</v>
      </c>
      <c r="AP692" s="5" t="str">
        <f>VLOOKUP(AB692,Sheet3!$L$4:$M$14,2,1)</f>
        <v>5% - 10%</v>
      </c>
    </row>
    <row r="693">
      <c r="A693" s="6">
        <v>615857.0</v>
      </c>
      <c r="B693" s="1" t="s">
        <v>89</v>
      </c>
      <c r="C693" s="1" t="s">
        <v>7177</v>
      </c>
      <c r="D693" s="1" t="s">
        <v>242</v>
      </c>
      <c r="E693" s="1" t="s">
        <v>723</v>
      </c>
      <c r="F693" s="1" t="s">
        <v>46</v>
      </c>
      <c r="G693" s="1" t="s">
        <v>7178</v>
      </c>
      <c r="H693" s="1" t="s">
        <v>6842</v>
      </c>
      <c r="I693" s="1" t="s">
        <v>7179</v>
      </c>
      <c r="J693" s="1" t="s">
        <v>7180</v>
      </c>
      <c r="K693" s="1" t="s">
        <v>147</v>
      </c>
      <c r="L693" s="9">
        <v>31366.0</v>
      </c>
      <c r="M693" s="8">
        <v>0.5182638888888889</v>
      </c>
      <c r="N693" s="6">
        <v>31.72</v>
      </c>
      <c r="O693" s="6">
        <v>43.0</v>
      </c>
      <c r="P693" s="9">
        <v>39038.0</v>
      </c>
      <c r="Q693" s="1" t="s">
        <v>52</v>
      </c>
      <c r="R693" s="1" t="s">
        <v>53</v>
      </c>
      <c r="S693" s="6">
        <v>2006.0</v>
      </c>
      <c r="T693" s="6">
        <v>11.0</v>
      </c>
      <c r="U693" s="1" t="s">
        <v>148</v>
      </c>
      <c r="V693" s="1" t="s">
        <v>149</v>
      </c>
      <c r="W693" s="6">
        <v>17.0</v>
      </c>
      <c r="X693" s="1" t="s">
        <v>263</v>
      </c>
      <c r="Y693" s="1" t="s">
        <v>264</v>
      </c>
      <c r="Z693" s="6">
        <v>10.7</v>
      </c>
      <c r="AA693" s="6">
        <v>69981.0</v>
      </c>
      <c r="AB693" s="10">
        <v>0.1</v>
      </c>
      <c r="AC693" s="1" t="s">
        <v>7181</v>
      </c>
      <c r="AD693" s="1" t="s">
        <v>7182</v>
      </c>
      <c r="AE693" s="1" t="s">
        <v>7183</v>
      </c>
      <c r="AF693" s="1" t="s">
        <v>4851</v>
      </c>
      <c r="AG693" s="1" t="s">
        <v>7183</v>
      </c>
      <c r="AH693" s="1" t="s">
        <v>1505</v>
      </c>
      <c r="AI693" s="6">
        <v>55428.0</v>
      </c>
      <c r="AJ693" s="1" t="s">
        <v>86</v>
      </c>
      <c r="AK693" s="1" t="s">
        <v>7184</v>
      </c>
      <c r="AL693" s="1" t="s">
        <v>7185</v>
      </c>
      <c r="AM693" s="11" t="str">
        <f>VLOOKUP(N693,Sheet3!$B$4:$C$10,2,1)</f>
        <v>31-40</v>
      </c>
      <c r="AN693" s="12" t="str">
        <f>VLOOKUP(Z693,Sheet3!$F$4:$G$10,2,1)</f>
        <v>5-10</v>
      </c>
      <c r="AO693" s="5" t="str">
        <f>VLOOKUP(AA693,Sheet3!$I$3:$J$16,2,1)</f>
        <v>60000-80000</v>
      </c>
      <c r="AP693" s="5" t="str">
        <f>VLOOKUP(AB693,Sheet3!$L$4:$M$14,2,1)</f>
        <v>5% - 10%</v>
      </c>
    </row>
    <row r="694">
      <c r="A694" s="6">
        <v>251151.0</v>
      </c>
      <c r="B694" s="1" t="s">
        <v>255</v>
      </c>
      <c r="C694" s="1" t="s">
        <v>7186</v>
      </c>
      <c r="D694" s="1" t="s">
        <v>200</v>
      </c>
      <c r="E694" s="1" t="s">
        <v>1027</v>
      </c>
      <c r="F694" s="1" t="s">
        <v>70</v>
      </c>
      <c r="G694" s="1" t="s">
        <v>7187</v>
      </c>
      <c r="H694" s="1" t="s">
        <v>6842</v>
      </c>
      <c r="I694" s="1" t="s">
        <v>7188</v>
      </c>
      <c r="J694" s="1" t="s">
        <v>7189</v>
      </c>
      <c r="K694" s="1" t="s">
        <v>361</v>
      </c>
      <c r="L694" s="9">
        <v>27696.0</v>
      </c>
      <c r="M694" s="8">
        <v>0.4568287037037037</v>
      </c>
      <c r="N694" s="6">
        <v>41.78</v>
      </c>
      <c r="O694" s="6">
        <v>61.0</v>
      </c>
      <c r="P694" s="9">
        <v>36280.0</v>
      </c>
      <c r="Q694" s="1" t="s">
        <v>75</v>
      </c>
      <c r="R694" s="1" t="s">
        <v>76</v>
      </c>
      <c r="S694" s="6">
        <v>1999.0</v>
      </c>
      <c r="T694" s="6">
        <v>4.0</v>
      </c>
      <c r="U694" s="1" t="s">
        <v>77</v>
      </c>
      <c r="V694" s="1" t="s">
        <v>78</v>
      </c>
      <c r="W694" s="6">
        <v>30.0</v>
      </c>
      <c r="X694" s="1" t="s">
        <v>263</v>
      </c>
      <c r="Y694" s="1" t="s">
        <v>264</v>
      </c>
      <c r="Z694" s="6">
        <v>18.26</v>
      </c>
      <c r="AA694" s="6">
        <v>174076.0</v>
      </c>
      <c r="AB694" s="10">
        <v>0.05</v>
      </c>
      <c r="AC694" s="1" t="s">
        <v>7190</v>
      </c>
      <c r="AD694" s="1" t="s">
        <v>7191</v>
      </c>
      <c r="AE694" s="1" t="s">
        <v>7192</v>
      </c>
      <c r="AF694" s="1" t="s">
        <v>4455</v>
      </c>
      <c r="AG694" s="1" t="s">
        <v>7192</v>
      </c>
      <c r="AH694" s="1" t="s">
        <v>238</v>
      </c>
      <c r="AI694" s="6">
        <v>93915.0</v>
      </c>
      <c r="AJ694" s="1" t="s">
        <v>63</v>
      </c>
      <c r="AK694" s="1" t="s">
        <v>7193</v>
      </c>
      <c r="AL694" s="1" t="s">
        <v>7194</v>
      </c>
      <c r="AM694" s="11" t="str">
        <f>VLOOKUP(N694,Sheet3!$B$4:$C$10,2,1)</f>
        <v>41-50</v>
      </c>
      <c r="AN694" s="12" t="str">
        <f>VLOOKUP(Z694,Sheet3!$F$4:$G$10,2,1)</f>
        <v>11-20</v>
      </c>
      <c r="AO694" s="5" t="str">
        <f>VLOOKUP(AA694,Sheet3!$I$3:$J$16,2,1)</f>
        <v>160000-180000</v>
      </c>
      <c r="AP694" s="5" t="str">
        <f>VLOOKUP(AB694,Sheet3!$L$4:$M$14,2,1)</f>
        <v>5% - 10%</v>
      </c>
    </row>
    <row r="695">
      <c r="A695" s="6">
        <v>232585.0</v>
      </c>
      <c r="B695" s="1" t="s">
        <v>42</v>
      </c>
      <c r="C695" s="1" t="s">
        <v>7195</v>
      </c>
      <c r="D695" s="1" t="s">
        <v>529</v>
      </c>
      <c r="E695" s="1" t="s">
        <v>307</v>
      </c>
      <c r="F695" s="1" t="s">
        <v>46</v>
      </c>
      <c r="G695" s="1" t="s">
        <v>7196</v>
      </c>
      <c r="H695" s="1" t="s">
        <v>6842</v>
      </c>
      <c r="I695" s="1" t="s">
        <v>7197</v>
      </c>
      <c r="J695" s="1" t="s">
        <v>7198</v>
      </c>
      <c r="K695" s="1" t="s">
        <v>2617</v>
      </c>
      <c r="L695" s="9">
        <v>23847.0</v>
      </c>
      <c r="M695" s="8">
        <v>0.09434027777777777</v>
      </c>
      <c r="N695" s="6">
        <v>52.32</v>
      </c>
      <c r="O695" s="6">
        <v>54.0</v>
      </c>
      <c r="P695" s="9">
        <v>34880.0</v>
      </c>
      <c r="Q695" s="1" t="s">
        <v>75</v>
      </c>
      <c r="R695" s="1" t="s">
        <v>76</v>
      </c>
      <c r="S695" s="6">
        <v>1995.0</v>
      </c>
      <c r="T695" s="6">
        <v>6.0</v>
      </c>
      <c r="U695" s="1" t="s">
        <v>324</v>
      </c>
      <c r="V695" s="1" t="s">
        <v>325</v>
      </c>
      <c r="W695" s="6">
        <v>30.0</v>
      </c>
      <c r="X695" s="1" t="s">
        <v>263</v>
      </c>
      <c r="Y695" s="1" t="s">
        <v>264</v>
      </c>
      <c r="Z695" s="6">
        <v>22.09</v>
      </c>
      <c r="AA695" s="6">
        <v>116510.0</v>
      </c>
      <c r="AB695" s="10">
        <v>0.15</v>
      </c>
      <c r="AC695" s="1" t="s">
        <v>7199</v>
      </c>
      <c r="AD695" s="1" t="s">
        <v>7200</v>
      </c>
      <c r="AE695" s="1" t="s">
        <v>3940</v>
      </c>
      <c r="AF695" s="1" t="s">
        <v>7201</v>
      </c>
      <c r="AG695" s="1" t="s">
        <v>3940</v>
      </c>
      <c r="AH695" s="1" t="s">
        <v>252</v>
      </c>
      <c r="AI695" s="6">
        <v>97321.0</v>
      </c>
      <c r="AJ695" s="1" t="s">
        <v>63</v>
      </c>
      <c r="AK695" s="1" t="s">
        <v>7202</v>
      </c>
      <c r="AL695" s="1" t="s">
        <v>7203</v>
      </c>
      <c r="AM695" s="11" t="str">
        <f>VLOOKUP(N695,Sheet3!$B$4:$C$10,2,1)</f>
        <v>51-60</v>
      </c>
      <c r="AN695" s="13" t="str">
        <f>VLOOKUP(Z695,Sheet3!$F$4:$G$10,2,1)</f>
        <v>21-30</v>
      </c>
      <c r="AO695" s="5" t="str">
        <f>VLOOKUP(AA695,Sheet3!$I$3:$J$16,2,1)</f>
        <v>100000-120000</v>
      </c>
      <c r="AP695" s="5" t="str">
        <f>VLOOKUP(AB695,Sheet3!$L$4:$M$14,2,1)</f>
        <v>11% - 15%</v>
      </c>
    </row>
    <row r="696">
      <c r="A696" s="6">
        <v>237448.0</v>
      </c>
      <c r="B696" s="1" t="s">
        <v>89</v>
      </c>
      <c r="C696" s="1" t="s">
        <v>427</v>
      </c>
      <c r="D696" s="1" t="s">
        <v>403</v>
      </c>
      <c r="E696" s="1" t="s">
        <v>1749</v>
      </c>
      <c r="F696" s="1" t="s">
        <v>46</v>
      </c>
      <c r="G696" s="1" t="s">
        <v>7204</v>
      </c>
      <c r="H696" s="1" t="s">
        <v>6842</v>
      </c>
      <c r="I696" s="1" t="s">
        <v>7205</v>
      </c>
      <c r="J696" s="1" t="s">
        <v>7206</v>
      </c>
      <c r="K696" s="1" t="s">
        <v>7207</v>
      </c>
      <c r="L696" s="9">
        <v>31214.0</v>
      </c>
      <c r="M696" s="8">
        <v>0.0796412037037037</v>
      </c>
      <c r="N696" s="6">
        <v>32.14</v>
      </c>
      <c r="O696" s="6">
        <v>48.0</v>
      </c>
      <c r="P696" s="14">
        <v>39912.0</v>
      </c>
      <c r="Q696" s="1" t="s">
        <v>75</v>
      </c>
      <c r="R696" s="1" t="s">
        <v>76</v>
      </c>
      <c r="S696" s="6">
        <v>2009.0</v>
      </c>
      <c r="T696" s="6">
        <v>4.0</v>
      </c>
      <c r="U696" s="1" t="s">
        <v>77</v>
      </c>
      <c r="V696" s="1" t="s">
        <v>78</v>
      </c>
      <c r="W696" s="6">
        <v>9.0</v>
      </c>
      <c r="X696" s="1" t="s">
        <v>150</v>
      </c>
      <c r="Y696" s="1" t="s">
        <v>151</v>
      </c>
      <c r="Z696" s="6">
        <v>8.31</v>
      </c>
      <c r="AA696" s="6">
        <v>195057.0</v>
      </c>
      <c r="AB696" s="10">
        <v>0.09</v>
      </c>
      <c r="AC696" s="1" t="s">
        <v>7208</v>
      </c>
      <c r="AD696" s="1" t="s">
        <v>7209</v>
      </c>
      <c r="AE696" s="1" t="s">
        <v>7210</v>
      </c>
      <c r="AF696" s="1" t="s">
        <v>649</v>
      </c>
      <c r="AG696" s="1" t="s">
        <v>7210</v>
      </c>
      <c r="AH696" s="1" t="s">
        <v>169</v>
      </c>
      <c r="AI696" s="6">
        <v>77622.0</v>
      </c>
      <c r="AJ696" s="1" t="s">
        <v>106</v>
      </c>
      <c r="AK696" s="1" t="s">
        <v>7211</v>
      </c>
      <c r="AL696" s="1" t="s">
        <v>7212</v>
      </c>
      <c r="AM696" s="11" t="str">
        <f>VLOOKUP(N696,Sheet3!$B$4:$C$10,2,1)</f>
        <v>31-40</v>
      </c>
      <c r="AN696" s="12" t="str">
        <f>VLOOKUP(Z696,Sheet3!$F$4:$G$10,2,1)</f>
        <v>5-10</v>
      </c>
      <c r="AO696" s="5" t="str">
        <f>VLOOKUP(AA696,Sheet3!$I$3:$J$16,2,1)</f>
        <v>180000-200000</v>
      </c>
      <c r="AP696" s="5" t="str">
        <f>VLOOKUP(AB696,Sheet3!$L$4:$M$14,2,1)</f>
        <v>5% - 10%</v>
      </c>
    </row>
    <row r="697">
      <c r="A697" s="6">
        <v>764254.0</v>
      </c>
      <c r="B697" s="1" t="s">
        <v>66</v>
      </c>
      <c r="C697" s="1" t="s">
        <v>7213</v>
      </c>
      <c r="D697" s="1" t="s">
        <v>443</v>
      </c>
      <c r="E697" s="1" t="s">
        <v>7214</v>
      </c>
      <c r="F697" s="1" t="s">
        <v>70</v>
      </c>
      <c r="G697" s="1" t="s">
        <v>7215</v>
      </c>
      <c r="H697" s="1" t="s">
        <v>6842</v>
      </c>
      <c r="I697" s="1" t="s">
        <v>7216</v>
      </c>
      <c r="J697" s="1" t="s">
        <v>7217</v>
      </c>
      <c r="K697" s="1" t="s">
        <v>860</v>
      </c>
      <c r="L697" s="9">
        <v>27101.0</v>
      </c>
      <c r="M697" s="8">
        <v>0.251875</v>
      </c>
      <c r="N697" s="6">
        <v>43.41</v>
      </c>
      <c r="O697" s="6">
        <v>67.0</v>
      </c>
      <c r="P697" s="9">
        <v>42760.0</v>
      </c>
      <c r="Q697" s="1" t="s">
        <v>96</v>
      </c>
      <c r="R697" s="1" t="s">
        <v>76</v>
      </c>
      <c r="S697" s="6">
        <v>2017.0</v>
      </c>
      <c r="T697" s="6">
        <v>1.0</v>
      </c>
      <c r="U697" s="1" t="s">
        <v>276</v>
      </c>
      <c r="V697" s="1" t="s">
        <v>277</v>
      </c>
      <c r="W697" s="6">
        <v>25.0</v>
      </c>
      <c r="X697" s="1" t="s">
        <v>278</v>
      </c>
      <c r="Y697" s="1" t="s">
        <v>279</v>
      </c>
      <c r="Z697" s="6">
        <v>0.5</v>
      </c>
      <c r="AA697" s="6">
        <v>151869.0</v>
      </c>
      <c r="AB697" s="10">
        <v>0.3</v>
      </c>
      <c r="AC697" s="1" t="s">
        <v>7218</v>
      </c>
      <c r="AD697" s="1" t="s">
        <v>7219</v>
      </c>
      <c r="AE697" s="1" t="s">
        <v>7220</v>
      </c>
      <c r="AF697" s="1" t="s">
        <v>7221</v>
      </c>
      <c r="AG697" s="1" t="s">
        <v>7220</v>
      </c>
      <c r="AH697" s="1" t="s">
        <v>740</v>
      </c>
      <c r="AI697" s="6">
        <v>2641.0</v>
      </c>
      <c r="AJ697" s="1" t="s">
        <v>224</v>
      </c>
      <c r="AK697" s="1" t="s">
        <v>7222</v>
      </c>
      <c r="AL697" s="1" t="s">
        <v>7223</v>
      </c>
      <c r="AM697" s="11" t="str">
        <f>VLOOKUP(N697,Sheet3!$B$4:$C$10,2,1)</f>
        <v>41-50</v>
      </c>
      <c r="AN697" s="13" t="str">
        <f>VLOOKUP(Z697,Sheet3!$F$4:$G$10,2,1)</f>
        <v>&lt; 5</v>
      </c>
      <c r="AO697" s="5" t="str">
        <f>VLOOKUP(AA697,Sheet3!$I$3:$J$16,2,1)</f>
        <v>140000-160000</v>
      </c>
      <c r="AP697" s="5" t="str">
        <f>VLOOKUP(AB697,Sheet3!$L$4:$M$14,2,1)</f>
        <v>26% - 30%</v>
      </c>
    </row>
    <row r="698">
      <c r="A698" s="6">
        <v>837427.0</v>
      </c>
      <c r="B698" s="1" t="s">
        <v>66</v>
      </c>
      <c r="C698" s="1" t="s">
        <v>602</v>
      </c>
      <c r="D698" s="1" t="s">
        <v>70</v>
      </c>
      <c r="E698" s="1" t="s">
        <v>3531</v>
      </c>
      <c r="F698" s="1" t="s">
        <v>70</v>
      </c>
      <c r="G698" s="1" t="s">
        <v>7224</v>
      </c>
      <c r="H698" s="1" t="s">
        <v>6842</v>
      </c>
      <c r="I698" s="1" t="s">
        <v>7225</v>
      </c>
      <c r="J698" s="1" t="s">
        <v>7226</v>
      </c>
      <c r="K698" s="1" t="s">
        <v>7227</v>
      </c>
      <c r="L698" s="9">
        <v>32586.0</v>
      </c>
      <c r="M698" s="8">
        <v>0.35997685185185185</v>
      </c>
      <c r="N698" s="6">
        <v>28.38</v>
      </c>
      <c r="O698" s="6">
        <v>57.0</v>
      </c>
      <c r="P698" s="9">
        <v>42354.0</v>
      </c>
      <c r="Q698" s="1" t="s">
        <v>52</v>
      </c>
      <c r="R698" s="1" t="s">
        <v>53</v>
      </c>
      <c r="S698" s="6">
        <v>2015.0</v>
      </c>
      <c r="T698" s="6">
        <v>12.0</v>
      </c>
      <c r="U698" s="1" t="s">
        <v>54</v>
      </c>
      <c r="V698" s="1" t="s">
        <v>55</v>
      </c>
      <c r="W698" s="6">
        <v>16.0</v>
      </c>
      <c r="X698" s="1" t="s">
        <v>278</v>
      </c>
      <c r="Y698" s="1" t="s">
        <v>279</v>
      </c>
      <c r="Z698" s="6">
        <v>1.62</v>
      </c>
      <c r="AA698" s="6">
        <v>134078.0</v>
      </c>
      <c r="AB698" s="10">
        <v>0.1</v>
      </c>
      <c r="AC698" s="1" t="s">
        <v>7228</v>
      </c>
      <c r="AD698" s="1" t="s">
        <v>7229</v>
      </c>
      <c r="AE698" s="1" t="s">
        <v>7230</v>
      </c>
      <c r="AF698" s="1" t="s">
        <v>5082</v>
      </c>
      <c r="AG698" s="1" t="s">
        <v>7230</v>
      </c>
      <c r="AH698" s="1" t="s">
        <v>210</v>
      </c>
      <c r="AI698" s="6">
        <v>62447.0</v>
      </c>
      <c r="AJ698" s="1" t="s">
        <v>86</v>
      </c>
      <c r="AK698" s="1" t="s">
        <v>7231</v>
      </c>
      <c r="AL698" s="1" t="s">
        <v>7232</v>
      </c>
      <c r="AM698" s="11" t="str">
        <f>VLOOKUP(N698,Sheet3!$B$4:$C$10,2,1)</f>
        <v>21-30</v>
      </c>
      <c r="AN698" s="13" t="str">
        <f>VLOOKUP(Z698,Sheet3!$F$4:$G$10,2,1)</f>
        <v>&lt; 5</v>
      </c>
      <c r="AO698" s="5" t="str">
        <f>VLOOKUP(AA698,Sheet3!$I$3:$J$16,2,1)</f>
        <v>120000-140000</v>
      </c>
      <c r="AP698" s="5" t="str">
        <f>VLOOKUP(AB698,Sheet3!$L$4:$M$14,2,1)</f>
        <v>5% - 10%</v>
      </c>
    </row>
    <row r="699">
      <c r="A699" s="6">
        <v>934912.0</v>
      </c>
      <c r="B699" s="1" t="s">
        <v>125</v>
      </c>
      <c r="C699" s="1" t="s">
        <v>5933</v>
      </c>
      <c r="D699" s="1" t="s">
        <v>403</v>
      </c>
      <c r="E699" s="1" t="s">
        <v>6769</v>
      </c>
      <c r="F699" s="1" t="s">
        <v>46</v>
      </c>
      <c r="G699" s="1" t="s">
        <v>7233</v>
      </c>
      <c r="H699" s="1" t="s">
        <v>7234</v>
      </c>
      <c r="I699" s="1" t="s">
        <v>7235</v>
      </c>
      <c r="J699" s="1" t="s">
        <v>7236</v>
      </c>
      <c r="K699" s="1" t="s">
        <v>2919</v>
      </c>
      <c r="L699" s="9">
        <v>30280.0</v>
      </c>
      <c r="M699" s="8">
        <v>0.5990277777777778</v>
      </c>
      <c r="N699" s="6">
        <v>34.7</v>
      </c>
      <c r="O699" s="6">
        <v>49.0</v>
      </c>
      <c r="P699" s="14">
        <v>38687.0</v>
      </c>
      <c r="Q699" s="1" t="s">
        <v>52</v>
      </c>
      <c r="R699" s="1" t="s">
        <v>53</v>
      </c>
      <c r="S699" s="6">
        <v>2005.0</v>
      </c>
      <c r="T699" s="6">
        <v>12.0</v>
      </c>
      <c r="U699" s="1" t="s">
        <v>54</v>
      </c>
      <c r="V699" s="1" t="s">
        <v>55</v>
      </c>
      <c r="W699" s="6">
        <v>1.0</v>
      </c>
      <c r="X699" s="1" t="s">
        <v>150</v>
      </c>
      <c r="Y699" s="1" t="s">
        <v>151</v>
      </c>
      <c r="Z699" s="6">
        <v>11.66</v>
      </c>
      <c r="AA699" s="6">
        <v>139511.0</v>
      </c>
      <c r="AB699" s="10">
        <v>0.28</v>
      </c>
      <c r="AC699" s="1" t="s">
        <v>7237</v>
      </c>
      <c r="AD699" s="1" t="s">
        <v>7238</v>
      </c>
      <c r="AE699" s="1" t="s">
        <v>7239</v>
      </c>
      <c r="AF699" s="1" t="s">
        <v>3632</v>
      </c>
      <c r="AG699" s="1" t="s">
        <v>7239</v>
      </c>
      <c r="AH699" s="1" t="s">
        <v>122</v>
      </c>
      <c r="AI699" s="6">
        <v>46784.0</v>
      </c>
      <c r="AJ699" s="1" t="s">
        <v>86</v>
      </c>
      <c r="AK699" s="1" t="s">
        <v>7240</v>
      </c>
      <c r="AL699" s="1" t="s">
        <v>7241</v>
      </c>
      <c r="AM699" s="11" t="str">
        <f>VLOOKUP(N699,Sheet3!$B$4:$C$10,2,1)</f>
        <v>31-40</v>
      </c>
      <c r="AN699" s="12" t="str">
        <f>VLOOKUP(Z699,Sheet3!$F$4:$G$10,2,1)</f>
        <v>11-20</v>
      </c>
      <c r="AO699" s="5" t="str">
        <f>VLOOKUP(AA699,Sheet3!$I$3:$J$16,2,1)</f>
        <v>120000-140000</v>
      </c>
      <c r="AP699" s="5" t="str">
        <f>VLOOKUP(AB699,Sheet3!$L$4:$M$14,2,1)</f>
        <v>26% - 30%</v>
      </c>
    </row>
    <row r="700">
      <c r="A700" s="6">
        <v>747004.0</v>
      </c>
      <c r="B700" s="1" t="s">
        <v>66</v>
      </c>
      <c r="C700" s="1" t="s">
        <v>7242</v>
      </c>
      <c r="D700" s="1" t="s">
        <v>360</v>
      </c>
      <c r="E700" s="1" t="s">
        <v>233</v>
      </c>
      <c r="F700" s="1" t="s">
        <v>70</v>
      </c>
      <c r="G700" s="1" t="s">
        <v>7243</v>
      </c>
      <c r="H700" s="1" t="s">
        <v>7234</v>
      </c>
      <c r="I700" s="1" t="s">
        <v>7244</v>
      </c>
      <c r="J700" s="1" t="s">
        <v>7245</v>
      </c>
      <c r="K700" s="1" t="s">
        <v>4624</v>
      </c>
      <c r="L700" s="9">
        <v>21389.0</v>
      </c>
      <c r="M700" s="8">
        <v>0.3148842592592593</v>
      </c>
      <c r="N700" s="6">
        <v>59.05</v>
      </c>
      <c r="O700" s="6">
        <v>53.0</v>
      </c>
      <c r="P700" s="14">
        <v>31967.0</v>
      </c>
      <c r="Q700" s="1" t="s">
        <v>308</v>
      </c>
      <c r="R700" s="1" t="s">
        <v>53</v>
      </c>
      <c r="S700" s="6">
        <v>1987.0</v>
      </c>
      <c r="T700" s="6">
        <v>7.0</v>
      </c>
      <c r="U700" s="1" t="s">
        <v>366</v>
      </c>
      <c r="V700" s="1" t="s">
        <v>367</v>
      </c>
      <c r="W700" s="6">
        <v>9.0</v>
      </c>
      <c r="X700" s="1" t="s">
        <v>150</v>
      </c>
      <c r="Y700" s="1" t="s">
        <v>151</v>
      </c>
      <c r="Z700" s="6">
        <v>30.07</v>
      </c>
      <c r="AA700" s="6">
        <v>137031.0</v>
      </c>
      <c r="AB700" s="10">
        <v>0.16</v>
      </c>
      <c r="AC700" s="1" t="s">
        <v>7246</v>
      </c>
      <c r="AD700" s="1" t="s">
        <v>7247</v>
      </c>
      <c r="AE700" s="1" t="s">
        <v>2246</v>
      </c>
      <c r="AF700" s="1" t="s">
        <v>748</v>
      </c>
      <c r="AG700" s="1" t="s">
        <v>2246</v>
      </c>
      <c r="AH700" s="1" t="s">
        <v>284</v>
      </c>
      <c r="AI700" s="6">
        <v>50152.0</v>
      </c>
      <c r="AJ700" s="1" t="s">
        <v>86</v>
      </c>
      <c r="AK700" s="1" t="s">
        <v>7248</v>
      </c>
      <c r="AL700" s="1" t="s">
        <v>7249</v>
      </c>
      <c r="AM700" s="11" t="str">
        <f>VLOOKUP(N700,Sheet3!$B$4:$C$10,2,1)</f>
        <v>51-60</v>
      </c>
      <c r="AN700" s="13" t="str">
        <f>VLOOKUP(Z700,Sheet3!$F$4:$G$10,2,1)</f>
        <v>21-30</v>
      </c>
      <c r="AO700" s="5" t="str">
        <f>VLOOKUP(AA700,Sheet3!$I$3:$J$16,2,1)</f>
        <v>120000-140000</v>
      </c>
      <c r="AP700" s="5" t="str">
        <f>VLOOKUP(AB700,Sheet3!$L$4:$M$14,2,1)</f>
        <v>16% - 20%</v>
      </c>
    </row>
    <row r="701">
      <c r="A701" s="6">
        <v>497086.0</v>
      </c>
      <c r="B701" s="1" t="s">
        <v>66</v>
      </c>
      <c r="C701" s="1" t="s">
        <v>7250</v>
      </c>
      <c r="D701" s="1" t="s">
        <v>242</v>
      </c>
      <c r="E701" s="1" t="s">
        <v>7251</v>
      </c>
      <c r="F701" s="1" t="s">
        <v>70</v>
      </c>
      <c r="G701" s="1" t="s">
        <v>7252</v>
      </c>
      <c r="H701" s="1" t="s">
        <v>7234</v>
      </c>
      <c r="I701" s="1" t="s">
        <v>7253</v>
      </c>
      <c r="J701" s="1" t="s">
        <v>7254</v>
      </c>
      <c r="K701" s="1" t="s">
        <v>454</v>
      </c>
      <c r="L701" s="9">
        <v>26779.0</v>
      </c>
      <c r="M701" s="8">
        <v>0.7559027777777778</v>
      </c>
      <c r="N701" s="6">
        <v>44.29</v>
      </c>
      <c r="O701" s="6">
        <v>77.0</v>
      </c>
      <c r="P701" s="14">
        <v>34551.0</v>
      </c>
      <c r="Q701" s="1" t="s">
        <v>308</v>
      </c>
      <c r="R701" s="1" t="s">
        <v>53</v>
      </c>
      <c r="S701" s="6">
        <v>1994.0</v>
      </c>
      <c r="T701" s="6">
        <v>8.0</v>
      </c>
      <c r="U701" s="1" t="s">
        <v>433</v>
      </c>
      <c r="V701" s="1" t="s">
        <v>434</v>
      </c>
      <c r="W701" s="6">
        <v>5.0</v>
      </c>
      <c r="X701" s="1" t="s">
        <v>263</v>
      </c>
      <c r="Y701" s="1" t="s">
        <v>264</v>
      </c>
      <c r="Z701" s="6">
        <v>22.99</v>
      </c>
      <c r="AA701" s="6">
        <v>173017.0</v>
      </c>
      <c r="AB701" s="10">
        <v>0.04</v>
      </c>
      <c r="AC701" s="1" t="s">
        <v>7255</v>
      </c>
      <c r="AD701" s="1" t="s">
        <v>7256</v>
      </c>
      <c r="AE701" s="1" t="s">
        <v>271</v>
      </c>
      <c r="AF701" s="1" t="s">
        <v>1945</v>
      </c>
      <c r="AG701" s="1" t="s">
        <v>271</v>
      </c>
      <c r="AH701" s="1" t="s">
        <v>169</v>
      </c>
      <c r="AI701" s="6">
        <v>78713.0</v>
      </c>
      <c r="AJ701" s="1" t="s">
        <v>106</v>
      </c>
      <c r="AK701" s="1" t="s">
        <v>7257</v>
      </c>
      <c r="AL701" s="1" t="s">
        <v>7258</v>
      </c>
      <c r="AM701" s="11" t="str">
        <f>VLOOKUP(N701,Sheet3!$B$4:$C$10,2,1)</f>
        <v>41-50</v>
      </c>
      <c r="AN701" s="13" t="str">
        <f>VLOOKUP(Z701,Sheet3!$F$4:$G$10,2,1)</f>
        <v>21-30</v>
      </c>
      <c r="AO701" s="5" t="str">
        <f>VLOOKUP(AA701,Sheet3!$I$3:$J$16,2,1)</f>
        <v>160000-180000</v>
      </c>
      <c r="AP701" s="5" t="str">
        <f>VLOOKUP(AB701,Sheet3!$L$4:$M$14,2,1)</f>
        <v>&lt; 5%</v>
      </c>
    </row>
    <row r="702">
      <c r="A702" s="6">
        <v>743314.0</v>
      </c>
      <c r="B702" s="1" t="s">
        <v>66</v>
      </c>
      <c r="C702" s="1" t="s">
        <v>7259</v>
      </c>
      <c r="D702" s="1" t="s">
        <v>186</v>
      </c>
      <c r="E702" s="1" t="s">
        <v>370</v>
      </c>
      <c r="F702" s="1" t="s">
        <v>70</v>
      </c>
      <c r="G702" s="1" t="s">
        <v>7260</v>
      </c>
      <c r="H702" s="1" t="s">
        <v>7234</v>
      </c>
      <c r="I702" s="1" t="s">
        <v>7261</v>
      </c>
      <c r="J702" s="1" t="s">
        <v>7262</v>
      </c>
      <c r="K702" s="1" t="s">
        <v>6515</v>
      </c>
      <c r="L702" s="14">
        <v>25364.0</v>
      </c>
      <c r="M702" s="8">
        <v>0.4075</v>
      </c>
      <c r="N702" s="6">
        <v>48.16</v>
      </c>
      <c r="O702" s="6">
        <v>70.0</v>
      </c>
      <c r="P702" s="9">
        <v>33110.0</v>
      </c>
      <c r="Q702" s="1" t="s">
        <v>308</v>
      </c>
      <c r="R702" s="1" t="s">
        <v>53</v>
      </c>
      <c r="S702" s="6">
        <v>1990.0</v>
      </c>
      <c r="T702" s="6">
        <v>8.0</v>
      </c>
      <c r="U702" s="1" t="s">
        <v>433</v>
      </c>
      <c r="V702" s="1" t="s">
        <v>434</v>
      </c>
      <c r="W702" s="6">
        <v>25.0</v>
      </c>
      <c r="X702" s="1" t="s">
        <v>56</v>
      </c>
      <c r="Y702" s="1" t="s">
        <v>57</v>
      </c>
      <c r="Z702" s="6">
        <v>26.94</v>
      </c>
      <c r="AA702" s="6">
        <v>89423.0</v>
      </c>
      <c r="AB702" s="10">
        <v>0.14</v>
      </c>
      <c r="AC702" s="1" t="s">
        <v>7263</v>
      </c>
      <c r="AD702" s="1" t="s">
        <v>7264</v>
      </c>
      <c r="AE702" s="1" t="s">
        <v>7265</v>
      </c>
      <c r="AF702" s="1" t="s">
        <v>7266</v>
      </c>
      <c r="AG702" s="1" t="s">
        <v>7265</v>
      </c>
      <c r="AH702" s="1" t="s">
        <v>105</v>
      </c>
      <c r="AI702" s="6">
        <v>42374.0</v>
      </c>
      <c r="AJ702" s="1" t="s">
        <v>106</v>
      </c>
      <c r="AK702" s="1" t="s">
        <v>7267</v>
      </c>
      <c r="AL702" s="1" t="s">
        <v>7268</v>
      </c>
      <c r="AM702" s="11" t="str">
        <f>VLOOKUP(N702,Sheet3!$B$4:$C$10,2,1)</f>
        <v>41-50</v>
      </c>
      <c r="AN702" s="13" t="str">
        <f>VLOOKUP(Z702,Sheet3!$F$4:$G$10,2,1)</f>
        <v>21-30</v>
      </c>
      <c r="AO702" s="5" t="str">
        <f>VLOOKUP(AA702,Sheet3!$I$3:$J$16,2,1)</f>
        <v>80000-100000</v>
      </c>
      <c r="AP702" s="5" t="str">
        <f>VLOOKUP(AB702,Sheet3!$L$4:$M$14,2,1)</f>
        <v>11% - 15%</v>
      </c>
    </row>
    <row r="703">
      <c r="A703" s="6">
        <v>570767.0</v>
      </c>
      <c r="B703" s="1" t="s">
        <v>109</v>
      </c>
      <c r="C703" s="1" t="s">
        <v>4883</v>
      </c>
      <c r="D703" s="1" t="s">
        <v>127</v>
      </c>
      <c r="E703" s="1" t="s">
        <v>4628</v>
      </c>
      <c r="F703" s="1" t="s">
        <v>46</v>
      </c>
      <c r="G703" s="1" t="s">
        <v>7269</v>
      </c>
      <c r="H703" s="1" t="s">
        <v>7234</v>
      </c>
      <c r="I703" s="1" t="s">
        <v>7270</v>
      </c>
      <c r="J703" s="1" t="s">
        <v>7271</v>
      </c>
      <c r="K703" s="1" t="s">
        <v>4555</v>
      </c>
      <c r="L703" s="9">
        <v>26020.0</v>
      </c>
      <c r="M703" s="8">
        <v>0.5652199074074075</v>
      </c>
      <c r="N703" s="6">
        <v>46.37</v>
      </c>
      <c r="O703" s="6">
        <v>41.0</v>
      </c>
      <c r="P703" s="14">
        <v>37354.0</v>
      </c>
      <c r="Q703" s="1" t="s">
        <v>75</v>
      </c>
      <c r="R703" s="1" t="s">
        <v>76</v>
      </c>
      <c r="S703" s="6">
        <v>2002.0</v>
      </c>
      <c r="T703" s="6">
        <v>4.0</v>
      </c>
      <c r="U703" s="1" t="s">
        <v>77</v>
      </c>
      <c r="V703" s="1" t="s">
        <v>78</v>
      </c>
      <c r="W703" s="6">
        <v>8.0</v>
      </c>
      <c r="X703" s="1" t="s">
        <v>99</v>
      </c>
      <c r="Y703" s="1" t="s">
        <v>100</v>
      </c>
      <c r="Z703" s="6">
        <v>15.32</v>
      </c>
      <c r="AA703" s="6">
        <v>97109.0</v>
      </c>
      <c r="AB703" s="10">
        <v>0.04</v>
      </c>
      <c r="AC703" s="1" t="s">
        <v>7272</v>
      </c>
      <c r="AD703" s="1" t="s">
        <v>7273</v>
      </c>
      <c r="AE703" s="1" t="s">
        <v>7274</v>
      </c>
      <c r="AF703" s="1" t="s">
        <v>2165</v>
      </c>
      <c r="AG703" s="1" t="s">
        <v>7274</v>
      </c>
      <c r="AH703" s="1" t="s">
        <v>372</v>
      </c>
      <c r="AI703" s="6">
        <v>68950.0</v>
      </c>
      <c r="AJ703" s="1" t="s">
        <v>86</v>
      </c>
      <c r="AK703" s="1" t="s">
        <v>7275</v>
      </c>
      <c r="AL703" s="1" t="s">
        <v>7276</v>
      </c>
      <c r="AM703" s="11" t="str">
        <f>VLOOKUP(N703,Sheet3!$B$4:$C$10,2,1)</f>
        <v>41-50</v>
      </c>
      <c r="AN703" s="12" t="str">
        <f>VLOOKUP(Z703,Sheet3!$F$4:$G$10,2,1)</f>
        <v>11-20</v>
      </c>
      <c r="AO703" s="5" t="str">
        <f>VLOOKUP(AA703,Sheet3!$I$3:$J$16,2,1)</f>
        <v>80000-100000</v>
      </c>
      <c r="AP703" s="5" t="str">
        <f>VLOOKUP(AB703,Sheet3!$L$4:$M$14,2,1)</f>
        <v>&lt; 5%</v>
      </c>
    </row>
    <row r="704">
      <c r="A704" s="6">
        <v>445556.0</v>
      </c>
      <c r="B704" s="1" t="s">
        <v>42</v>
      </c>
      <c r="C704" s="1" t="s">
        <v>7277</v>
      </c>
      <c r="D704" s="1" t="s">
        <v>389</v>
      </c>
      <c r="E704" s="1" t="s">
        <v>2165</v>
      </c>
      <c r="F704" s="1" t="s">
        <v>46</v>
      </c>
      <c r="G704" s="1" t="s">
        <v>7278</v>
      </c>
      <c r="H704" s="1" t="s">
        <v>7234</v>
      </c>
      <c r="I704" s="1" t="s">
        <v>7279</v>
      </c>
      <c r="J704" s="1" t="s">
        <v>7280</v>
      </c>
      <c r="K704" s="1" t="s">
        <v>1772</v>
      </c>
      <c r="L704" s="14">
        <v>31445.0</v>
      </c>
      <c r="M704" s="8">
        <v>0.6807291666666667</v>
      </c>
      <c r="N704" s="6">
        <v>31.5</v>
      </c>
      <c r="O704" s="6">
        <v>45.0</v>
      </c>
      <c r="P704" s="14">
        <v>40036.0</v>
      </c>
      <c r="Q704" s="1" t="s">
        <v>308</v>
      </c>
      <c r="R704" s="1" t="s">
        <v>53</v>
      </c>
      <c r="S704" s="6">
        <v>2009.0</v>
      </c>
      <c r="T704" s="6">
        <v>8.0</v>
      </c>
      <c r="U704" s="1" t="s">
        <v>433</v>
      </c>
      <c r="V704" s="1" t="s">
        <v>434</v>
      </c>
      <c r="W704" s="6">
        <v>11.0</v>
      </c>
      <c r="X704" s="1" t="s">
        <v>79</v>
      </c>
      <c r="Y704" s="1" t="s">
        <v>80</v>
      </c>
      <c r="Z704" s="6">
        <v>7.97</v>
      </c>
      <c r="AA704" s="6">
        <v>193337.0</v>
      </c>
      <c r="AB704" s="10">
        <v>0.1</v>
      </c>
      <c r="AC704" s="1" t="s">
        <v>7281</v>
      </c>
      <c r="AD704" s="1" t="s">
        <v>7282</v>
      </c>
      <c r="AE704" s="1" t="s">
        <v>7283</v>
      </c>
      <c r="AF704" s="1" t="s">
        <v>4697</v>
      </c>
      <c r="AG704" s="1" t="s">
        <v>7283</v>
      </c>
      <c r="AH704" s="1" t="s">
        <v>1413</v>
      </c>
      <c r="AI704" s="6">
        <v>80535.0</v>
      </c>
      <c r="AJ704" s="1" t="s">
        <v>63</v>
      </c>
      <c r="AK704" s="1" t="s">
        <v>7284</v>
      </c>
      <c r="AL704" s="1" t="s">
        <v>7285</v>
      </c>
      <c r="AM704" s="11" t="str">
        <f>VLOOKUP(N704,Sheet3!$B$4:$C$10,2,1)</f>
        <v>31-40</v>
      </c>
      <c r="AN704" s="12" t="str">
        <f>VLOOKUP(Z704,Sheet3!$F$4:$G$10,2,1)</f>
        <v>5-10</v>
      </c>
      <c r="AO704" s="5" t="str">
        <f>VLOOKUP(AA704,Sheet3!$I$3:$J$16,2,1)</f>
        <v>180000-200000</v>
      </c>
      <c r="AP704" s="5" t="str">
        <f>VLOOKUP(AB704,Sheet3!$L$4:$M$14,2,1)</f>
        <v>5% - 10%</v>
      </c>
    </row>
    <row r="705">
      <c r="A705" s="6">
        <v>471961.0</v>
      </c>
      <c r="B705" s="1" t="s">
        <v>255</v>
      </c>
      <c r="C705" s="1" t="s">
        <v>7286</v>
      </c>
      <c r="D705" s="1" t="s">
        <v>360</v>
      </c>
      <c r="E705" s="1" t="s">
        <v>4899</v>
      </c>
      <c r="F705" s="1" t="s">
        <v>70</v>
      </c>
      <c r="G705" s="1" t="s">
        <v>7287</v>
      </c>
      <c r="H705" s="1" t="s">
        <v>7234</v>
      </c>
      <c r="I705" s="1" t="s">
        <v>7288</v>
      </c>
      <c r="J705" s="1" t="s">
        <v>7289</v>
      </c>
      <c r="K705" s="1" t="s">
        <v>3366</v>
      </c>
      <c r="L705" s="9">
        <v>26097.0</v>
      </c>
      <c r="M705" s="8">
        <v>0.6063657407407408</v>
      </c>
      <c r="N705" s="6">
        <v>46.16</v>
      </c>
      <c r="O705" s="6">
        <v>67.0</v>
      </c>
      <c r="P705" s="14">
        <v>38483.0</v>
      </c>
      <c r="Q705" s="1" t="s">
        <v>75</v>
      </c>
      <c r="R705" s="1" t="s">
        <v>76</v>
      </c>
      <c r="S705" s="6">
        <v>2005.0</v>
      </c>
      <c r="T705" s="6">
        <v>5.0</v>
      </c>
      <c r="U705" s="1" t="s">
        <v>294</v>
      </c>
      <c r="V705" s="1" t="s">
        <v>294</v>
      </c>
      <c r="W705" s="6">
        <v>11.0</v>
      </c>
      <c r="X705" s="1" t="s">
        <v>278</v>
      </c>
      <c r="Y705" s="1" t="s">
        <v>279</v>
      </c>
      <c r="Z705" s="6">
        <v>12.22</v>
      </c>
      <c r="AA705" s="6">
        <v>96795.0</v>
      </c>
      <c r="AB705" s="10">
        <v>0.09</v>
      </c>
      <c r="AC705" s="1" t="s">
        <v>7290</v>
      </c>
      <c r="AD705" s="1" t="s">
        <v>7291</v>
      </c>
      <c r="AE705" s="1" t="s">
        <v>7292</v>
      </c>
      <c r="AF705" s="1" t="s">
        <v>1018</v>
      </c>
      <c r="AG705" s="1" t="s">
        <v>7292</v>
      </c>
      <c r="AH705" s="1" t="s">
        <v>284</v>
      </c>
      <c r="AI705" s="6">
        <v>52627.0</v>
      </c>
      <c r="AJ705" s="1" t="s">
        <v>86</v>
      </c>
      <c r="AK705" s="1" t="s">
        <v>7293</v>
      </c>
      <c r="AL705" s="1" t="s">
        <v>7294</v>
      </c>
      <c r="AM705" s="11" t="str">
        <f>VLOOKUP(N705,Sheet3!$B$4:$C$10,2,1)</f>
        <v>41-50</v>
      </c>
      <c r="AN705" s="12" t="str">
        <f>VLOOKUP(Z705,Sheet3!$F$4:$G$10,2,1)</f>
        <v>11-20</v>
      </c>
      <c r="AO705" s="5" t="str">
        <f>VLOOKUP(AA705,Sheet3!$I$3:$J$16,2,1)</f>
        <v>80000-100000</v>
      </c>
      <c r="AP705" s="5" t="str">
        <f>VLOOKUP(AB705,Sheet3!$L$4:$M$14,2,1)</f>
        <v>5% - 10%</v>
      </c>
    </row>
    <row r="706">
      <c r="A706" s="6">
        <v>273769.0</v>
      </c>
      <c r="B706" s="1" t="s">
        <v>255</v>
      </c>
      <c r="C706" s="1" t="s">
        <v>1918</v>
      </c>
      <c r="D706" s="1" t="s">
        <v>111</v>
      </c>
      <c r="E706" s="1" t="s">
        <v>2923</v>
      </c>
      <c r="F706" s="1" t="s">
        <v>70</v>
      </c>
      <c r="G706" s="1" t="s">
        <v>7295</v>
      </c>
      <c r="H706" s="1" t="s">
        <v>7234</v>
      </c>
      <c r="I706" s="1" t="s">
        <v>7296</v>
      </c>
      <c r="J706" s="1" t="s">
        <v>7297</v>
      </c>
      <c r="K706" s="1" t="s">
        <v>5764</v>
      </c>
      <c r="L706" s="9">
        <v>24249.0</v>
      </c>
      <c r="M706" s="8">
        <v>0.46751157407407407</v>
      </c>
      <c r="N706" s="6">
        <v>51.22</v>
      </c>
      <c r="O706" s="6">
        <v>56.0</v>
      </c>
      <c r="P706" s="9">
        <v>37036.0</v>
      </c>
      <c r="Q706" s="1" t="s">
        <v>75</v>
      </c>
      <c r="R706" s="1" t="s">
        <v>76</v>
      </c>
      <c r="S706" s="6">
        <v>2001.0</v>
      </c>
      <c r="T706" s="6">
        <v>5.0</v>
      </c>
      <c r="U706" s="1" t="s">
        <v>294</v>
      </c>
      <c r="V706" s="1" t="s">
        <v>294</v>
      </c>
      <c r="W706" s="6">
        <v>25.0</v>
      </c>
      <c r="X706" s="1" t="s">
        <v>263</v>
      </c>
      <c r="Y706" s="1" t="s">
        <v>264</v>
      </c>
      <c r="Z706" s="6">
        <v>16.19</v>
      </c>
      <c r="AA706" s="6">
        <v>80002.0</v>
      </c>
      <c r="AB706" s="10">
        <v>0.17</v>
      </c>
      <c r="AC706" s="1" t="s">
        <v>7298</v>
      </c>
      <c r="AD706" s="1" t="s">
        <v>7299</v>
      </c>
      <c r="AE706" s="1" t="s">
        <v>7300</v>
      </c>
      <c r="AF706" s="1" t="s">
        <v>6883</v>
      </c>
      <c r="AG706" s="1" t="s">
        <v>7300</v>
      </c>
      <c r="AH706" s="1" t="s">
        <v>223</v>
      </c>
      <c r="AI706" s="6">
        <v>17777.0</v>
      </c>
      <c r="AJ706" s="1" t="s">
        <v>224</v>
      </c>
      <c r="AK706" s="1" t="s">
        <v>7301</v>
      </c>
      <c r="AL706" s="1" t="s">
        <v>7302</v>
      </c>
      <c r="AM706" s="11" t="str">
        <f>VLOOKUP(N706,Sheet3!$B$4:$C$10,2,1)</f>
        <v>51-60</v>
      </c>
      <c r="AN706" s="12" t="str">
        <f>VLOOKUP(Z706,Sheet3!$F$4:$G$10,2,1)</f>
        <v>11-20</v>
      </c>
      <c r="AO706" s="5" t="str">
        <f>VLOOKUP(AA706,Sheet3!$I$3:$J$16,2,1)</f>
        <v>80000-100000</v>
      </c>
      <c r="AP706" s="5" t="str">
        <f>VLOOKUP(AB706,Sheet3!$L$4:$M$14,2,1)</f>
        <v>16% - 20%</v>
      </c>
    </row>
    <row r="707">
      <c r="A707" s="6">
        <v>280832.0</v>
      </c>
      <c r="B707" s="1" t="s">
        <v>109</v>
      </c>
      <c r="C707" s="1" t="s">
        <v>7303</v>
      </c>
      <c r="D707" s="1" t="s">
        <v>416</v>
      </c>
      <c r="E707" s="1" t="s">
        <v>5270</v>
      </c>
      <c r="F707" s="1" t="s">
        <v>46</v>
      </c>
      <c r="G707" s="1" t="s">
        <v>7304</v>
      </c>
      <c r="H707" s="1" t="s">
        <v>7234</v>
      </c>
      <c r="I707" s="1" t="s">
        <v>7305</v>
      </c>
      <c r="J707" s="1" t="s">
        <v>7306</v>
      </c>
      <c r="K707" s="1" t="s">
        <v>1036</v>
      </c>
      <c r="L707" s="9">
        <v>32679.0</v>
      </c>
      <c r="M707" s="8">
        <v>0.695462962962963</v>
      </c>
      <c r="N707" s="6">
        <v>28.12</v>
      </c>
      <c r="O707" s="6">
        <v>54.0</v>
      </c>
      <c r="P707" s="9">
        <v>42902.0</v>
      </c>
      <c r="Q707" s="1" t="s">
        <v>75</v>
      </c>
      <c r="R707" s="1" t="s">
        <v>76</v>
      </c>
      <c r="S707" s="6">
        <v>2017.0</v>
      </c>
      <c r="T707" s="6">
        <v>6.0</v>
      </c>
      <c r="U707" s="1" t="s">
        <v>324</v>
      </c>
      <c r="V707" s="1" t="s">
        <v>325</v>
      </c>
      <c r="W707" s="6">
        <v>16.0</v>
      </c>
      <c r="X707" s="1" t="s">
        <v>263</v>
      </c>
      <c r="Y707" s="1" t="s">
        <v>264</v>
      </c>
      <c r="Z707" s="6">
        <v>0.12</v>
      </c>
      <c r="AA707" s="6">
        <v>79628.0</v>
      </c>
      <c r="AB707" s="10">
        <v>0.09</v>
      </c>
      <c r="AC707" s="1" t="s">
        <v>7307</v>
      </c>
      <c r="AD707" s="1" t="s">
        <v>7308</v>
      </c>
      <c r="AE707" s="1" t="s">
        <v>7309</v>
      </c>
      <c r="AF707" s="1" t="s">
        <v>7310</v>
      </c>
      <c r="AG707" s="1" t="s">
        <v>7309</v>
      </c>
      <c r="AH707" s="1" t="s">
        <v>2028</v>
      </c>
      <c r="AI707" s="6">
        <v>85902.0</v>
      </c>
      <c r="AJ707" s="1" t="s">
        <v>63</v>
      </c>
      <c r="AK707" s="1" t="s">
        <v>7311</v>
      </c>
      <c r="AL707" s="1" t="s">
        <v>7312</v>
      </c>
      <c r="AM707" s="11" t="str">
        <f>VLOOKUP(N707,Sheet3!$B$4:$C$10,2,1)</f>
        <v>21-30</v>
      </c>
      <c r="AN707" s="13" t="str">
        <f>VLOOKUP(Z707,Sheet3!$F$4:$G$10,2,1)</f>
        <v>&lt; 5</v>
      </c>
      <c r="AO707" s="5" t="str">
        <f>VLOOKUP(AA707,Sheet3!$I$3:$J$16,2,1)</f>
        <v>60000-80000</v>
      </c>
      <c r="AP707" s="5" t="str">
        <f>VLOOKUP(AB707,Sheet3!$L$4:$M$14,2,1)</f>
        <v>5% - 10%</v>
      </c>
    </row>
    <row r="708">
      <c r="A708" s="6">
        <v>411066.0</v>
      </c>
      <c r="B708" s="1" t="s">
        <v>66</v>
      </c>
      <c r="C708" s="1" t="s">
        <v>7313</v>
      </c>
      <c r="D708" s="1" t="s">
        <v>70</v>
      </c>
      <c r="E708" s="1" t="s">
        <v>370</v>
      </c>
      <c r="F708" s="1" t="s">
        <v>70</v>
      </c>
      <c r="G708" s="1" t="s">
        <v>7314</v>
      </c>
      <c r="H708" s="1" t="s">
        <v>7234</v>
      </c>
      <c r="I708" s="1" t="s">
        <v>7315</v>
      </c>
      <c r="J708" s="1" t="s">
        <v>7316</v>
      </c>
      <c r="K708" s="1" t="s">
        <v>3199</v>
      </c>
      <c r="L708" s="9">
        <v>28107.0</v>
      </c>
      <c r="M708" s="8">
        <v>0.8023148148148148</v>
      </c>
      <c r="N708" s="6">
        <v>40.65</v>
      </c>
      <c r="O708" s="6">
        <v>66.0</v>
      </c>
      <c r="P708" s="14">
        <v>41951.0</v>
      </c>
      <c r="Q708" s="1" t="s">
        <v>52</v>
      </c>
      <c r="R708" s="1" t="s">
        <v>53</v>
      </c>
      <c r="S708" s="6">
        <v>2014.0</v>
      </c>
      <c r="T708" s="6">
        <v>11.0</v>
      </c>
      <c r="U708" s="1" t="s">
        <v>148</v>
      </c>
      <c r="V708" s="1" t="s">
        <v>149</v>
      </c>
      <c r="W708" s="6">
        <v>8.0</v>
      </c>
      <c r="X708" s="1" t="s">
        <v>56</v>
      </c>
      <c r="Y708" s="1" t="s">
        <v>57</v>
      </c>
      <c r="Z708" s="6">
        <v>2.72</v>
      </c>
      <c r="AA708" s="6">
        <v>103007.0</v>
      </c>
      <c r="AB708" s="10">
        <v>0.18</v>
      </c>
      <c r="AC708" s="1" t="s">
        <v>7317</v>
      </c>
      <c r="AD708" s="1" t="s">
        <v>7318</v>
      </c>
      <c r="AE708" s="1" t="s">
        <v>1858</v>
      </c>
      <c r="AF708" s="1" t="s">
        <v>1018</v>
      </c>
      <c r="AG708" s="1" t="s">
        <v>1858</v>
      </c>
      <c r="AH708" s="1" t="s">
        <v>893</v>
      </c>
      <c r="AI708" s="6">
        <v>27330.0</v>
      </c>
      <c r="AJ708" s="1" t="s">
        <v>106</v>
      </c>
      <c r="AK708" s="1" t="s">
        <v>7319</v>
      </c>
      <c r="AL708" s="1" t="s">
        <v>7320</v>
      </c>
      <c r="AM708" s="11" t="str">
        <f>VLOOKUP(N708,Sheet3!$B$4:$C$10,2,1)</f>
        <v>31-40</v>
      </c>
      <c r="AN708" s="13" t="str">
        <f>VLOOKUP(Z708,Sheet3!$F$4:$G$10,2,1)</f>
        <v>&lt; 5</v>
      </c>
      <c r="AO708" s="5" t="str">
        <f>VLOOKUP(AA708,Sheet3!$I$3:$J$16,2,1)</f>
        <v>100000-120000</v>
      </c>
      <c r="AP708" s="5" t="str">
        <f>VLOOKUP(AB708,Sheet3!$L$4:$M$14,2,1)</f>
        <v>16% - 20%</v>
      </c>
    </row>
    <row r="709">
      <c r="A709" s="6">
        <v>843879.0</v>
      </c>
      <c r="B709" s="1" t="s">
        <v>42</v>
      </c>
      <c r="C709" s="1" t="s">
        <v>6302</v>
      </c>
      <c r="D709" s="1" t="s">
        <v>200</v>
      </c>
      <c r="E709" s="1" t="s">
        <v>351</v>
      </c>
      <c r="F709" s="1" t="s">
        <v>46</v>
      </c>
      <c r="G709" s="1" t="s">
        <v>7321</v>
      </c>
      <c r="H709" s="1" t="s">
        <v>7234</v>
      </c>
      <c r="I709" s="1" t="s">
        <v>7322</v>
      </c>
      <c r="J709" s="1" t="s">
        <v>7323</v>
      </c>
      <c r="K709" s="1" t="s">
        <v>4568</v>
      </c>
      <c r="L709" s="14">
        <v>24535.0</v>
      </c>
      <c r="M709" s="8">
        <v>0.6101157407407407</v>
      </c>
      <c r="N709" s="6">
        <v>50.44</v>
      </c>
      <c r="O709" s="6">
        <v>51.0</v>
      </c>
      <c r="P709" s="7">
        <v>33187.0</v>
      </c>
      <c r="Q709" s="1" t="s">
        <v>52</v>
      </c>
      <c r="R709" s="1" t="s">
        <v>53</v>
      </c>
      <c r="S709" s="6">
        <v>1990.0</v>
      </c>
      <c r="T709" s="6">
        <v>11.0</v>
      </c>
      <c r="U709" s="1" t="s">
        <v>148</v>
      </c>
      <c r="V709" s="1" t="s">
        <v>149</v>
      </c>
      <c r="W709" s="6">
        <v>10.0</v>
      </c>
      <c r="X709" s="1" t="s">
        <v>56</v>
      </c>
      <c r="Y709" s="1" t="s">
        <v>57</v>
      </c>
      <c r="Z709" s="6">
        <v>26.73</v>
      </c>
      <c r="AA709" s="6">
        <v>196104.0</v>
      </c>
      <c r="AB709" s="10">
        <v>0.16</v>
      </c>
      <c r="AC709" s="1" t="s">
        <v>7324</v>
      </c>
      <c r="AD709" s="1" t="s">
        <v>7325</v>
      </c>
      <c r="AE709" s="1" t="s">
        <v>7326</v>
      </c>
      <c r="AF709" s="1" t="s">
        <v>2267</v>
      </c>
      <c r="AG709" s="1" t="s">
        <v>7326</v>
      </c>
      <c r="AH709" s="1" t="s">
        <v>740</v>
      </c>
      <c r="AI709" s="6">
        <v>1301.0</v>
      </c>
      <c r="AJ709" s="1" t="s">
        <v>224</v>
      </c>
      <c r="AK709" s="1" t="s">
        <v>7327</v>
      </c>
      <c r="AL709" s="1" t="s">
        <v>7328</v>
      </c>
      <c r="AM709" s="11" t="str">
        <f>VLOOKUP(N709,Sheet3!$B$4:$C$10,2,1)</f>
        <v>41-50</v>
      </c>
      <c r="AN709" s="13" t="str">
        <f>VLOOKUP(Z709,Sheet3!$F$4:$G$10,2,1)</f>
        <v>21-30</v>
      </c>
      <c r="AO709" s="5" t="str">
        <f>VLOOKUP(AA709,Sheet3!$I$3:$J$16,2,1)</f>
        <v>180000-200000</v>
      </c>
      <c r="AP709" s="5" t="str">
        <f>VLOOKUP(AB709,Sheet3!$L$4:$M$14,2,1)</f>
        <v>16% - 20%</v>
      </c>
    </row>
    <row r="710">
      <c r="A710" s="6">
        <v>352677.0</v>
      </c>
      <c r="B710" s="1" t="s">
        <v>66</v>
      </c>
      <c r="C710" s="1" t="s">
        <v>7329</v>
      </c>
      <c r="D710" s="1" t="s">
        <v>1300</v>
      </c>
      <c r="E710" s="1" t="s">
        <v>293</v>
      </c>
      <c r="F710" s="1" t="s">
        <v>70</v>
      </c>
      <c r="G710" s="1" t="s">
        <v>7330</v>
      </c>
      <c r="H710" s="1" t="s">
        <v>7234</v>
      </c>
      <c r="I710" s="1" t="s">
        <v>7331</v>
      </c>
      <c r="J710" s="1" t="s">
        <v>7332</v>
      </c>
      <c r="K710" s="1" t="s">
        <v>7333</v>
      </c>
      <c r="L710" s="9">
        <v>24548.0</v>
      </c>
      <c r="M710" s="8">
        <v>0.03923611111111111</v>
      </c>
      <c r="N710" s="6">
        <v>50.4</v>
      </c>
      <c r="O710" s="6">
        <v>58.0</v>
      </c>
      <c r="P710" s="7">
        <v>39061.0</v>
      </c>
      <c r="Q710" s="1" t="s">
        <v>52</v>
      </c>
      <c r="R710" s="1" t="s">
        <v>53</v>
      </c>
      <c r="S710" s="6">
        <v>2006.0</v>
      </c>
      <c r="T710" s="6">
        <v>12.0</v>
      </c>
      <c r="U710" s="1" t="s">
        <v>54</v>
      </c>
      <c r="V710" s="1" t="s">
        <v>55</v>
      </c>
      <c r="W710" s="6">
        <v>10.0</v>
      </c>
      <c r="X710" s="1" t="s">
        <v>534</v>
      </c>
      <c r="Y710" s="1" t="s">
        <v>535</v>
      </c>
      <c r="Z710" s="6">
        <v>10.64</v>
      </c>
      <c r="AA710" s="6">
        <v>177116.0</v>
      </c>
      <c r="AB710" s="10">
        <v>0.0</v>
      </c>
      <c r="AC710" s="1" t="s">
        <v>7334</v>
      </c>
      <c r="AD710" s="1" t="s">
        <v>7335</v>
      </c>
      <c r="AE710" s="1" t="s">
        <v>7336</v>
      </c>
      <c r="AF710" s="1" t="s">
        <v>7337</v>
      </c>
      <c r="AG710" s="1" t="s">
        <v>7336</v>
      </c>
      <c r="AH710" s="1" t="s">
        <v>238</v>
      </c>
      <c r="AI710" s="6">
        <v>96143.0</v>
      </c>
      <c r="AJ710" s="1" t="s">
        <v>63</v>
      </c>
      <c r="AK710" s="1" t="s">
        <v>7338</v>
      </c>
      <c r="AL710" s="1" t="s">
        <v>7339</v>
      </c>
      <c r="AM710" s="11" t="str">
        <f>VLOOKUP(N710,Sheet3!$B$4:$C$10,2,1)</f>
        <v>41-50</v>
      </c>
      <c r="AN710" s="12" t="str">
        <f>VLOOKUP(Z710,Sheet3!$F$4:$G$10,2,1)</f>
        <v>5-10</v>
      </c>
      <c r="AO710" s="5" t="str">
        <f>VLOOKUP(AA710,Sheet3!$I$3:$J$16,2,1)</f>
        <v>160000-180000</v>
      </c>
      <c r="AP710" s="5" t="str">
        <f>VLOOKUP(AB710,Sheet3!$L$4:$M$14,2,1)</f>
        <v>&lt; 5%</v>
      </c>
    </row>
    <row r="711">
      <c r="A711" s="6">
        <v>237902.0</v>
      </c>
      <c r="B711" s="1" t="s">
        <v>66</v>
      </c>
      <c r="C711" s="1" t="s">
        <v>7340</v>
      </c>
      <c r="D711" s="1" t="s">
        <v>318</v>
      </c>
      <c r="E711" s="1" t="s">
        <v>2035</v>
      </c>
      <c r="F711" s="1" t="s">
        <v>70</v>
      </c>
      <c r="G711" s="1" t="s">
        <v>7341</v>
      </c>
      <c r="H711" s="1" t="s">
        <v>7234</v>
      </c>
      <c r="I711" s="1" t="s">
        <v>7342</v>
      </c>
      <c r="J711" s="1" t="s">
        <v>7343</v>
      </c>
      <c r="K711" s="1" t="s">
        <v>7160</v>
      </c>
      <c r="L711" s="9">
        <v>22265.0</v>
      </c>
      <c r="M711" s="8">
        <v>0.26329861111111114</v>
      </c>
      <c r="N711" s="6">
        <v>56.65</v>
      </c>
      <c r="O711" s="6">
        <v>82.0</v>
      </c>
      <c r="P711" s="9">
        <v>33962.0</v>
      </c>
      <c r="Q711" s="1" t="s">
        <v>52</v>
      </c>
      <c r="R711" s="1" t="s">
        <v>53</v>
      </c>
      <c r="S711" s="6">
        <v>1992.0</v>
      </c>
      <c r="T711" s="6">
        <v>12.0</v>
      </c>
      <c r="U711" s="1" t="s">
        <v>54</v>
      </c>
      <c r="V711" s="1" t="s">
        <v>55</v>
      </c>
      <c r="W711" s="6">
        <v>24.0</v>
      </c>
      <c r="X711" s="1" t="s">
        <v>150</v>
      </c>
      <c r="Y711" s="1" t="s">
        <v>151</v>
      </c>
      <c r="Z711" s="6">
        <v>24.61</v>
      </c>
      <c r="AA711" s="6">
        <v>83170.0</v>
      </c>
      <c r="AB711" s="10">
        <v>0.23</v>
      </c>
      <c r="AC711" s="1" t="s">
        <v>7344</v>
      </c>
      <c r="AD711" s="1" t="s">
        <v>7345</v>
      </c>
      <c r="AE711" s="1" t="s">
        <v>7346</v>
      </c>
      <c r="AF711" s="1" t="s">
        <v>7346</v>
      </c>
      <c r="AG711" s="1" t="s">
        <v>7346</v>
      </c>
      <c r="AH711" s="1" t="s">
        <v>811</v>
      </c>
      <c r="AI711" s="6">
        <v>39757.0</v>
      </c>
      <c r="AJ711" s="1" t="s">
        <v>106</v>
      </c>
      <c r="AK711" s="1" t="s">
        <v>7347</v>
      </c>
      <c r="AL711" s="1" t="s">
        <v>7348</v>
      </c>
      <c r="AM711" s="11" t="str">
        <f>VLOOKUP(N711,Sheet3!$B$4:$C$10,2,1)</f>
        <v>51-60</v>
      </c>
      <c r="AN711" s="13" t="str">
        <f>VLOOKUP(Z711,Sheet3!$F$4:$G$10,2,1)</f>
        <v>21-30</v>
      </c>
      <c r="AO711" s="5" t="str">
        <f>VLOOKUP(AA711,Sheet3!$I$3:$J$16,2,1)</f>
        <v>80000-100000</v>
      </c>
      <c r="AP711" s="5" t="str">
        <f>VLOOKUP(AB711,Sheet3!$L$4:$M$14,2,1)</f>
        <v>21% - 25%</v>
      </c>
    </row>
    <row r="712">
      <c r="A712" s="6">
        <v>180696.0</v>
      </c>
      <c r="B712" s="1" t="s">
        <v>109</v>
      </c>
      <c r="C712" s="1" t="s">
        <v>7349</v>
      </c>
      <c r="D712" s="1" t="s">
        <v>127</v>
      </c>
      <c r="E712" s="1" t="s">
        <v>960</v>
      </c>
      <c r="F712" s="1" t="s">
        <v>46</v>
      </c>
      <c r="G712" s="1" t="s">
        <v>7350</v>
      </c>
      <c r="H712" s="1" t="s">
        <v>7234</v>
      </c>
      <c r="I712" s="1" t="s">
        <v>7351</v>
      </c>
      <c r="J712" s="1" t="s">
        <v>7352</v>
      </c>
      <c r="K712" s="1" t="s">
        <v>6816</v>
      </c>
      <c r="L712" s="14">
        <v>29926.0</v>
      </c>
      <c r="M712" s="8">
        <v>0.7928587962962963</v>
      </c>
      <c r="N712" s="6">
        <v>35.67</v>
      </c>
      <c r="O712" s="6">
        <v>45.0</v>
      </c>
      <c r="P712" s="14">
        <v>41126.0</v>
      </c>
      <c r="Q712" s="1" t="s">
        <v>308</v>
      </c>
      <c r="R712" s="1" t="s">
        <v>53</v>
      </c>
      <c r="S712" s="6">
        <v>2012.0</v>
      </c>
      <c r="T712" s="6">
        <v>8.0</v>
      </c>
      <c r="U712" s="1" t="s">
        <v>433</v>
      </c>
      <c r="V712" s="1" t="s">
        <v>434</v>
      </c>
      <c r="W712" s="6">
        <v>5.0</v>
      </c>
      <c r="X712" s="1" t="s">
        <v>534</v>
      </c>
      <c r="Y712" s="1" t="s">
        <v>535</v>
      </c>
      <c r="Z712" s="6">
        <v>4.98</v>
      </c>
      <c r="AA712" s="6">
        <v>47731.0</v>
      </c>
      <c r="AB712" s="10">
        <v>0.09</v>
      </c>
      <c r="AC712" s="1" t="s">
        <v>7353</v>
      </c>
      <c r="AD712" s="1" t="s">
        <v>7354</v>
      </c>
      <c r="AE712" s="1" t="s">
        <v>7355</v>
      </c>
      <c r="AF712" s="1" t="s">
        <v>7201</v>
      </c>
      <c r="AG712" s="1" t="s">
        <v>7355</v>
      </c>
      <c r="AH712" s="1" t="s">
        <v>284</v>
      </c>
      <c r="AI712" s="6">
        <v>52408.0</v>
      </c>
      <c r="AJ712" s="1" t="s">
        <v>86</v>
      </c>
      <c r="AK712" s="1" t="s">
        <v>7356</v>
      </c>
      <c r="AL712" s="1" t="s">
        <v>7357</v>
      </c>
      <c r="AM712" s="11" t="str">
        <f>VLOOKUP(N712,Sheet3!$B$4:$C$10,2,1)</f>
        <v>31-40</v>
      </c>
      <c r="AN712" s="13" t="str">
        <f>VLOOKUP(Z712,Sheet3!$F$4:$G$10,2,1)</f>
        <v>&lt; 5</v>
      </c>
      <c r="AO712" s="5" t="str">
        <f>VLOOKUP(AA712,Sheet3!$I$3:$J$16,2,1)</f>
        <v>40000-60000</v>
      </c>
      <c r="AP712" s="5" t="str">
        <f>VLOOKUP(AB712,Sheet3!$L$4:$M$14,2,1)</f>
        <v>5% - 10%</v>
      </c>
    </row>
    <row r="713">
      <c r="A713" s="6">
        <v>168016.0</v>
      </c>
      <c r="B713" s="1" t="s">
        <v>227</v>
      </c>
      <c r="C713" s="1" t="s">
        <v>7358</v>
      </c>
      <c r="D713" s="1" t="s">
        <v>360</v>
      </c>
      <c r="E713" s="1" t="s">
        <v>2633</v>
      </c>
      <c r="F713" s="1" t="s">
        <v>70</v>
      </c>
      <c r="G713" s="1" t="s">
        <v>7359</v>
      </c>
      <c r="H713" s="1" t="s">
        <v>7234</v>
      </c>
      <c r="I713" s="1" t="s">
        <v>7360</v>
      </c>
      <c r="J713" s="1" t="s">
        <v>7361</v>
      </c>
      <c r="K713" s="1" t="s">
        <v>3177</v>
      </c>
      <c r="L713" s="9">
        <v>32470.0</v>
      </c>
      <c r="M713" s="8">
        <v>0.042256944444444444</v>
      </c>
      <c r="N713" s="6">
        <v>28.7</v>
      </c>
      <c r="O713" s="6">
        <v>51.0</v>
      </c>
      <c r="P713" s="14">
        <v>40300.0</v>
      </c>
      <c r="Q713" s="1" t="s">
        <v>75</v>
      </c>
      <c r="R713" s="1" t="s">
        <v>76</v>
      </c>
      <c r="S713" s="6">
        <v>2010.0</v>
      </c>
      <c r="T713" s="6">
        <v>5.0</v>
      </c>
      <c r="U713" s="1" t="s">
        <v>294</v>
      </c>
      <c r="V713" s="1" t="s">
        <v>294</v>
      </c>
      <c r="W713" s="6">
        <v>2.0</v>
      </c>
      <c r="X713" s="1" t="s">
        <v>534</v>
      </c>
      <c r="Y713" s="1" t="s">
        <v>535</v>
      </c>
      <c r="Z713" s="6">
        <v>7.24</v>
      </c>
      <c r="AA713" s="6">
        <v>55874.0</v>
      </c>
      <c r="AB713" s="10">
        <v>0.25</v>
      </c>
      <c r="AC713" s="1" t="s">
        <v>7362</v>
      </c>
      <c r="AD713" s="1" t="s">
        <v>7363</v>
      </c>
      <c r="AE713" s="1" t="s">
        <v>7364</v>
      </c>
      <c r="AF713" s="1" t="s">
        <v>892</v>
      </c>
      <c r="AG713" s="1" t="s">
        <v>7364</v>
      </c>
      <c r="AH713" s="1" t="s">
        <v>893</v>
      </c>
      <c r="AI713" s="6">
        <v>28234.0</v>
      </c>
      <c r="AJ713" s="1" t="s">
        <v>106</v>
      </c>
      <c r="AK713" s="1" t="s">
        <v>7365</v>
      </c>
      <c r="AL713" s="1" t="s">
        <v>7366</v>
      </c>
      <c r="AM713" s="11" t="str">
        <f>VLOOKUP(N713,Sheet3!$B$4:$C$10,2,1)</f>
        <v>21-30</v>
      </c>
      <c r="AN713" s="12" t="str">
        <f>VLOOKUP(Z713,Sheet3!$F$4:$G$10,2,1)</f>
        <v>5-10</v>
      </c>
      <c r="AO713" s="5" t="str">
        <f>VLOOKUP(AA713,Sheet3!$I$3:$J$16,2,1)</f>
        <v>40000-60000</v>
      </c>
      <c r="AP713" s="5" t="str">
        <f>VLOOKUP(AB713,Sheet3!$L$4:$M$14,2,1)</f>
        <v>21% - 25%</v>
      </c>
    </row>
    <row r="714">
      <c r="A714" s="6">
        <v>481176.0</v>
      </c>
      <c r="B714" s="1" t="s">
        <v>42</v>
      </c>
      <c r="C714" s="1" t="s">
        <v>7367</v>
      </c>
      <c r="D714" s="1" t="s">
        <v>1663</v>
      </c>
      <c r="E714" s="1" t="s">
        <v>7368</v>
      </c>
      <c r="F714" s="1" t="s">
        <v>46</v>
      </c>
      <c r="G714" s="1" t="s">
        <v>7369</v>
      </c>
      <c r="H714" s="1" t="s">
        <v>7234</v>
      </c>
      <c r="I714" s="1" t="s">
        <v>7370</v>
      </c>
      <c r="J714" s="1" t="s">
        <v>7371</v>
      </c>
      <c r="K714" s="1" t="s">
        <v>3203</v>
      </c>
      <c r="L714" s="14">
        <v>34249.0</v>
      </c>
      <c r="M714" s="8">
        <v>0.8777083333333333</v>
      </c>
      <c r="N714" s="6">
        <v>23.82</v>
      </c>
      <c r="O714" s="6">
        <v>42.0</v>
      </c>
      <c r="P714" s="9">
        <v>42270.0</v>
      </c>
      <c r="Q714" s="1" t="s">
        <v>308</v>
      </c>
      <c r="R714" s="1" t="s">
        <v>53</v>
      </c>
      <c r="S714" s="6">
        <v>2015.0</v>
      </c>
      <c r="T714" s="6">
        <v>9.0</v>
      </c>
      <c r="U714" s="1" t="s">
        <v>309</v>
      </c>
      <c r="V714" s="1" t="s">
        <v>310</v>
      </c>
      <c r="W714" s="6">
        <v>23.0</v>
      </c>
      <c r="X714" s="1" t="s">
        <v>278</v>
      </c>
      <c r="Y714" s="1" t="s">
        <v>279</v>
      </c>
      <c r="Z714" s="6">
        <v>1.85</v>
      </c>
      <c r="AA714" s="6">
        <v>115968.0</v>
      </c>
      <c r="AB714" s="10">
        <v>0.16</v>
      </c>
      <c r="AC714" s="1" t="s">
        <v>7372</v>
      </c>
      <c r="AD714" s="1" t="s">
        <v>7373</v>
      </c>
      <c r="AE714" s="1" t="s">
        <v>7374</v>
      </c>
      <c r="AF714" s="1" t="s">
        <v>7375</v>
      </c>
      <c r="AG714" s="1" t="s">
        <v>7374</v>
      </c>
      <c r="AH714" s="1" t="s">
        <v>156</v>
      </c>
      <c r="AI714" s="6">
        <v>23461.0</v>
      </c>
      <c r="AJ714" s="1" t="s">
        <v>106</v>
      </c>
      <c r="AK714" s="1" t="s">
        <v>7376</v>
      </c>
      <c r="AL714" s="1" t="s">
        <v>7377</v>
      </c>
      <c r="AM714" s="11" t="str">
        <f>VLOOKUP(N714,Sheet3!$B$4:$C$10,2,1)</f>
        <v>21-30</v>
      </c>
      <c r="AN714" s="13" t="str">
        <f>VLOOKUP(Z714,Sheet3!$F$4:$G$10,2,1)</f>
        <v>&lt; 5</v>
      </c>
      <c r="AO714" s="5" t="str">
        <f>VLOOKUP(AA714,Sheet3!$I$3:$J$16,2,1)</f>
        <v>100000-120000</v>
      </c>
      <c r="AP714" s="5" t="str">
        <f>VLOOKUP(AB714,Sheet3!$L$4:$M$14,2,1)</f>
        <v>16% - 20%</v>
      </c>
    </row>
    <row r="715">
      <c r="A715" s="6">
        <v>438561.0</v>
      </c>
      <c r="B715" s="1" t="s">
        <v>66</v>
      </c>
      <c r="C715" s="1" t="s">
        <v>7378</v>
      </c>
      <c r="D715" s="1" t="s">
        <v>70</v>
      </c>
      <c r="E715" s="1" t="s">
        <v>3181</v>
      </c>
      <c r="F715" s="1" t="s">
        <v>70</v>
      </c>
      <c r="G715" s="1" t="s">
        <v>7379</v>
      </c>
      <c r="H715" s="1" t="s">
        <v>7234</v>
      </c>
      <c r="I715" s="1" t="s">
        <v>7380</v>
      </c>
      <c r="J715" s="1" t="s">
        <v>7381</v>
      </c>
      <c r="K715" s="1" t="s">
        <v>4116</v>
      </c>
      <c r="L715" s="9">
        <v>23951.0</v>
      </c>
      <c r="M715" s="8">
        <v>0.5388541666666666</v>
      </c>
      <c r="N715" s="6">
        <v>52.04</v>
      </c>
      <c r="O715" s="6">
        <v>52.0</v>
      </c>
      <c r="P715" s="14">
        <v>39846.0</v>
      </c>
      <c r="Q715" s="1" t="s">
        <v>96</v>
      </c>
      <c r="R715" s="1" t="s">
        <v>76</v>
      </c>
      <c r="S715" s="6">
        <v>2009.0</v>
      </c>
      <c r="T715" s="6">
        <v>2.0</v>
      </c>
      <c r="U715" s="1" t="s">
        <v>117</v>
      </c>
      <c r="V715" s="1" t="s">
        <v>118</v>
      </c>
      <c r="W715" s="6">
        <v>2.0</v>
      </c>
      <c r="X715" s="1" t="s">
        <v>99</v>
      </c>
      <c r="Y715" s="1" t="s">
        <v>100</v>
      </c>
      <c r="Z715" s="6">
        <v>8.49</v>
      </c>
      <c r="AA715" s="6">
        <v>152121.0</v>
      </c>
      <c r="AB715" s="10">
        <v>0.16</v>
      </c>
      <c r="AC715" s="1" t="s">
        <v>7382</v>
      </c>
      <c r="AD715" s="1" t="s">
        <v>7383</v>
      </c>
      <c r="AE715" s="1" t="s">
        <v>7384</v>
      </c>
      <c r="AF715" s="1" t="s">
        <v>6864</v>
      </c>
      <c r="AG715" s="1" t="s">
        <v>7384</v>
      </c>
      <c r="AH715" s="1" t="s">
        <v>385</v>
      </c>
      <c r="AI715" s="6">
        <v>99037.0</v>
      </c>
      <c r="AJ715" s="1" t="s">
        <v>63</v>
      </c>
      <c r="AK715" s="1" t="s">
        <v>7385</v>
      </c>
      <c r="AL715" s="1" t="s">
        <v>7386</v>
      </c>
      <c r="AM715" s="11" t="str">
        <f>VLOOKUP(N715,Sheet3!$B$4:$C$10,2,1)</f>
        <v>51-60</v>
      </c>
      <c r="AN715" s="12" t="str">
        <f>VLOOKUP(Z715,Sheet3!$F$4:$G$10,2,1)</f>
        <v>5-10</v>
      </c>
      <c r="AO715" s="5" t="str">
        <f>VLOOKUP(AA715,Sheet3!$I$3:$J$16,2,1)</f>
        <v>140000-160000</v>
      </c>
      <c r="AP715" s="5" t="str">
        <f>VLOOKUP(AB715,Sheet3!$L$4:$M$14,2,1)</f>
        <v>16% - 20%</v>
      </c>
    </row>
    <row r="716">
      <c r="A716" s="6">
        <v>709146.0</v>
      </c>
      <c r="B716" s="1" t="s">
        <v>125</v>
      </c>
      <c r="C716" s="1" t="s">
        <v>7086</v>
      </c>
      <c r="D716" s="1" t="s">
        <v>443</v>
      </c>
      <c r="E716" s="1" t="s">
        <v>2919</v>
      </c>
      <c r="F716" s="1" t="s">
        <v>46</v>
      </c>
      <c r="G716" s="1" t="s">
        <v>7387</v>
      </c>
      <c r="H716" s="1" t="s">
        <v>7234</v>
      </c>
      <c r="I716" s="1" t="s">
        <v>7388</v>
      </c>
      <c r="J716" s="1" t="s">
        <v>7389</v>
      </c>
      <c r="K716" s="1" t="s">
        <v>7390</v>
      </c>
      <c r="L716" s="14">
        <v>28986.0</v>
      </c>
      <c r="M716" s="8">
        <v>0.3085763888888889</v>
      </c>
      <c r="N716" s="6">
        <v>38.24</v>
      </c>
      <c r="O716" s="6">
        <v>57.0</v>
      </c>
      <c r="P716" s="9">
        <v>41725.0</v>
      </c>
      <c r="Q716" s="1" t="s">
        <v>96</v>
      </c>
      <c r="R716" s="1" t="s">
        <v>76</v>
      </c>
      <c r="S716" s="6">
        <v>2014.0</v>
      </c>
      <c r="T716" s="6">
        <v>3.0</v>
      </c>
      <c r="U716" s="1" t="s">
        <v>97</v>
      </c>
      <c r="V716" s="1" t="s">
        <v>98</v>
      </c>
      <c r="W716" s="6">
        <v>27.0</v>
      </c>
      <c r="X716" s="1" t="s">
        <v>150</v>
      </c>
      <c r="Y716" s="1" t="s">
        <v>151</v>
      </c>
      <c r="Z716" s="6">
        <v>3.34</v>
      </c>
      <c r="AA716" s="6">
        <v>64356.0</v>
      </c>
      <c r="AB716" s="10">
        <v>0.07</v>
      </c>
      <c r="AC716" s="1" t="s">
        <v>7391</v>
      </c>
      <c r="AD716" s="1" t="s">
        <v>7392</v>
      </c>
      <c r="AE716" s="1" t="s">
        <v>7393</v>
      </c>
      <c r="AF716" s="1" t="s">
        <v>1320</v>
      </c>
      <c r="AG716" s="1" t="s">
        <v>7393</v>
      </c>
      <c r="AH716" s="1" t="s">
        <v>857</v>
      </c>
      <c r="AI716" s="6">
        <v>65723.0</v>
      </c>
      <c r="AJ716" s="1" t="s">
        <v>86</v>
      </c>
      <c r="AK716" s="1" t="s">
        <v>7394</v>
      </c>
      <c r="AL716" s="1" t="s">
        <v>7395</v>
      </c>
      <c r="AM716" s="11" t="str">
        <f>VLOOKUP(N716,Sheet3!$B$4:$C$10,2,1)</f>
        <v>31-40</v>
      </c>
      <c r="AN716" s="13" t="str">
        <f>VLOOKUP(Z716,Sheet3!$F$4:$G$10,2,1)</f>
        <v>&lt; 5</v>
      </c>
      <c r="AO716" s="5" t="str">
        <f>VLOOKUP(AA716,Sheet3!$I$3:$J$16,2,1)</f>
        <v>60000-80000</v>
      </c>
      <c r="AP716" s="5" t="str">
        <f>VLOOKUP(AB716,Sheet3!$L$4:$M$14,2,1)</f>
        <v>5% - 10%</v>
      </c>
    </row>
    <row r="717">
      <c r="A717" s="6">
        <v>746945.0</v>
      </c>
      <c r="B717" s="1" t="s">
        <v>66</v>
      </c>
      <c r="C717" s="1" t="s">
        <v>7396</v>
      </c>
      <c r="D717" s="1" t="s">
        <v>360</v>
      </c>
      <c r="E717" s="1" t="s">
        <v>768</v>
      </c>
      <c r="F717" s="1" t="s">
        <v>70</v>
      </c>
      <c r="G717" s="1" t="s">
        <v>7397</v>
      </c>
      <c r="H717" s="1" t="s">
        <v>7398</v>
      </c>
      <c r="I717" s="1" t="s">
        <v>7399</v>
      </c>
      <c r="J717" s="1" t="s">
        <v>7400</v>
      </c>
      <c r="K717" s="1" t="s">
        <v>946</v>
      </c>
      <c r="L717" s="9">
        <v>21353.0</v>
      </c>
      <c r="M717" s="8">
        <v>0.6857291666666666</v>
      </c>
      <c r="N717" s="6">
        <v>59.15</v>
      </c>
      <c r="O717" s="6">
        <v>62.0</v>
      </c>
      <c r="P717" s="9">
        <v>41988.0</v>
      </c>
      <c r="Q717" s="1" t="s">
        <v>52</v>
      </c>
      <c r="R717" s="1" t="s">
        <v>53</v>
      </c>
      <c r="S717" s="6">
        <v>2014.0</v>
      </c>
      <c r="T717" s="6">
        <v>12.0</v>
      </c>
      <c r="U717" s="1" t="s">
        <v>54</v>
      </c>
      <c r="V717" s="1" t="s">
        <v>55</v>
      </c>
      <c r="W717" s="6">
        <v>15.0</v>
      </c>
      <c r="X717" s="1" t="s">
        <v>99</v>
      </c>
      <c r="Y717" s="1" t="s">
        <v>100</v>
      </c>
      <c r="Z717" s="6">
        <v>2.62</v>
      </c>
      <c r="AA717" s="6">
        <v>175570.0</v>
      </c>
      <c r="AB717" s="10">
        <v>0.12</v>
      </c>
      <c r="AC717" s="1" t="s">
        <v>7401</v>
      </c>
      <c r="AD717" s="1" t="s">
        <v>7402</v>
      </c>
      <c r="AE717" s="1" t="s">
        <v>1790</v>
      </c>
      <c r="AF717" s="1" t="s">
        <v>2328</v>
      </c>
      <c r="AG717" s="1" t="s">
        <v>1790</v>
      </c>
      <c r="AH717" s="1" t="s">
        <v>857</v>
      </c>
      <c r="AI717" s="6">
        <v>63150.0</v>
      </c>
      <c r="AJ717" s="1" t="s">
        <v>86</v>
      </c>
      <c r="AK717" s="1" t="s">
        <v>7403</v>
      </c>
      <c r="AL717" s="1" t="s">
        <v>7404</v>
      </c>
      <c r="AM717" s="11" t="str">
        <f>VLOOKUP(N717,Sheet3!$B$4:$C$10,2,1)</f>
        <v>51-60</v>
      </c>
      <c r="AN717" s="13" t="str">
        <f>VLOOKUP(Z717,Sheet3!$F$4:$G$10,2,1)</f>
        <v>&lt; 5</v>
      </c>
      <c r="AO717" s="5" t="str">
        <f>VLOOKUP(AA717,Sheet3!$I$3:$J$16,2,1)</f>
        <v>160000-180000</v>
      </c>
      <c r="AP717" s="5" t="str">
        <f>VLOOKUP(AB717,Sheet3!$L$4:$M$14,2,1)</f>
        <v>11% - 15%</v>
      </c>
    </row>
    <row r="718">
      <c r="A718" s="6">
        <v>473773.0</v>
      </c>
      <c r="B718" s="1" t="s">
        <v>66</v>
      </c>
      <c r="C718" s="1" t="s">
        <v>7405</v>
      </c>
      <c r="D718" s="1" t="s">
        <v>257</v>
      </c>
      <c r="E718" s="1" t="s">
        <v>7406</v>
      </c>
      <c r="F718" s="1" t="s">
        <v>70</v>
      </c>
      <c r="G718" s="1" t="s">
        <v>7407</v>
      </c>
      <c r="H718" s="1" t="s">
        <v>7398</v>
      </c>
      <c r="I718" s="1" t="s">
        <v>7408</v>
      </c>
      <c r="J718" s="1" t="s">
        <v>7409</v>
      </c>
      <c r="K718" s="1" t="s">
        <v>7410</v>
      </c>
      <c r="L718" s="9">
        <v>24192.0</v>
      </c>
      <c r="M718" s="8">
        <v>0.8914699074074074</v>
      </c>
      <c r="N718" s="6">
        <v>51.38</v>
      </c>
      <c r="O718" s="6">
        <v>67.0</v>
      </c>
      <c r="P718" s="9">
        <v>34447.0</v>
      </c>
      <c r="Q718" s="1" t="s">
        <v>75</v>
      </c>
      <c r="R718" s="1" t="s">
        <v>76</v>
      </c>
      <c r="S718" s="6">
        <v>1994.0</v>
      </c>
      <c r="T718" s="6">
        <v>4.0</v>
      </c>
      <c r="U718" s="1" t="s">
        <v>77</v>
      </c>
      <c r="V718" s="1" t="s">
        <v>78</v>
      </c>
      <c r="W718" s="6">
        <v>23.0</v>
      </c>
      <c r="X718" s="1" t="s">
        <v>56</v>
      </c>
      <c r="Y718" s="1" t="s">
        <v>57</v>
      </c>
      <c r="Z718" s="6">
        <v>23.28</v>
      </c>
      <c r="AA718" s="6">
        <v>88171.0</v>
      </c>
      <c r="AB718" s="10">
        <v>0.22</v>
      </c>
      <c r="AC718" s="1" t="s">
        <v>7411</v>
      </c>
      <c r="AD718" s="1" t="s">
        <v>7412</v>
      </c>
      <c r="AE718" s="1" t="s">
        <v>7413</v>
      </c>
      <c r="AF718" s="1" t="s">
        <v>61</v>
      </c>
      <c r="AG718" s="1" t="s">
        <v>7413</v>
      </c>
      <c r="AH718" s="1" t="s">
        <v>1561</v>
      </c>
      <c r="AI718" s="6">
        <v>54771.0</v>
      </c>
      <c r="AJ718" s="1" t="s">
        <v>86</v>
      </c>
      <c r="AK718" s="1" t="s">
        <v>7414</v>
      </c>
      <c r="AL718" s="1" t="s">
        <v>7415</v>
      </c>
      <c r="AM718" s="11" t="str">
        <f>VLOOKUP(N718,Sheet3!$B$4:$C$10,2,1)</f>
        <v>51-60</v>
      </c>
      <c r="AN718" s="13" t="str">
        <f>VLOOKUP(Z718,Sheet3!$F$4:$G$10,2,1)</f>
        <v>21-30</v>
      </c>
      <c r="AO718" s="5" t="str">
        <f>VLOOKUP(AA718,Sheet3!$I$3:$J$16,2,1)</f>
        <v>80000-100000</v>
      </c>
      <c r="AP718" s="5" t="str">
        <f>VLOOKUP(AB718,Sheet3!$L$4:$M$14,2,1)</f>
        <v>21% - 25%</v>
      </c>
    </row>
    <row r="719">
      <c r="A719" s="6">
        <v>828174.0</v>
      </c>
      <c r="B719" s="1" t="s">
        <v>255</v>
      </c>
      <c r="C719" s="1" t="s">
        <v>5535</v>
      </c>
      <c r="D719" s="1" t="s">
        <v>861</v>
      </c>
      <c r="E719" s="1" t="s">
        <v>1728</v>
      </c>
      <c r="F719" s="1" t="s">
        <v>70</v>
      </c>
      <c r="G719" s="1" t="s">
        <v>7416</v>
      </c>
      <c r="H719" s="1" t="s">
        <v>7398</v>
      </c>
      <c r="I719" s="1" t="s">
        <v>7417</v>
      </c>
      <c r="J719" s="1" t="s">
        <v>7418</v>
      </c>
      <c r="K719" s="1" t="s">
        <v>6240</v>
      </c>
      <c r="L719" s="14">
        <v>31543.0</v>
      </c>
      <c r="M719" s="8">
        <v>0.5229976851851852</v>
      </c>
      <c r="N719" s="6">
        <v>31.24</v>
      </c>
      <c r="O719" s="6">
        <v>67.0</v>
      </c>
      <c r="P719" s="9">
        <v>39354.0</v>
      </c>
      <c r="Q719" s="1" t="s">
        <v>308</v>
      </c>
      <c r="R719" s="1" t="s">
        <v>53</v>
      </c>
      <c r="S719" s="6">
        <v>2007.0</v>
      </c>
      <c r="T719" s="6">
        <v>9.0</v>
      </c>
      <c r="U719" s="1" t="s">
        <v>309</v>
      </c>
      <c r="V719" s="1" t="s">
        <v>310</v>
      </c>
      <c r="W719" s="6">
        <v>29.0</v>
      </c>
      <c r="X719" s="1" t="s">
        <v>56</v>
      </c>
      <c r="Y719" s="1" t="s">
        <v>57</v>
      </c>
      <c r="Z719" s="6">
        <v>9.84</v>
      </c>
      <c r="AA719" s="6">
        <v>81646.0</v>
      </c>
      <c r="AB719" s="10">
        <v>0.02</v>
      </c>
      <c r="AC719" s="1" t="s">
        <v>7419</v>
      </c>
      <c r="AD719" s="1" t="s">
        <v>7420</v>
      </c>
      <c r="AE719" s="1" t="s">
        <v>7421</v>
      </c>
      <c r="AF719" s="1" t="s">
        <v>1791</v>
      </c>
      <c r="AG719" s="1" t="s">
        <v>7421</v>
      </c>
      <c r="AH719" s="1" t="s">
        <v>1505</v>
      </c>
      <c r="AI719" s="6">
        <v>55765.0</v>
      </c>
      <c r="AJ719" s="1" t="s">
        <v>86</v>
      </c>
      <c r="AK719" s="1" t="s">
        <v>7422</v>
      </c>
      <c r="AL719" s="1" t="s">
        <v>7423</v>
      </c>
      <c r="AM719" s="11" t="str">
        <f>VLOOKUP(N719,Sheet3!$B$4:$C$10,2,1)</f>
        <v>31-40</v>
      </c>
      <c r="AN719" s="12" t="str">
        <f>VLOOKUP(Z719,Sheet3!$F$4:$G$10,2,1)</f>
        <v>5-10</v>
      </c>
      <c r="AO719" s="5" t="str">
        <f>VLOOKUP(AA719,Sheet3!$I$3:$J$16,2,1)</f>
        <v>80000-100000</v>
      </c>
      <c r="AP719" s="5" t="str">
        <f>VLOOKUP(AB719,Sheet3!$L$4:$M$14,2,1)</f>
        <v>&lt; 5%</v>
      </c>
    </row>
    <row r="720">
      <c r="A720" s="6">
        <v>438094.0</v>
      </c>
      <c r="B720" s="1" t="s">
        <v>109</v>
      </c>
      <c r="C720" s="1" t="s">
        <v>7424</v>
      </c>
      <c r="D720" s="1" t="s">
        <v>68</v>
      </c>
      <c r="E720" s="1" t="s">
        <v>6047</v>
      </c>
      <c r="F720" s="1" t="s">
        <v>46</v>
      </c>
      <c r="G720" s="1" t="s">
        <v>7425</v>
      </c>
      <c r="H720" s="1" t="s">
        <v>7398</v>
      </c>
      <c r="I720" s="1" t="s">
        <v>7426</v>
      </c>
      <c r="J720" s="1" t="s">
        <v>7427</v>
      </c>
      <c r="K720" s="1" t="s">
        <v>7428</v>
      </c>
      <c r="L720" s="14">
        <v>26489.0</v>
      </c>
      <c r="M720" s="8">
        <v>0.32114583333333335</v>
      </c>
      <c r="N720" s="6">
        <v>45.08</v>
      </c>
      <c r="O720" s="6">
        <v>47.0</v>
      </c>
      <c r="P720" s="9">
        <v>38951.0</v>
      </c>
      <c r="Q720" s="1" t="s">
        <v>308</v>
      </c>
      <c r="R720" s="1" t="s">
        <v>53</v>
      </c>
      <c r="S720" s="6">
        <v>2006.0</v>
      </c>
      <c r="T720" s="6">
        <v>8.0</v>
      </c>
      <c r="U720" s="1" t="s">
        <v>433</v>
      </c>
      <c r="V720" s="1" t="s">
        <v>434</v>
      </c>
      <c r="W720" s="6">
        <v>22.0</v>
      </c>
      <c r="X720" s="1" t="s">
        <v>79</v>
      </c>
      <c r="Y720" s="1" t="s">
        <v>80</v>
      </c>
      <c r="Z720" s="6">
        <v>10.94</v>
      </c>
      <c r="AA720" s="6">
        <v>137384.0</v>
      </c>
      <c r="AB720" s="10">
        <v>0.06</v>
      </c>
      <c r="AC720" s="1" t="s">
        <v>7429</v>
      </c>
      <c r="AD720" s="1" t="s">
        <v>7430</v>
      </c>
      <c r="AE720" s="1" t="s">
        <v>4077</v>
      </c>
      <c r="AF720" s="1" t="s">
        <v>7431</v>
      </c>
      <c r="AG720" s="1" t="s">
        <v>4077</v>
      </c>
      <c r="AH720" s="1" t="s">
        <v>238</v>
      </c>
      <c r="AI720" s="6">
        <v>94623.0</v>
      </c>
      <c r="AJ720" s="1" t="s">
        <v>63</v>
      </c>
      <c r="AK720" s="1" t="s">
        <v>7432</v>
      </c>
      <c r="AL720" s="1" t="s">
        <v>7433</v>
      </c>
      <c r="AM720" s="11" t="str">
        <f>VLOOKUP(N720,Sheet3!$B$4:$C$10,2,1)</f>
        <v>41-50</v>
      </c>
      <c r="AN720" s="12" t="str">
        <f>VLOOKUP(Z720,Sheet3!$F$4:$G$10,2,1)</f>
        <v>5-10</v>
      </c>
      <c r="AO720" s="5" t="str">
        <f>VLOOKUP(AA720,Sheet3!$I$3:$J$16,2,1)</f>
        <v>120000-140000</v>
      </c>
      <c r="AP720" s="5" t="str">
        <f>VLOOKUP(AB720,Sheet3!$L$4:$M$14,2,1)</f>
        <v>5% - 10%</v>
      </c>
    </row>
    <row r="721">
      <c r="A721" s="6">
        <v>866744.0</v>
      </c>
      <c r="B721" s="1" t="s">
        <v>255</v>
      </c>
      <c r="C721" s="1" t="s">
        <v>7434</v>
      </c>
      <c r="D721" s="1" t="s">
        <v>242</v>
      </c>
      <c r="E721" s="1" t="s">
        <v>1229</v>
      </c>
      <c r="F721" s="1" t="s">
        <v>70</v>
      </c>
      <c r="G721" s="1" t="s">
        <v>7435</v>
      </c>
      <c r="H721" s="1" t="s">
        <v>7398</v>
      </c>
      <c r="I721" s="1" t="s">
        <v>7436</v>
      </c>
      <c r="J721" s="1" t="s">
        <v>7437</v>
      </c>
      <c r="K721" s="1" t="s">
        <v>826</v>
      </c>
      <c r="L721" s="9">
        <v>30481.0</v>
      </c>
      <c r="M721" s="8">
        <v>0.18013888888888888</v>
      </c>
      <c r="N721" s="6">
        <v>34.15</v>
      </c>
      <c r="O721" s="6">
        <v>84.0</v>
      </c>
      <c r="P721" s="9">
        <v>42600.0</v>
      </c>
      <c r="Q721" s="1" t="s">
        <v>308</v>
      </c>
      <c r="R721" s="1" t="s">
        <v>53</v>
      </c>
      <c r="S721" s="6">
        <v>2016.0</v>
      </c>
      <c r="T721" s="6">
        <v>8.0</v>
      </c>
      <c r="U721" s="1" t="s">
        <v>433</v>
      </c>
      <c r="V721" s="1" t="s">
        <v>434</v>
      </c>
      <c r="W721" s="6">
        <v>18.0</v>
      </c>
      <c r="X721" s="1" t="s">
        <v>150</v>
      </c>
      <c r="Y721" s="1" t="s">
        <v>151</v>
      </c>
      <c r="Z721" s="6">
        <v>0.94</v>
      </c>
      <c r="AA721" s="6">
        <v>91684.0</v>
      </c>
      <c r="AB721" s="10">
        <v>0.24</v>
      </c>
      <c r="AC721" s="1" t="s">
        <v>7438</v>
      </c>
      <c r="AD721" s="1" t="s">
        <v>7439</v>
      </c>
      <c r="AE721" s="1" t="s">
        <v>7440</v>
      </c>
      <c r="AF721" s="1" t="s">
        <v>7441</v>
      </c>
      <c r="AG721" s="1" t="s">
        <v>7440</v>
      </c>
      <c r="AH721" s="1" t="s">
        <v>525</v>
      </c>
      <c r="AI721" s="6">
        <v>71675.0</v>
      </c>
      <c r="AJ721" s="1" t="s">
        <v>106</v>
      </c>
      <c r="AK721" s="1" t="s">
        <v>7442</v>
      </c>
      <c r="AL721" s="1" t="s">
        <v>7443</v>
      </c>
      <c r="AM721" s="11" t="str">
        <f>VLOOKUP(N721,Sheet3!$B$4:$C$10,2,1)</f>
        <v>31-40</v>
      </c>
      <c r="AN721" s="13" t="str">
        <f>VLOOKUP(Z721,Sheet3!$F$4:$G$10,2,1)</f>
        <v>&lt; 5</v>
      </c>
      <c r="AO721" s="5" t="str">
        <f>VLOOKUP(AA721,Sheet3!$I$3:$J$16,2,1)</f>
        <v>80000-100000</v>
      </c>
      <c r="AP721" s="5" t="str">
        <f>VLOOKUP(AB721,Sheet3!$L$4:$M$14,2,1)</f>
        <v>21% - 25%</v>
      </c>
    </row>
    <row r="722">
      <c r="A722" s="6">
        <v>638900.0</v>
      </c>
      <c r="B722" s="1" t="s">
        <v>89</v>
      </c>
      <c r="C722" s="1" t="s">
        <v>4382</v>
      </c>
      <c r="D722" s="1" t="s">
        <v>334</v>
      </c>
      <c r="E722" s="1" t="s">
        <v>4308</v>
      </c>
      <c r="F722" s="1" t="s">
        <v>46</v>
      </c>
      <c r="G722" s="1" t="s">
        <v>7444</v>
      </c>
      <c r="H722" s="1" t="s">
        <v>7398</v>
      </c>
      <c r="I722" s="1" t="s">
        <v>7445</v>
      </c>
      <c r="J722" s="1" t="s">
        <v>7446</v>
      </c>
      <c r="K722" s="1" t="s">
        <v>7447</v>
      </c>
      <c r="L722" s="9">
        <v>34839.0</v>
      </c>
      <c r="M722" s="8">
        <v>0.1258912037037037</v>
      </c>
      <c r="N722" s="6">
        <v>22.21</v>
      </c>
      <c r="O722" s="6">
        <v>41.0</v>
      </c>
      <c r="P722" s="14">
        <v>42624.0</v>
      </c>
      <c r="Q722" s="1" t="s">
        <v>308</v>
      </c>
      <c r="R722" s="1" t="s">
        <v>53</v>
      </c>
      <c r="S722" s="6">
        <v>2016.0</v>
      </c>
      <c r="T722" s="6">
        <v>9.0</v>
      </c>
      <c r="U722" s="1" t="s">
        <v>309</v>
      </c>
      <c r="V722" s="1" t="s">
        <v>310</v>
      </c>
      <c r="W722" s="6">
        <v>11.0</v>
      </c>
      <c r="X722" s="1" t="s">
        <v>534</v>
      </c>
      <c r="Y722" s="1" t="s">
        <v>535</v>
      </c>
      <c r="Z722" s="6">
        <v>0.88</v>
      </c>
      <c r="AA722" s="6">
        <v>134242.0</v>
      </c>
      <c r="AB722" s="10">
        <v>0.27</v>
      </c>
      <c r="AC722" s="1" t="s">
        <v>7448</v>
      </c>
      <c r="AD722" s="1" t="s">
        <v>7449</v>
      </c>
      <c r="AE722" s="1" t="s">
        <v>7450</v>
      </c>
      <c r="AF722" s="1" t="s">
        <v>1173</v>
      </c>
      <c r="AG722" s="1" t="s">
        <v>7450</v>
      </c>
      <c r="AH722" s="1" t="s">
        <v>1972</v>
      </c>
      <c r="AI722" s="6">
        <v>84539.0</v>
      </c>
      <c r="AJ722" s="1" t="s">
        <v>63</v>
      </c>
      <c r="AK722" s="1" t="s">
        <v>7451</v>
      </c>
      <c r="AL722" s="1" t="s">
        <v>7452</v>
      </c>
      <c r="AM722" s="11" t="str">
        <f>VLOOKUP(N722,Sheet3!$B$4:$C$10,2,1)</f>
        <v>21-30</v>
      </c>
      <c r="AN722" s="13" t="str">
        <f>VLOOKUP(Z722,Sheet3!$F$4:$G$10,2,1)</f>
        <v>&lt; 5</v>
      </c>
      <c r="AO722" s="5" t="str">
        <f>VLOOKUP(AA722,Sheet3!$I$3:$J$16,2,1)</f>
        <v>120000-140000</v>
      </c>
      <c r="AP722" s="5" t="str">
        <f>VLOOKUP(AB722,Sheet3!$L$4:$M$14,2,1)</f>
        <v>26% - 30%</v>
      </c>
    </row>
    <row r="723">
      <c r="A723" s="6">
        <v>759226.0</v>
      </c>
      <c r="B723" s="1" t="s">
        <v>42</v>
      </c>
      <c r="C723" s="1" t="s">
        <v>7453</v>
      </c>
      <c r="D723" s="1" t="s">
        <v>416</v>
      </c>
      <c r="E723" s="1" t="s">
        <v>432</v>
      </c>
      <c r="F723" s="1" t="s">
        <v>46</v>
      </c>
      <c r="G723" s="1" t="s">
        <v>7454</v>
      </c>
      <c r="H723" s="1" t="s">
        <v>7398</v>
      </c>
      <c r="I723" s="1" t="s">
        <v>7455</v>
      </c>
      <c r="J723" s="1" t="s">
        <v>7456</v>
      </c>
      <c r="K723" s="1" t="s">
        <v>221</v>
      </c>
      <c r="L723" s="9">
        <v>24836.0</v>
      </c>
      <c r="M723" s="8">
        <v>0.11364583333333333</v>
      </c>
      <c r="N723" s="6">
        <v>49.61</v>
      </c>
      <c r="O723" s="6">
        <v>42.0</v>
      </c>
      <c r="P723" s="9">
        <v>32560.0</v>
      </c>
      <c r="Q723" s="1" t="s">
        <v>96</v>
      </c>
      <c r="R723" s="1" t="s">
        <v>76</v>
      </c>
      <c r="S723" s="6">
        <v>1989.0</v>
      </c>
      <c r="T723" s="6">
        <v>2.0</v>
      </c>
      <c r="U723" s="1" t="s">
        <v>117</v>
      </c>
      <c r="V723" s="1" t="s">
        <v>118</v>
      </c>
      <c r="W723" s="6">
        <v>21.0</v>
      </c>
      <c r="X723" s="1" t="s">
        <v>79</v>
      </c>
      <c r="Y723" s="1" t="s">
        <v>80</v>
      </c>
      <c r="Z723" s="6">
        <v>28.45</v>
      </c>
      <c r="AA723" s="6">
        <v>120192.0</v>
      </c>
      <c r="AB723" s="10">
        <v>0.02</v>
      </c>
      <c r="AC723" s="1" t="s">
        <v>7457</v>
      </c>
      <c r="AD723" s="1" t="s">
        <v>7458</v>
      </c>
      <c r="AE723" s="1" t="s">
        <v>7459</v>
      </c>
      <c r="AF723" s="1" t="s">
        <v>7460</v>
      </c>
      <c r="AG723" s="1" t="s">
        <v>7459</v>
      </c>
      <c r="AH723" s="1" t="s">
        <v>488</v>
      </c>
      <c r="AI723" s="6">
        <v>34107.0</v>
      </c>
      <c r="AJ723" s="1" t="s">
        <v>106</v>
      </c>
      <c r="AK723" s="1" t="s">
        <v>7461</v>
      </c>
      <c r="AL723" s="1" t="s">
        <v>7462</v>
      </c>
      <c r="AM723" s="11" t="str">
        <f>VLOOKUP(N723,Sheet3!$B$4:$C$10,2,1)</f>
        <v>41-50</v>
      </c>
      <c r="AN723" s="13" t="str">
        <f>VLOOKUP(Z723,Sheet3!$F$4:$G$10,2,1)</f>
        <v>21-30</v>
      </c>
      <c r="AO723" s="5" t="str">
        <f>VLOOKUP(AA723,Sheet3!$I$3:$J$16,2,1)</f>
        <v>120000-140000</v>
      </c>
      <c r="AP723" s="5" t="str">
        <f>VLOOKUP(AB723,Sheet3!$L$4:$M$14,2,1)</f>
        <v>&lt; 5%</v>
      </c>
    </row>
    <row r="724">
      <c r="A724" s="6">
        <v>476750.0</v>
      </c>
      <c r="B724" s="1" t="s">
        <v>89</v>
      </c>
      <c r="C724" s="1" t="s">
        <v>7463</v>
      </c>
      <c r="D724" s="1" t="s">
        <v>111</v>
      </c>
      <c r="E724" s="1" t="s">
        <v>7464</v>
      </c>
      <c r="F724" s="1" t="s">
        <v>46</v>
      </c>
      <c r="G724" s="1" t="s">
        <v>7465</v>
      </c>
      <c r="H724" s="1" t="s">
        <v>7398</v>
      </c>
      <c r="I724" s="1" t="s">
        <v>7466</v>
      </c>
      <c r="J724" s="1" t="s">
        <v>7467</v>
      </c>
      <c r="K724" s="1" t="s">
        <v>6306</v>
      </c>
      <c r="L724" s="9">
        <v>25640.0</v>
      </c>
      <c r="M724" s="8">
        <v>0.48409722222222223</v>
      </c>
      <c r="N724" s="6">
        <v>47.41</v>
      </c>
      <c r="O724" s="6">
        <v>48.0</v>
      </c>
      <c r="P724" s="14">
        <v>40088.0</v>
      </c>
      <c r="Q724" s="1" t="s">
        <v>52</v>
      </c>
      <c r="R724" s="1" t="s">
        <v>53</v>
      </c>
      <c r="S724" s="6">
        <v>2009.0</v>
      </c>
      <c r="T724" s="6">
        <v>10.0</v>
      </c>
      <c r="U724" s="1" t="s">
        <v>133</v>
      </c>
      <c r="V724" s="1" t="s">
        <v>134</v>
      </c>
      <c r="W724" s="6">
        <v>2.0</v>
      </c>
      <c r="X724" s="1" t="s">
        <v>263</v>
      </c>
      <c r="Y724" s="1" t="s">
        <v>264</v>
      </c>
      <c r="Z724" s="6">
        <v>7.82</v>
      </c>
      <c r="AA724" s="6">
        <v>171471.0</v>
      </c>
      <c r="AB724" s="10">
        <v>0.09</v>
      </c>
      <c r="AC724" s="1" t="s">
        <v>7468</v>
      </c>
      <c r="AD724" s="1" t="s">
        <v>7469</v>
      </c>
      <c r="AE724" s="1" t="s">
        <v>7470</v>
      </c>
      <c r="AF724" s="1" t="s">
        <v>1378</v>
      </c>
      <c r="AG724" s="1" t="s">
        <v>7470</v>
      </c>
      <c r="AH724" s="1" t="s">
        <v>169</v>
      </c>
      <c r="AI724" s="6">
        <v>79094.0</v>
      </c>
      <c r="AJ724" s="1" t="s">
        <v>106</v>
      </c>
      <c r="AK724" s="1" t="s">
        <v>7471</v>
      </c>
      <c r="AL724" s="1" t="s">
        <v>7472</v>
      </c>
      <c r="AM724" s="11" t="str">
        <f>VLOOKUP(N724,Sheet3!$B$4:$C$10,2,1)</f>
        <v>41-50</v>
      </c>
      <c r="AN724" s="12" t="str">
        <f>VLOOKUP(Z724,Sheet3!$F$4:$G$10,2,1)</f>
        <v>5-10</v>
      </c>
      <c r="AO724" s="5" t="str">
        <f>VLOOKUP(AA724,Sheet3!$I$3:$J$16,2,1)</f>
        <v>160000-180000</v>
      </c>
      <c r="AP724" s="5" t="str">
        <f>VLOOKUP(AB724,Sheet3!$L$4:$M$14,2,1)</f>
        <v>5% - 10%</v>
      </c>
    </row>
    <row r="725">
      <c r="A725" s="6">
        <v>588664.0</v>
      </c>
      <c r="B725" s="1" t="s">
        <v>66</v>
      </c>
      <c r="C725" s="1" t="s">
        <v>7473</v>
      </c>
      <c r="D725" s="1" t="s">
        <v>242</v>
      </c>
      <c r="E725" s="1" t="s">
        <v>3711</v>
      </c>
      <c r="F725" s="1" t="s">
        <v>70</v>
      </c>
      <c r="G725" s="1" t="s">
        <v>7474</v>
      </c>
      <c r="H725" s="1" t="s">
        <v>7398</v>
      </c>
      <c r="I725" s="1" t="s">
        <v>7475</v>
      </c>
      <c r="J725" s="1" t="s">
        <v>7476</v>
      </c>
      <c r="K725" s="1" t="s">
        <v>221</v>
      </c>
      <c r="L725" s="14">
        <v>31748.0</v>
      </c>
      <c r="M725" s="8">
        <v>0.7860069444444444</v>
      </c>
      <c r="N725" s="6">
        <v>30.67</v>
      </c>
      <c r="O725" s="6">
        <v>71.0</v>
      </c>
      <c r="P725" s="9">
        <v>41080.0</v>
      </c>
      <c r="Q725" s="1" t="s">
        <v>75</v>
      </c>
      <c r="R725" s="1" t="s">
        <v>76</v>
      </c>
      <c r="S725" s="6">
        <v>2012.0</v>
      </c>
      <c r="T725" s="6">
        <v>6.0</v>
      </c>
      <c r="U725" s="1" t="s">
        <v>324</v>
      </c>
      <c r="V725" s="1" t="s">
        <v>325</v>
      </c>
      <c r="W725" s="6">
        <v>20.0</v>
      </c>
      <c r="X725" s="1" t="s">
        <v>278</v>
      </c>
      <c r="Y725" s="1" t="s">
        <v>279</v>
      </c>
      <c r="Z725" s="6">
        <v>5.11</v>
      </c>
      <c r="AA725" s="6">
        <v>60243.0</v>
      </c>
      <c r="AB725" s="10">
        <v>0.17</v>
      </c>
      <c r="AC725" s="1" t="s">
        <v>7477</v>
      </c>
      <c r="AD725" s="1" t="s">
        <v>7478</v>
      </c>
      <c r="AE725" s="1" t="s">
        <v>7479</v>
      </c>
      <c r="AF725" s="1" t="s">
        <v>852</v>
      </c>
      <c r="AG725" s="1" t="s">
        <v>7479</v>
      </c>
      <c r="AH725" s="1" t="s">
        <v>882</v>
      </c>
      <c r="AI725" s="6">
        <v>31765.0</v>
      </c>
      <c r="AJ725" s="1" t="s">
        <v>106</v>
      </c>
      <c r="AK725" s="1" t="s">
        <v>7480</v>
      </c>
      <c r="AL725" s="1" t="s">
        <v>7481</v>
      </c>
      <c r="AM725" s="11" t="str">
        <f>VLOOKUP(N725,Sheet3!$B$4:$C$10,2,1)</f>
        <v>21-30</v>
      </c>
      <c r="AN725" s="12" t="str">
        <f>VLOOKUP(Z725,Sheet3!$F$4:$G$10,2,1)</f>
        <v>5-10</v>
      </c>
      <c r="AO725" s="5" t="str">
        <f>VLOOKUP(AA725,Sheet3!$I$3:$J$16,2,1)</f>
        <v>60000-80000</v>
      </c>
      <c r="AP725" s="5" t="str">
        <f>VLOOKUP(AB725,Sheet3!$L$4:$M$14,2,1)</f>
        <v>16% - 20%</v>
      </c>
    </row>
    <row r="726">
      <c r="A726" s="6">
        <v>403910.0</v>
      </c>
      <c r="B726" s="1" t="s">
        <v>42</v>
      </c>
      <c r="C726" s="1" t="s">
        <v>7482</v>
      </c>
      <c r="D726" s="1" t="s">
        <v>466</v>
      </c>
      <c r="E726" s="1" t="s">
        <v>5098</v>
      </c>
      <c r="F726" s="1" t="s">
        <v>46</v>
      </c>
      <c r="G726" s="1" t="s">
        <v>7483</v>
      </c>
      <c r="H726" s="1" t="s">
        <v>7398</v>
      </c>
      <c r="I726" s="1" t="s">
        <v>7484</v>
      </c>
      <c r="J726" s="1" t="s">
        <v>7485</v>
      </c>
      <c r="K726" s="1" t="s">
        <v>815</v>
      </c>
      <c r="L726" s="9">
        <v>26798.0</v>
      </c>
      <c r="M726" s="8">
        <v>0.34737268518518516</v>
      </c>
      <c r="N726" s="6">
        <v>44.24</v>
      </c>
      <c r="O726" s="6">
        <v>43.0</v>
      </c>
      <c r="P726" s="9">
        <v>36732.0</v>
      </c>
      <c r="Q726" s="1" t="s">
        <v>308</v>
      </c>
      <c r="R726" s="1" t="s">
        <v>53</v>
      </c>
      <c r="S726" s="6">
        <v>2000.0</v>
      </c>
      <c r="T726" s="6">
        <v>7.0</v>
      </c>
      <c r="U726" s="1" t="s">
        <v>366</v>
      </c>
      <c r="V726" s="1" t="s">
        <v>367</v>
      </c>
      <c r="W726" s="6">
        <v>25.0</v>
      </c>
      <c r="X726" s="1" t="s">
        <v>79</v>
      </c>
      <c r="Y726" s="1" t="s">
        <v>80</v>
      </c>
      <c r="Z726" s="6">
        <v>17.02</v>
      </c>
      <c r="AA726" s="6">
        <v>56103.0</v>
      </c>
      <c r="AB726" s="10">
        <v>0.21</v>
      </c>
      <c r="AC726" s="1" t="s">
        <v>7486</v>
      </c>
      <c r="AD726" s="1" t="s">
        <v>7487</v>
      </c>
      <c r="AE726" s="1" t="s">
        <v>7488</v>
      </c>
      <c r="AF726" s="1" t="s">
        <v>7489</v>
      </c>
      <c r="AG726" s="1" t="s">
        <v>7488</v>
      </c>
      <c r="AH726" s="1" t="s">
        <v>893</v>
      </c>
      <c r="AI726" s="6">
        <v>27402.0</v>
      </c>
      <c r="AJ726" s="1" t="s">
        <v>106</v>
      </c>
      <c r="AK726" s="1" t="s">
        <v>7490</v>
      </c>
      <c r="AL726" s="1" t="s">
        <v>7491</v>
      </c>
      <c r="AM726" s="11" t="str">
        <f>VLOOKUP(N726,Sheet3!$B$4:$C$10,2,1)</f>
        <v>41-50</v>
      </c>
      <c r="AN726" s="12" t="str">
        <f>VLOOKUP(Z726,Sheet3!$F$4:$G$10,2,1)</f>
        <v>11-20</v>
      </c>
      <c r="AO726" s="5" t="str">
        <f>VLOOKUP(AA726,Sheet3!$I$3:$J$16,2,1)</f>
        <v>40000-60000</v>
      </c>
      <c r="AP726" s="5" t="str">
        <f>VLOOKUP(AB726,Sheet3!$L$4:$M$14,2,1)</f>
        <v>21% - 25%</v>
      </c>
    </row>
    <row r="727">
      <c r="A727" s="6">
        <v>449655.0</v>
      </c>
      <c r="B727" s="1" t="s">
        <v>66</v>
      </c>
      <c r="C727" s="1" t="s">
        <v>7492</v>
      </c>
      <c r="D727" s="1" t="s">
        <v>466</v>
      </c>
      <c r="E727" s="1" t="s">
        <v>5026</v>
      </c>
      <c r="F727" s="1" t="s">
        <v>70</v>
      </c>
      <c r="G727" s="1" t="s">
        <v>7493</v>
      </c>
      <c r="H727" s="1" t="s">
        <v>7398</v>
      </c>
      <c r="I727" s="1" t="s">
        <v>7494</v>
      </c>
      <c r="J727" s="1" t="s">
        <v>7495</v>
      </c>
      <c r="K727" s="1" t="s">
        <v>665</v>
      </c>
      <c r="L727" s="14">
        <v>33670.0</v>
      </c>
      <c r="M727" s="8">
        <v>0.350625</v>
      </c>
      <c r="N727" s="6">
        <v>25.41</v>
      </c>
      <c r="O727" s="6">
        <v>71.0</v>
      </c>
      <c r="P727" s="7">
        <v>42684.0</v>
      </c>
      <c r="Q727" s="1" t="s">
        <v>52</v>
      </c>
      <c r="R727" s="1" t="s">
        <v>53</v>
      </c>
      <c r="S727" s="6">
        <v>2016.0</v>
      </c>
      <c r="T727" s="6">
        <v>11.0</v>
      </c>
      <c r="U727" s="1" t="s">
        <v>148</v>
      </c>
      <c r="V727" s="1" t="s">
        <v>149</v>
      </c>
      <c r="W727" s="6">
        <v>10.0</v>
      </c>
      <c r="X727" s="1" t="s">
        <v>150</v>
      </c>
      <c r="Y727" s="1" t="s">
        <v>151</v>
      </c>
      <c r="Z727" s="6">
        <v>0.71</v>
      </c>
      <c r="AA727" s="6">
        <v>111989.0</v>
      </c>
      <c r="AB727" s="10">
        <v>0.17</v>
      </c>
      <c r="AC727" s="1" t="s">
        <v>7496</v>
      </c>
      <c r="AD727" s="1" t="s">
        <v>7497</v>
      </c>
      <c r="AE727" s="1" t="s">
        <v>3621</v>
      </c>
      <c r="AF727" s="1" t="s">
        <v>7498</v>
      </c>
      <c r="AG727" s="1" t="s">
        <v>3621</v>
      </c>
      <c r="AH727" s="1" t="s">
        <v>299</v>
      </c>
      <c r="AI727" s="6">
        <v>73012.0</v>
      </c>
      <c r="AJ727" s="1" t="s">
        <v>106</v>
      </c>
      <c r="AK727" s="1" t="s">
        <v>7499</v>
      </c>
      <c r="AL727" s="1" t="s">
        <v>7500</v>
      </c>
      <c r="AM727" s="11" t="str">
        <f>VLOOKUP(N727,Sheet3!$B$4:$C$10,2,1)</f>
        <v>21-30</v>
      </c>
      <c r="AN727" s="13" t="str">
        <f>VLOOKUP(Z727,Sheet3!$F$4:$G$10,2,1)</f>
        <v>&lt; 5</v>
      </c>
      <c r="AO727" s="5" t="str">
        <f>VLOOKUP(AA727,Sheet3!$I$3:$J$16,2,1)</f>
        <v>100000-120000</v>
      </c>
      <c r="AP727" s="5" t="str">
        <f>VLOOKUP(AB727,Sheet3!$L$4:$M$14,2,1)</f>
        <v>16% - 20%</v>
      </c>
    </row>
    <row r="728">
      <c r="A728" s="6">
        <v>226863.0</v>
      </c>
      <c r="B728" s="1" t="s">
        <v>66</v>
      </c>
      <c r="C728" s="1" t="s">
        <v>6252</v>
      </c>
      <c r="D728" s="1" t="s">
        <v>288</v>
      </c>
      <c r="E728" s="1" t="s">
        <v>2650</v>
      </c>
      <c r="F728" s="1" t="s">
        <v>70</v>
      </c>
      <c r="G728" s="1" t="s">
        <v>7501</v>
      </c>
      <c r="H728" s="1" t="s">
        <v>7398</v>
      </c>
      <c r="I728" s="1" t="s">
        <v>7502</v>
      </c>
      <c r="J728" s="1" t="s">
        <v>7503</v>
      </c>
      <c r="K728" s="1" t="s">
        <v>7504</v>
      </c>
      <c r="L728" s="9">
        <v>24526.0</v>
      </c>
      <c r="M728" s="8">
        <v>0.4285648148148148</v>
      </c>
      <c r="N728" s="6">
        <v>50.46</v>
      </c>
      <c r="O728" s="6">
        <v>77.0</v>
      </c>
      <c r="P728" s="14">
        <v>34158.0</v>
      </c>
      <c r="Q728" s="1" t="s">
        <v>308</v>
      </c>
      <c r="R728" s="1" t="s">
        <v>53</v>
      </c>
      <c r="S728" s="6">
        <v>1993.0</v>
      </c>
      <c r="T728" s="6">
        <v>7.0</v>
      </c>
      <c r="U728" s="1" t="s">
        <v>366</v>
      </c>
      <c r="V728" s="1" t="s">
        <v>367</v>
      </c>
      <c r="W728" s="6">
        <v>8.0</v>
      </c>
      <c r="X728" s="1" t="s">
        <v>150</v>
      </c>
      <c r="Y728" s="1" t="s">
        <v>151</v>
      </c>
      <c r="Z728" s="6">
        <v>24.07</v>
      </c>
      <c r="AA728" s="6">
        <v>163933.0</v>
      </c>
      <c r="AB728" s="10">
        <v>0.13</v>
      </c>
      <c r="AC728" s="1" t="s">
        <v>7505</v>
      </c>
      <c r="AD728" s="1" t="s">
        <v>7506</v>
      </c>
      <c r="AE728" s="1" t="s">
        <v>4870</v>
      </c>
      <c r="AF728" s="1" t="s">
        <v>4871</v>
      </c>
      <c r="AG728" s="1" t="s">
        <v>4870</v>
      </c>
      <c r="AH728" s="1" t="s">
        <v>356</v>
      </c>
      <c r="AI728" s="6">
        <v>10257.0</v>
      </c>
      <c r="AJ728" s="1" t="s">
        <v>224</v>
      </c>
      <c r="AK728" s="1" t="s">
        <v>7507</v>
      </c>
      <c r="AL728" s="1" t="s">
        <v>7508</v>
      </c>
      <c r="AM728" s="11" t="str">
        <f>VLOOKUP(N728,Sheet3!$B$4:$C$10,2,1)</f>
        <v>41-50</v>
      </c>
      <c r="AN728" s="13" t="str">
        <f>VLOOKUP(Z728,Sheet3!$F$4:$G$10,2,1)</f>
        <v>21-30</v>
      </c>
      <c r="AO728" s="5" t="str">
        <f>VLOOKUP(AA728,Sheet3!$I$3:$J$16,2,1)</f>
        <v>160000-180000</v>
      </c>
      <c r="AP728" s="5" t="str">
        <f>VLOOKUP(AB728,Sheet3!$L$4:$M$14,2,1)</f>
        <v>11% - 15%</v>
      </c>
    </row>
    <row r="729">
      <c r="A729" s="6">
        <v>651910.0</v>
      </c>
      <c r="B729" s="1" t="s">
        <v>109</v>
      </c>
      <c r="C729" s="1" t="s">
        <v>7509</v>
      </c>
      <c r="D729" s="1" t="s">
        <v>186</v>
      </c>
      <c r="E729" s="1" t="s">
        <v>3707</v>
      </c>
      <c r="F729" s="1" t="s">
        <v>46</v>
      </c>
      <c r="G729" s="1" t="s">
        <v>7510</v>
      </c>
      <c r="H729" s="1" t="s">
        <v>7398</v>
      </c>
      <c r="I729" s="1" t="s">
        <v>7511</v>
      </c>
      <c r="J729" s="1" t="s">
        <v>7512</v>
      </c>
      <c r="K729" s="1" t="s">
        <v>7513</v>
      </c>
      <c r="L729" s="9">
        <v>22188.0</v>
      </c>
      <c r="M729" s="8">
        <v>0.29162037037037036</v>
      </c>
      <c r="N729" s="6">
        <v>56.87</v>
      </c>
      <c r="O729" s="6">
        <v>47.0</v>
      </c>
      <c r="P729" s="9">
        <v>38867.0</v>
      </c>
      <c r="Q729" s="1" t="s">
        <v>75</v>
      </c>
      <c r="R729" s="1" t="s">
        <v>76</v>
      </c>
      <c r="S729" s="6">
        <v>2006.0</v>
      </c>
      <c r="T729" s="6">
        <v>5.0</v>
      </c>
      <c r="U729" s="1" t="s">
        <v>294</v>
      </c>
      <c r="V729" s="1" t="s">
        <v>294</v>
      </c>
      <c r="W729" s="6">
        <v>30.0</v>
      </c>
      <c r="X729" s="1" t="s">
        <v>79</v>
      </c>
      <c r="Y729" s="1" t="s">
        <v>80</v>
      </c>
      <c r="Z729" s="6">
        <v>11.17</v>
      </c>
      <c r="AA729" s="6">
        <v>59303.0</v>
      </c>
      <c r="AB729" s="10">
        <v>0.22</v>
      </c>
      <c r="AC729" s="1" t="s">
        <v>7514</v>
      </c>
      <c r="AD729" s="1" t="s">
        <v>7515</v>
      </c>
      <c r="AE729" s="1" t="s">
        <v>7516</v>
      </c>
      <c r="AF729" s="1" t="s">
        <v>3303</v>
      </c>
      <c r="AG729" s="1" t="s">
        <v>7516</v>
      </c>
      <c r="AH729" s="1" t="s">
        <v>122</v>
      </c>
      <c r="AI729" s="6">
        <v>46040.0</v>
      </c>
      <c r="AJ729" s="1" t="s">
        <v>86</v>
      </c>
      <c r="AK729" s="1" t="s">
        <v>7517</v>
      </c>
      <c r="AL729" s="1" t="s">
        <v>7518</v>
      </c>
      <c r="AM729" s="11" t="str">
        <f>VLOOKUP(N729,Sheet3!$B$4:$C$10,2,1)</f>
        <v>51-60</v>
      </c>
      <c r="AN729" s="12" t="str">
        <f>VLOOKUP(Z729,Sheet3!$F$4:$G$10,2,1)</f>
        <v>11-20</v>
      </c>
      <c r="AO729" s="5" t="str">
        <f>VLOOKUP(AA729,Sheet3!$I$3:$J$16,2,1)</f>
        <v>40000-60000</v>
      </c>
      <c r="AP729" s="5" t="str">
        <f>VLOOKUP(AB729,Sheet3!$L$4:$M$14,2,1)</f>
        <v>21% - 25%</v>
      </c>
    </row>
    <row r="730">
      <c r="A730" s="6">
        <v>717861.0</v>
      </c>
      <c r="B730" s="1" t="s">
        <v>66</v>
      </c>
      <c r="C730" s="1" t="s">
        <v>1596</v>
      </c>
      <c r="D730" s="1" t="s">
        <v>288</v>
      </c>
      <c r="E730" s="1" t="s">
        <v>3282</v>
      </c>
      <c r="F730" s="1" t="s">
        <v>70</v>
      </c>
      <c r="G730" s="1" t="s">
        <v>7519</v>
      </c>
      <c r="H730" s="1" t="s">
        <v>7398</v>
      </c>
      <c r="I730" s="1" t="s">
        <v>7520</v>
      </c>
      <c r="J730" s="1" t="s">
        <v>7521</v>
      </c>
      <c r="K730" s="1" t="s">
        <v>2214</v>
      </c>
      <c r="L730" s="9">
        <v>30299.0</v>
      </c>
      <c r="M730" s="8">
        <v>0.4207986111111111</v>
      </c>
      <c r="N730" s="6">
        <v>34.64</v>
      </c>
      <c r="O730" s="6">
        <v>54.0</v>
      </c>
      <c r="P730" s="9">
        <v>39680.0</v>
      </c>
      <c r="Q730" s="1" t="s">
        <v>308</v>
      </c>
      <c r="R730" s="1" t="s">
        <v>53</v>
      </c>
      <c r="S730" s="6">
        <v>2008.0</v>
      </c>
      <c r="T730" s="6">
        <v>8.0</v>
      </c>
      <c r="U730" s="1" t="s">
        <v>433</v>
      </c>
      <c r="V730" s="1" t="s">
        <v>434</v>
      </c>
      <c r="W730" s="6">
        <v>20.0</v>
      </c>
      <c r="X730" s="1" t="s">
        <v>278</v>
      </c>
      <c r="Y730" s="1" t="s">
        <v>279</v>
      </c>
      <c r="Z730" s="6">
        <v>8.94</v>
      </c>
      <c r="AA730" s="6">
        <v>169588.0</v>
      </c>
      <c r="AB730" s="10">
        <v>0.2</v>
      </c>
      <c r="AC730" s="1" t="s">
        <v>7522</v>
      </c>
      <c r="AD730" s="1" t="s">
        <v>7523</v>
      </c>
      <c r="AE730" s="1" t="s">
        <v>7524</v>
      </c>
      <c r="AF730" s="1" t="s">
        <v>7524</v>
      </c>
      <c r="AG730" s="1" t="s">
        <v>7524</v>
      </c>
      <c r="AH730" s="1" t="s">
        <v>356</v>
      </c>
      <c r="AI730" s="6">
        <v>14825.0</v>
      </c>
      <c r="AJ730" s="1" t="s">
        <v>224</v>
      </c>
      <c r="AK730" s="1" t="s">
        <v>7525</v>
      </c>
      <c r="AL730" s="1" t="s">
        <v>7526</v>
      </c>
      <c r="AM730" s="11" t="str">
        <f>VLOOKUP(N730,Sheet3!$B$4:$C$10,2,1)</f>
        <v>31-40</v>
      </c>
      <c r="AN730" s="12" t="str">
        <f>VLOOKUP(Z730,Sheet3!$F$4:$G$10,2,1)</f>
        <v>5-10</v>
      </c>
      <c r="AO730" s="5" t="str">
        <f>VLOOKUP(AA730,Sheet3!$I$3:$J$16,2,1)</f>
        <v>160000-180000</v>
      </c>
      <c r="AP730" s="5" t="str">
        <f>VLOOKUP(AB730,Sheet3!$L$4:$M$14,2,1)</f>
        <v>16% - 20%</v>
      </c>
    </row>
    <row r="731">
      <c r="A731" s="6">
        <v>885624.0</v>
      </c>
      <c r="B731" s="1" t="s">
        <v>109</v>
      </c>
      <c r="C731" s="1" t="s">
        <v>5988</v>
      </c>
      <c r="D731" s="1" t="s">
        <v>70</v>
      </c>
      <c r="E731" s="1" t="s">
        <v>7527</v>
      </c>
      <c r="F731" s="1" t="s">
        <v>46</v>
      </c>
      <c r="G731" s="1" t="s">
        <v>7528</v>
      </c>
      <c r="H731" s="1" t="s">
        <v>7398</v>
      </c>
      <c r="I731" s="1" t="s">
        <v>7529</v>
      </c>
      <c r="J731" s="1" t="s">
        <v>7530</v>
      </c>
      <c r="K731" s="1" t="s">
        <v>5860</v>
      </c>
      <c r="L731" s="9">
        <v>31165.0</v>
      </c>
      <c r="M731" s="8">
        <v>0.023981481481481482</v>
      </c>
      <c r="N731" s="6">
        <v>32.27</v>
      </c>
      <c r="O731" s="6">
        <v>47.0</v>
      </c>
      <c r="P731" s="9">
        <v>41711.0</v>
      </c>
      <c r="Q731" s="1" t="s">
        <v>96</v>
      </c>
      <c r="R731" s="1" t="s">
        <v>76</v>
      </c>
      <c r="S731" s="6">
        <v>2014.0</v>
      </c>
      <c r="T731" s="6">
        <v>3.0</v>
      </c>
      <c r="U731" s="1" t="s">
        <v>97</v>
      </c>
      <c r="V731" s="1" t="s">
        <v>98</v>
      </c>
      <c r="W731" s="6">
        <v>13.0</v>
      </c>
      <c r="X731" s="1" t="s">
        <v>150</v>
      </c>
      <c r="Y731" s="1" t="s">
        <v>151</v>
      </c>
      <c r="Z731" s="6">
        <v>3.38</v>
      </c>
      <c r="AA731" s="6">
        <v>119545.0</v>
      </c>
      <c r="AB731" s="10">
        <v>0.1</v>
      </c>
      <c r="AC731" s="1" t="s">
        <v>7531</v>
      </c>
      <c r="AD731" s="1" t="s">
        <v>7532</v>
      </c>
      <c r="AE731" s="1" t="s">
        <v>2243</v>
      </c>
      <c r="AF731" s="1" t="s">
        <v>4067</v>
      </c>
      <c r="AG731" s="1" t="s">
        <v>2243</v>
      </c>
      <c r="AH731" s="1" t="s">
        <v>122</v>
      </c>
      <c r="AI731" s="6">
        <v>47034.0</v>
      </c>
      <c r="AJ731" s="1" t="s">
        <v>86</v>
      </c>
      <c r="AK731" s="1" t="s">
        <v>7533</v>
      </c>
      <c r="AL731" s="1" t="s">
        <v>7534</v>
      </c>
      <c r="AM731" s="11" t="str">
        <f>VLOOKUP(N731,Sheet3!$B$4:$C$10,2,1)</f>
        <v>31-40</v>
      </c>
      <c r="AN731" s="13" t="str">
        <f>VLOOKUP(Z731,Sheet3!$F$4:$G$10,2,1)</f>
        <v>&lt; 5</v>
      </c>
      <c r="AO731" s="5" t="str">
        <f>VLOOKUP(AA731,Sheet3!$I$3:$J$16,2,1)</f>
        <v>100000-120000</v>
      </c>
      <c r="AP731" s="5" t="str">
        <f>VLOOKUP(AB731,Sheet3!$L$4:$M$14,2,1)</f>
        <v>5% - 10%</v>
      </c>
    </row>
    <row r="732">
      <c r="A732" s="6">
        <v>341048.0</v>
      </c>
      <c r="B732" s="1" t="s">
        <v>42</v>
      </c>
      <c r="C732" s="1" t="s">
        <v>3358</v>
      </c>
      <c r="D732" s="1" t="s">
        <v>861</v>
      </c>
      <c r="E732" s="1" t="s">
        <v>95</v>
      </c>
      <c r="F732" s="1" t="s">
        <v>46</v>
      </c>
      <c r="G732" s="1" t="s">
        <v>7535</v>
      </c>
      <c r="H732" s="1" t="s">
        <v>7398</v>
      </c>
      <c r="I732" s="1" t="s">
        <v>7536</v>
      </c>
      <c r="J732" s="1" t="s">
        <v>7537</v>
      </c>
      <c r="K732" s="1" t="s">
        <v>271</v>
      </c>
      <c r="L732" s="9">
        <v>23240.0</v>
      </c>
      <c r="M732" s="8">
        <v>0.9383796296296296</v>
      </c>
      <c r="N732" s="6">
        <v>53.98</v>
      </c>
      <c r="O732" s="6">
        <v>43.0</v>
      </c>
      <c r="P732" s="14">
        <v>36496.0</v>
      </c>
      <c r="Q732" s="1" t="s">
        <v>52</v>
      </c>
      <c r="R732" s="1" t="s">
        <v>53</v>
      </c>
      <c r="S732" s="6">
        <v>1999.0</v>
      </c>
      <c r="T732" s="6">
        <v>12.0</v>
      </c>
      <c r="U732" s="1" t="s">
        <v>54</v>
      </c>
      <c r="V732" s="1" t="s">
        <v>55</v>
      </c>
      <c r="W732" s="6">
        <v>2.0</v>
      </c>
      <c r="X732" s="1" t="s">
        <v>150</v>
      </c>
      <c r="Y732" s="1" t="s">
        <v>151</v>
      </c>
      <c r="Z732" s="6">
        <v>17.67</v>
      </c>
      <c r="AA732" s="6">
        <v>97239.0</v>
      </c>
      <c r="AB732" s="10">
        <v>0.07</v>
      </c>
      <c r="AC732" s="1" t="s">
        <v>7538</v>
      </c>
      <c r="AD732" s="1" t="s">
        <v>7539</v>
      </c>
      <c r="AE732" s="1" t="s">
        <v>4561</v>
      </c>
      <c r="AF732" s="1" t="s">
        <v>7540</v>
      </c>
      <c r="AG732" s="1" t="s">
        <v>4561</v>
      </c>
      <c r="AH732" s="1" t="s">
        <v>372</v>
      </c>
      <c r="AI732" s="6">
        <v>68602.0</v>
      </c>
      <c r="AJ732" s="1" t="s">
        <v>86</v>
      </c>
      <c r="AK732" s="1" t="s">
        <v>7541</v>
      </c>
      <c r="AL732" s="1" t="s">
        <v>7542</v>
      </c>
      <c r="AM732" s="11" t="str">
        <f>VLOOKUP(N732,Sheet3!$B$4:$C$10,2,1)</f>
        <v>51-60</v>
      </c>
      <c r="AN732" s="12" t="str">
        <f>VLOOKUP(Z732,Sheet3!$F$4:$G$10,2,1)</f>
        <v>11-20</v>
      </c>
      <c r="AO732" s="5" t="str">
        <f>VLOOKUP(AA732,Sheet3!$I$3:$J$16,2,1)</f>
        <v>80000-100000</v>
      </c>
      <c r="AP732" s="5" t="str">
        <f>VLOOKUP(AB732,Sheet3!$L$4:$M$14,2,1)</f>
        <v>5% - 10%</v>
      </c>
    </row>
    <row r="733">
      <c r="A733" s="6">
        <v>709748.0</v>
      </c>
      <c r="B733" s="1" t="s">
        <v>125</v>
      </c>
      <c r="C733" s="1" t="s">
        <v>2645</v>
      </c>
      <c r="D733" s="1" t="s">
        <v>529</v>
      </c>
      <c r="E733" s="1" t="s">
        <v>7543</v>
      </c>
      <c r="F733" s="1" t="s">
        <v>46</v>
      </c>
      <c r="G733" s="1" t="s">
        <v>7544</v>
      </c>
      <c r="H733" s="1" t="s">
        <v>7398</v>
      </c>
      <c r="I733" s="1" t="s">
        <v>7545</v>
      </c>
      <c r="J733" s="1" t="s">
        <v>7546</v>
      </c>
      <c r="K733" s="1" t="s">
        <v>4910</v>
      </c>
      <c r="L733" s="14">
        <v>31085.0</v>
      </c>
      <c r="M733" s="8">
        <v>0.14075231481481482</v>
      </c>
      <c r="N733" s="6">
        <v>32.49</v>
      </c>
      <c r="O733" s="6">
        <v>54.0</v>
      </c>
      <c r="P733" s="9">
        <v>42550.0</v>
      </c>
      <c r="Q733" s="1" t="s">
        <v>75</v>
      </c>
      <c r="R733" s="1" t="s">
        <v>76</v>
      </c>
      <c r="S733" s="6">
        <v>2016.0</v>
      </c>
      <c r="T733" s="6">
        <v>6.0</v>
      </c>
      <c r="U733" s="1" t="s">
        <v>324</v>
      </c>
      <c r="V733" s="1" t="s">
        <v>325</v>
      </c>
      <c r="W733" s="6">
        <v>29.0</v>
      </c>
      <c r="X733" s="1" t="s">
        <v>278</v>
      </c>
      <c r="Y733" s="1" t="s">
        <v>279</v>
      </c>
      <c r="Z733" s="6">
        <v>1.08</v>
      </c>
      <c r="AA733" s="6">
        <v>111452.0</v>
      </c>
      <c r="AB733" s="10">
        <v>0.08</v>
      </c>
      <c r="AC733" s="1" t="s">
        <v>7547</v>
      </c>
      <c r="AD733" s="1" t="s">
        <v>7548</v>
      </c>
      <c r="AE733" s="1" t="s">
        <v>7549</v>
      </c>
      <c r="AF733" s="1" t="s">
        <v>7550</v>
      </c>
      <c r="AG733" s="1" t="s">
        <v>7549</v>
      </c>
      <c r="AH733" s="1" t="s">
        <v>85</v>
      </c>
      <c r="AI733" s="6">
        <v>49075.0</v>
      </c>
      <c r="AJ733" s="1" t="s">
        <v>86</v>
      </c>
      <c r="AK733" s="1" t="s">
        <v>7551</v>
      </c>
      <c r="AL733" s="1" t="s">
        <v>7552</v>
      </c>
      <c r="AM733" s="11" t="str">
        <f>VLOOKUP(N733,Sheet3!$B$4:$C$10,2,1)</f>
        <v>31-40</v>
      </c>
      <c r="AN733" s="13" t="str">
        <f>VLOOKUP(Z733,Sheet3!$F$4:$G$10,2,1)</f>
        <v>&lt; 5</v>
      </c>
      <c r="AO733" s="5" t="str">
        <f>VLOOKUP(AA733,Sheet3!$I$3:$J$16,2,1)</f>
        <v>100000-120000</v>
      </c>
      <c r="AP733" s="5" t="str">
        <f>VLOOKUP(AB733,Sheet3!$L$4:$M$14,2,1)</f>
        <v>5% - 10%</v>
      </c>
    </row>
    <row r="734">
      <c r="A734" s="6">
        <v>454287.0</v>
      </c>
      <c r="B734" s="1" t="s">
        <v>89</v>
      </c>
      <c r="C734" s="1" t="s">
        <v>3781</v>
      </c>
      <c r="D734" s="1" t="s">
        <v>242</v>
      </c>
      <c r="E734" s="1" t="s">
        <v>2306</v>
      </c>
      <c r="F734" s="1" t="s">
        <v>46</v>
      </c>
      <c r="G734" s="1" t="s">
        <v>7553</v>
      </c>
      <c r="H734" s="1" t="s">
        <v>7398</v>
      </c>
      <c r="I734" s="1" t="s">
        <v>7554</v>
      </c>
      <c r="J734" s="1" t="s">
        <v>7555</v>
      </c>
      <c r="K734" s="1" t="s">
        <v>7251</v>
      </c>
      <c r="L734" s="9">
        <v>24191.0</v>
      </c>
      <c r="M734" s="8">
        <v>0.2863425925925926</v>
      </c>
      <c r="N734" s="6">
        <v>51.38</v>
      </c>
      <c r="O734" s="6">
        <v>50.0</v>
      </c>
      <c r="P734" s="14">
        <v>36982.0</v>
      </c>
      <c r="Q734" s="1" t="s">
        <v>75</v>
      </c>
      <c r="R734" s="1" t="s">
        <v>76</v>
      </c>
      <c r="S734" s="6">
        <v>2001.0</v>
      </c>
      <c r="T734" s="6">
        <v>4.0</v>
      </c>
      <c r="U734" s="1" t="s">
        <v>77</v>
      </c>
      <c r="V734" s="1" t="s">
        <v>78</v>
      </c>
      <c r="W734" s="6">
        <v>1.0</v>
      </c>
      <c r="X734" s="1" t="s">
        <v>534</v>
      </c>
      <c r="Y734" s="1" t="s">
        <v>535</v>
      </c>
      <c r="Z734" s="6">
        <v>16.33</v>
      </c>
      <c r="AA734" s="6">
        <v>176930.0</v>
      </c>
      <c r="AB734" s="10">
        <v>0.15</v>
      </c>
      <c r="AC734" s="1" t="s">
        <v>7556</v>
      </c>
      <c r="AD734" s="1" t="s">
        <v>7557</v>
      </c>
      <c r="AE734" s="1" t="s">
        <v>7558</v>
      </c>
      <c r="AF734" s="1" t="s">
        <v>3668</v>
      </c>
      <c r="AG734" s="1" t="s">
        <v>7558</v>
      </c>
      <c r="AH734" s="1" t="s">
        <v>356</v>
      </c>
      <c r="AI734" s="6">
        <v>11752.0</v>
      </c>
      <c r="AJ734" s="1" t="s">
        <v>224</v>
      </c>
      <c r="AK734" s="1" t="s">
        <v>7559</v>
      </c>
      <c r="AL734" s="1" t="s">
        <v>7560</v>
      </c>
      <c r="AM734" s="11" t="str">
        <f>VLOOKUP(N734,Sheet3!$B$4:$C$10,2,1)</f>
        <v>51-60</v>
      </c>
      <c r="AN734" s="12" t="str">
        <f>VLOOKUP(Z734,Sheet3!$F$4:$G$10,2,1)</f>
        <v>11-20</v>
      </c>
      <c r="AO734" s="5" t="str">
        <f>VLOOKUP(AA734,Sheet3!$I$3:$J$16,2,1)</f>
        <v>160000-180000</v>
      </c>
      <c r="AP734" s="5" t="str">
        <f>VLOOKUP(AB734,Sheet3!$L$4:$M$14,2,1)</f>
        <v>11% - 15%</v>
      </c>
    </row>
    <row r="735">
      <c r="A735" s="6">
        <v>390973.0</v>
      </c>
      <c r="B735" s="1" t="s">
        <v>42</v>
      </c>
      <c r="C735" s="1" t="s">
        <v>7561</v>
      </c>
      <c r="D735" s="1" t="s">
        <v>318</v>
      </c>
      <c r="E735" s="1" t="s">
        <v>6230</v>
      </c>
      <c r="F735" s="1" t="s">
        <v>46</v>
      </c>
      <c r="G735" s="1" t="s">
        <v>7562</v>
      </c>
      <c r="H735" s="1" t="s">
        <v>7398</v>
      </c>
      <c r="I735" s="1" t="s">
        <v>7563</v>
      </c>
      <c r="J735" s="1" t="s">
        <v>7564</v>
      </c>
      <c r="K735" s="1" t="s">
        <v>7565</v>
      </c>
      <c r="L735" s="9">
        <v>26254.0</v>
      </c>
      <c r="M735" s="8">
        <v>0.40186342592592594</v>
      </c>
      <c r="N735" s="6">
        <v>45.73</v>
      </c>
      <c r="O735" s="6">
        <v>52.0</v>
      </c>
      <c r="P735" s="9">
        <v>35817.0</v>
      </c>
      <c r="Q735" s="1" t="s">
        <v>96</v>
      </c>
      <c r="R735" s="1" t="s">
        <v>76</v>
      </c>
      <c r="S735" s="6">
        <v>1998.0</v>
      </c>
      <c r="T735" s="6">
        <v>1.0</v>
      </c>
      <c r="U735" s="1" t="s">
        <v>276</v>
      </c>
      <c r="V735" s="1" t="s">
        <v>277</v>
      </c>
      <c r="W735" s="6">
        <v>22.0</v>
      </c>
      <c r="X735" s="1" t="s">
        <v>150</v>
      </c>
      <c r="Y735" s="1" t="s">
        <v>151</v>
      </c>
      <c r="Z735" s="6">
        <v>19.53</v>
      </c>
      <c r="AA735" s="6">
        <v>126153.0</v>
      </c>
      <c r="AB735" s="10">
        <v>0.19</v>
      </c>
      <c r="AC735" s="1" t="s">
        <v>7566</v>
      </c>
      <c r="AD735" s="1" t="s">
        <v>7567</v>
      </c>
      <c r="AE735" s="1" t="s">
        <v>2905</v>
      </c>
      <c r="AF735" s="1" t="s">
        <v>283</v>
      </c>
      <c r="AG735" s="1" t="s">
        <v>2905</v>
      </c>
      <c r="AH735" s="1" t="s">
        <v>122</v>
      </c>
      <c r="AI735" s="6">
        <v>46221.0</v>
      </c>
      <c r="AJ735" s="1" t="s">
        <v>86</v>
      </c>
      <c r="AK735" s="1" t="s">
        <v>7568</v>
      </c>
      <c r="AL735" s="1" t="s">
        <v>7569</v>
      </c>
      <c r="AM735" s="11" t="str">
        <f>VLOOKUP(N735,Sheet3!$B$4:$C$10,2,1)</f>
        <v>41-50</v>
      </c>
      <c r="AN735" s="12" t="str">
        <f>VLOOKUP(Z735,Sheet3!$F$4:$G$10,2,1)</f>
        <v>11-20</v>
      </c>
      <c r="AO735" s="5" t="str">
        <f>VLOOKUP(AA735,Sheet3!$I$3:$J$16,2,1)</f>
        <v>120000-140000</v>
      </c>
      <c r="AP735" s="5" t="str">
        <f>VLOOKUP(AB735,Sheet3!$L$4:$M$14,2,1)</f>
        <v>16% - 20%</v>
      </c>
    </row>
    <row r="736">
      <c r="A736" s="6">
        <v>570009.0</v>
      </c>
      <c r="B736" s="1" t="s">
        <v>89</v>
      </c>
      <c r="C736" s="1" t="s">
        <v>7570</v>
      </c>
      <c r="D736" s="1" t="s">
        <v>443</v>
      </c>
      <c r="E736" s="1" t="s">
        <v>530</v>
      </c>
      <c r="F736" s="1" t="s">
        <v>46</v>
      </c>
      <c r="G736" s="1" t="s">
        <v>7571</v>
      </c>
      <c r="H736" s="1" t="s">
        <v>7398</v>
      </c>
      <c r="I736" s="1" t="s">
        <v>7572</v>
      </c>
      <c r="J736" s="1" t="s">
        <v>7573</v>
      </c>
      <c r="K736" s="1" t="s">
        <v>7574</v>
      </c>
      <c r="L736" s="14">
        <v>30990.0</v>
      </c>
      <c r="M736" s="8">
        <v>0.14194444444444446</v>
      </c>
      <c r="N736" s="6">
        <v>32.75</v>
      </c>
      <c r="O736" s="6">
        <v>43.0</v>
      </c>
      <c r="P736" s="14">
        <v>39114.0</v>
      </c>
      <c r="Q736" s="1" t="s">
        <v>96</v>
      </c>
      <c r="R736" s="1" t="s">
        <v>76</v>
      </c>
      <c r="S736" s="6">
        <v>2007.0</v>
      </c>
      <c r="T736" s="6">
        <v>2.0</v>
      </c>
      <c r="U736" s="1" t="s">
        <v>117</v>
      </c>
      <c r="V736" s="1" t="s">
        <v>118</v>
      </c>
      <c r="W736" s="6">
        <v>1.0</v>
      </c>
      <c r="X736" s="1" t="s">
        <v>150</v>
      </c>
      <c r="Y736" s="1" t="s">
        <v>151</v>
      </c>
      <c r="Z736" s="6">
        <v>10.49</v>
      </c>
      <c r="AA736" s="6">
        <v>191519.0</v>
      </c>
      <c r="AB736" s="10">
        <v>0.02</v>
      </c>
      <c r="AC736" s="1" t="s">
        <v>7575</v>
      </c>
      <c r="AD736" s="1" t="s">
        <v>7576</v>
      </c>
      <c r="AE736" s="1" t="s">
        <v>7577</v>
      </c>
      <c r="AF736" s="1" t="s">
        <v>7578</v>
      </c>
      <c r="AG736" s="1" t="s">
        <v>7577</v>
      </c>
      <c r="AH736" s="1" t="s">
        <v>252</v>
      </c>
      <c r="AI736" s="6">
        <v>97621.0</v>
      </c>
      <c r="AJ736" s="1" t="s">
        <v>63</v>
      </c>
      <c r="AK736" s="1" t="s">
        <v>7579</v>
      </c>
      <c r="AL736" s="1" t="s">
        <v>7580</v>
      </c>
      <c r="AM736" s="11" t="str">
        <f>VLOOKUP(N736,Sheet3!$B$4:$C$10,2,1)</f>
        <v>31-40</v>
      </c>
      <c r="AN736" s="12" t="str">
        <f>VLOOKUP(Z736,Sheet3!$F$4:$G$10,2,1)</f>
        <v>5-10</v>
      </c>
      <c r="AO736" s="5" t="str">
        <f>VLOOKUP(AA736,Sheet3!$I$3:$J$16,2,1)</f>
        <v>180000-200000</v>
      </c>
      <c r="AP736" s="5" t="str">
        <f>VLOOKUP(AB736,Sheet3!$L$4:$M$14,2,1)</f>
        <v>&lt; 5%</v>
      </c>
    </row>
    <row r="737">
      <c r="A737" s="6">
        <v>454506.0</v>
      </c>
      <c r="B737" s="1" t="s">
        <v>89</v>
      </c>
      <c r="C737" s="1" t="s">
        <v>7581</v>
      </c>
      <c r="D737" s="1" t="s">
        <v>403</v>
      </c>
      <c r="E737" s="1" t="s">
        <v>1799</v>
      </c>
      <c r="F737" s="1" t="s">
        <v>46</v>
      </c>
      <c r="G737" s="1" t="s">
        <v>7582</v>
      </c>
      <c r="H737" s="1" t="s">
        <v>7398</v>
      </c>
      <c r="I737" s="1" t="s">
        <v>7583</v>
      </c>
      <c r="J737" s="1" t="s">
        <v>7584</v>
      </c>
      <c r="K737" s="1" t="s">
        <v>1348</v>
      </c>
      <c r="L737" s="9">
        <v>27444.0</v>
      </c>
      <c r="M737" s="8">
        <v>0.02048611111111111</v>
      </c>
      <c r="N737" s="6">
        <v>42.47</v>
      </c>
      <c r="O737" s="6">
        <v>42.0</v>
      </c>
      <c r="P737" s="9">
        <v>36332.0</v>
      </c>
      <c r="Q737" s="1" t="s">
        <v>75</v>
      </c>
      <c r="R737" s="1" t="s">
        <v>76</v>
      </c>
      <c r="S737" s="6">
        <v>1999.0</v>
      </c>
      <c r="T737" s="6">
        <v>6.0</v>
      </c>
      <c r="U737" s="1" t="s">
        <v>324</v>
      </c>
      <c r="V737" s="1" t="s">
        <v>325</v>
      </c>
      <c r="W737" s="6">
        <v>21.0</v>
      </c>
      <c r="X737" s="1" t="s">
        <v>99</v>
      </c>
      <c r="Y737" s="1" t="s">
        <v>100</v>
      </c>
      <c r="Z737" s="6">
        <v>18.12</v>
      </c>
      <c r="AA737" s="6">
        <v>166310.0</v>
      </c>
      <c r="AB737" s="10">
        <v>0.25</v>
      </c>
      <c r="AC737" s="1" t="s">
        <v>7585</v>
      </c>
      <c r="AD737" s="1" t="s">
        <v>7586</v>
      </c>
      <c r="AE737" s="1" t="s">
        <v>7587</v>
      </c>
      <c r="AF737" s="1" t="s">
        <v>138</v>
      </c>
      <c r="AG737" s="1" t="s">
        <v>7587</v>
      </c>
      <c r="AH737" s="1" t="s">
        <v>139</v>
      </c>
      <c r="AI737" s="6">
        <v>99703.0</v>
      </c>
      <c r="AJ737" s="1" t="s">
        <v>63</v>
      </c>
      <c r="AK737" s="1" t="s">
        <v>7588</v>
      </c>
      <c r="AL737" s="1" t="s">
        <v>7589</v>
      </c>
      <c r="AM737" s="11" t="str">
        <f>VLOOKUP(N737,Sheet3!$B$4:$C$10,2,1)</f>
        <v>41-50</v>
      </c>
      <c r="AN737" s="12" t="str">
        <f>VLOOKUP(Z737,Sheet3!$F$4:$G$10,2,1)</f>
        <v>11-20</v>
      </c>
      <c r="AO737" s="5" t="str">
        <f>VLOOKUP(AA737,Sheet3!$I$3:$J$16,2,1)</f>
        <v>160000-180000</v>
      </c>
      <c r="AP737" s="5" t="str">
        <f>VLOOKUP(AB737,Sheet3!$L$4:$M$14,2,1)</f>
        <v>21% - 25%</v>
      </c>
    </row>
    <row r="738">
      <c r="A738" s="6">
        <v>147313.0</v>
      </c>
      <c r="B738" s="1" t="s">
        <v>66</v>
      </c>
      <c r="C738" s="1" t="s">
        <v>6648</v>
      </c>
      <c r="D738" s="1" t="s">
        <v>173</v>
      </c>
      <c r="E738" s="1" t="s">
        <v>6958</v>
      </c>
      <c r="F738" s="1" t="s">
        <v>70</v>
      </c>
      <c r="G738" s="1" t="s">
        <v>7590</v>
      </c>
      <c r="H738" s="1" t="s">
        <v>7398</v>
      </c>
      <c r="I738" s="1" t="s">
        <v>7591</v>
      </c>
      <c r="J738" s="1" t="s">
        <v>7592</v>
      </c>
      <c r="K738" s="1" t="s">
        <v>521</v>
      </c>
      <c r="L738" s="9">
        <v>28472.0</v>
      </c>
      <c r="M738" s="8">
        <v>0.03318287037037037</v>
      </c>
      <c r="N738" s="6">
        <v>39.65</v>
      </c>
      <c r="O738" s="6">
        <v>58.0</v>
      </c>
      <c r="P738" s="9">
        <v>42308.0</v>
      </c>
      <c r="Q738" s="1" t="s">
        <v>52</v>
      </c>
      <c r="R738" s="1" t="s">
        <v>53</v>
      </c>
      <c r="S738" s="6">
        <v>2015.0</v>
      </c>
      <c r="T738" s="6">
        <v>10.0</v>
      </c>
      <c r="U738" s="1" t="s">
        <v>133</v>
      </c>
      <c r="V738" s="1" t="s">
        <v>134</v>
      </c>
      <c r="W738" s="6">
        <v>31.0</v>
      </c>
      <c r="X738" s="1" t="s">
        <v>56</v>
      </c>
      <c r="Y738" s="1" t="s">
        <v>57</v>
      </c>
      <c r="Z738" s="6">
        <v>1.74</v>
      </c>
      <c r="AA738" s="6">
        <v>159272.0</v>
      </c>
      <c r="AB738" s="10">
        <v>0.25</v>
      </c>
      <c r="AC738" s="1" t="s">
        <v>7593</v>
      </c>
      <c r="AD738" s="1" t="s">
        <v>7594</v>
      </c>
      <c r="AE738" s="1" t="s">
        <v>7595</v>
      </c>
      <c r="AF738" s="1" t="s">
        <v>6434</v>
      </c>
      <c r="AG738" s="1" t="s">
        <v>7595</v>
      </c>
      <c r="AH738" s="1" t="s">
        <v>439</v>
      </c>
      <c r="AI738" s="6">
        <v>4266.0</v>
      </c>
      <c r="AJ738" s="1" t="s">
        <v>224</v>
      </c>
      <c r="AK738" s="1" t="s">
        <v>7596</v>
      </c>
      <c r="AL738" s="1" t="s">
        <v>7597</v>
      </c>
      <c r="AM738" s="11" t="str">
        <f>VLOOKUP(N738,Sheet3!$B$4:$C$10,2,1)</f>
        <v>31-40</v>
      </c>
      <c r="AN738" s="13" t="str">
        <f>VLOOKUP(Z738,Sheet3!$F$4:$G$10,2,1)</f>
        <v>&lt; 5</v>
      </c>
      <c r="AO738" s="5" t="str">
        <f>VLOOKUP(AA738,Sheet3!$I$3:$J$16,2,1)</f>
        <v>140000-160000</v>
      </c>
      <c r="AP738" s="5" t="str">
        <f>VLOOKUP(AB738,Sheet3!$L$4:$M$14,2,1)</f>
        <v>21% - 25%</v>
      </c>
    </row>
    <row r="739">
      <c r="A739" s="6">
        <v>307771.0</v>
      </c>
      <c r="B739" s="1" t="s">
        <v>66</v>
      </c>
      <c r="C739" s="1" t="s">
        <v>7598</v>
      </c>
      <c r="D739" s="1" t="s">
        <v>466</v>
      </c>
      <c r="E739" s="1" t="s">
        <v>6834</v>
      </c>
      <c r="F739" s="1" t="s">
        <v>70</v>
      </c>
      <c r="G739" s="1" t="s">
        <v>7599</v>
      </c>
      <c r="H739" s="1" t="s">
        <v>7398</v>
      </c>
      <c r="I739" s="1" t="s">
        <v>7600</v>
      </c>
      <c r="J739" s="1" t="s">
        <v>7601</v>
      </c>
      <c r="K739" s="1" t="s">
        <v>2947</v>
      </c>
      <c r="L739" s="9">
        <v>28091.0</v>
      </c>
      <c r="M739" s="8">
        <v>0.2252662037037037</v>
      </c>
      <c r="N739" s="6">
        <v>40.69</v>
      </c>
      <c r="O739" s="6">
        <v>65.0</v>
      </c>
      <c r="P739" s="9">
        <v>42507.0</v>
      </c>
      <c r="Q739" s="1" t="s">
        <v>75</v>
      </c>
      <c r="R739" s="1" t="s">
        <v>76</v>
      </c>
      <c r="S739" s="6">
        <v>2016.0</v>
      </c>
      <c r="T739" s="6">
        <v>5.0</v>
      </c>
      <c r="U739" s="1" t="s">
        <v>294</v>
      </c>
      <c r="V739" s="1" t="s">
        <v>294</v>
      </c>
      <c r="W739" s="6">
        <v>17.0</v>
      </c>
      <c r="X739" s="1" t="s">
        <v>79</v>
      </c>
      <c r="Y739" s="1" t="s">
        <v>80</v>
      </c>
      <c r="Z739" s="6">
        <v>1.2</v>
      </c>
      <c r="AA739" s="6">
        <v>98383.0</v>
      </c>
      <c r="AB739" s="10">
        <v>0.29</v>
      </c>
      <c r="AC739" s="1" t="s">
        <v>7602</v>
      </c>
      <c r="AD739" s="1" t="s">
        <v>7603</v>
      </c>
      <c r="AE739" s="1" t="s">
        <v>7604</v>
      </c>
      <c r="AF739" s="1" t="s">
        <v>3528</v>
      </c>
      <c r="AG739" s="1" t="s">
        <v>7604</v>
      </c>
      <c r="AH739" s="1" t="s">
        <v>238</v>
      </c>
      <c r="AI739" s="6">
        <v>92261.0</v>
      </c>
      <c r="AJ739" s="1" t="s">
        <v>63</v>
      </c>
      <c r="AK739" s="1" t="s">
        <v>7605</v>
      </c>
      <c r="AL739" s="1" t="s">
        <v>7606</v>
      </c>
      <c r="AM739" s="11" t="str">
        <f>VLOOKUP(N739,Sheet3!$B$4:$C$10,2,1)</f>
        <v>31-40</v>
      </c>
      <c r="AN739" s="13" t="str">
        <f>VLOOKUP(Z739,Sheet3!$F$4:$G$10,2,1)</f>
        <v>&lt; 5</v>
      </c>
      <c r="AO739" s="5" t="str">
        <f>VLOOKUP(AA739,Sheet3!$I$3:$J$16,2,1)</f>
        <v>80000-100000</v>
      </c>
      <c r="AP739" s="5" t="str">
        <f>VLOOKUP(AB739,Sheet3!$L$4:$M$14,2,1)</f>
        <v>26% - 30%</v>
      </c>
    </row>
    <row r="740">
      <c r="A740" s="6">
        <v>498653.0</v>
      </c>
      <c r="B740" s="1" t="s">
        <v>255</v>
      </c>
      <c r="C740" s="1" t="s">
        <v>3158</v>
      </c>
      <c r="D740" s="1" t="s">
        <v>554</v>
      </c>
      <c r="E740" s="1" t="s">
        <v>7607</v>
      </c>
      <c r="F740" s="1" t="s">
        <v>70</v>
      </c>
      <c r="G740" s="1" t="s">
        <v>7608</v>
      </c>
      <c r="H740" s="1" t="s">
        <v>7398</v>
      </c>
      <c r="I740" s="1" t="s">
        <v>7609</v>
      </c>
      <c r="J740" s="1" t="s">
        <v>7610</v>
      </c>
      <c r="K740" s="1" t="s">
        <v>132</v>
      </c>
      <c r="L740" s="9">
        <v>30516.0</v>
      </c>
      <c r="M740" s="8">
        <v>0.7967013888888889</v>
      </c>
      <c r="N740" s="6">
        <v>34.05</v>
      </c>
      <c r="O740" s="6">
        <v>55.0</v>
      </c>
      <c r="P740" s="14">
        <v>39363.0</v>
      </c>
      <c r="Q740" s="1" t="s">
        <v>52</v>
      </c>
      <c r="R740" s="1" t="s">
        <v>53</v>
      </c>
      <c r="S740" s="6">
        <v>2007.0</v>
      </c>
      <c r="T740" s="6">
        <v>10.0</v>
      </c>
      <c r="U740" s="1" t="s">
        <v>133</v>
      </c>
      <c r="V740" s="1" t="s">
        <v>134</v>
      </c>
      <c r="W740" s="6">
        <v>8.0</v>
      </c>
      <c r="X740" s="1" t="s">
        <v>99</v>
      </c>
      <c r="Y740" s="1" t="s">
        <v>100</v>
      </c>
      <c r="Z740" s="6">
        <v>9.81</v>
      </c>
      <c r="AA740" s="6">
        <v>77053.0</v>
      </c>
      <c r="AB740" s="10">
        <v>0.13</v>
      </c>
      <c r="AC740" s="1" t="s">
        <v>7611</v>
      </c>
      <c r="AD740" s="1" t="s">
        <v>7612</v>
      </c>
      <c r="AE740" s="1" t="s">
        <v>7364</v>
      </c>
      <c r="AF740" s="1" t="s">
        <v>7613</v>
      </c>
      <c r="AG740" s="1" t="s">
        <v>7364</v>
      </c>
      <c r="AH740" s="1" t="s">
        <v>196</v>
      </c>
      <c r="AI740" s="6">
        <v>37036.0</v>
      </c>
      <c r="AJ740" s="1" t="s">
        <v>106</v>
      </c>
      <c r="AK740" s="1" t="s">
        <v>7614</v>
      </c>
      <c r="AL740" s="1" t="s">
        <v>7615</v>
      </c>
      <c r="AM740" s="11" t="str">
        <f>VLOOKUP(N740,Sheet3!$B$4:$C$10,2,1)</f>
        <v>31-40</v>
      </c>
      <c r="AN740" s="12" t="str">
        <f>VLOOKUP(Z740,Sheet3!$F$4:$G$10,2,1)</f>
        <v>5-10</v>
      </c>
      <c r="AO740" s="5" t="str">
        <f>VLOOKUP(AA740,Sheet3!$I$3:$J$16,2,1)</f>
        <v>60000-80000</v>
      </c>
      <c r="AP740" s="5" t="str">
        <f>VLOOKUP(AB740,Sheet3!$L$4:$M$14,2,1)</f>
        <v>11% - 15%</v>
      </c>
    </row>
    <row r="741">
      <c r="A741" s="6">
        <v>964798.0</v>
      </c>
      <c r="B741" s="1" t="s">
        <v>227</v>
      </c>
      <c r="C741" s="1" t="s">
        <v>1538</v>
      </c>
      <c r="D741" s="1" t="s">
        <v>70</v>
      </c>
      <c r="E741" s="1" t="s">
        <v>6687</v>
      </c>
      <c r="F741" s="1" t="s">
        <v>70</v>
      </c>
      <c r="G741" s="1" t="s">
        <v>7616</v>
      </c>
      <c r="H741" s="1" t="s">
        <v>7398</v>
      </c>
      <c r="I741" s="1" t="s">
        <v>7617</v>
      </c>
      <c r="J741" s="1" t="s">
        <v>7618</v>
      </c>
      <c r="K741" s="1" t="s">
        <v>221</v>
      </c>
      <c r="L741" s="14">
        <v>26759.0</v>
      </c>
      <c r="M741" s="8">
        <v>0.2621875</v>
      </c>
      <c r="N741" s="6">
        <v>44.34</v>
      </c>
      <c r="O741" s="6">
        <v>65.0</v>
      </c>
      <c r="P741" s="9">
        <v>40167.0</v>
      </c>
      <c r="Q741" s="1" t="s">
        <v>52</v>
      </c>
      <c r="R741" s="1" t="s">
        <v>53</v>
      </c>
      <c r="S741" s="6">
        <v>2009.0</v>
      </c>
      <c r="T741" s="6">
        <v>12.0</v>
      </c>
      <c r="U741" s="1" t="s">
        <v>54</v>
      </c>
      <c r="V741" s="1" t="s">
        <v>55</v>
      </c>
      <c r="W741" s="6">
        <v>20.0</v>
      </c>
      <c r="X741" s="1" t="s">
        <v>534</v>
      </c>
      <c r="Y741" s="1" t="s">
        <v>535</v>
      </c>
      <c r="Z741" s="6">
        <v>7.61</v>
      </c>
      <c r="AA741" s="6">
        <v>183026.0</v>
      </c>
      <c r="AB741" s="10">
        <v>0.24</v>
      </c>
      <c r="AC741" s="1" t="s">
        <v>7619</v>
      </c>
      <c r="AD741" s="1" t="s">
        <v>7620</v>
      </c>
      <c r="AE741" s="1" t="s">
        <v>7621</v>
      </c>
      <c r="AF741" s="1" t="s">
        <v>7622</v>
      </c>
      <c r="AG741" s="1" t="s">
        <v>7621</v>
      </c>
      <c r="AH741" s="1" t="s">
        <v>299</v>
      </c>
      <c r="AI741" s="6">
        <v>73722.0</v>
      </c>
      <c r="AJ741" s="1" t="s">
        <v>106</v>
      </c>
      <c r="AK741" s="1" t="s">
        <v>7623</v>
      </c>
      <c r="AL741" s="1" t="s">
        <v>7624</v>
      </c>
      <c r="AM741" s="11" t="str">
        <f>VLOOKUP(N741,Sheet3!$B$4:$C$10,2,1)</f>
        <v>41-50</v>
      </c>
      <c r="AN741" s="12" t="str">
        <f>VLOOKUP(Z741,Sheet3!$F$4:$G$10,2,1)</f>
        <v>5-10</v>
      </c>
      <c r="AO741" s="5" t="str">
        <f>VLOOKUP(AA741,Sheet3!$I$3:$J$16,2,1)</f>
        <v>180000-200000</v>
      </c>
      <c r="AP741" s="5" t="str">
        <f>VLOOKUP(AB741,Sheet3!$L$4:$M$14,2,1)</f>
        <v>21% - 25%</v>
      </c>
    </row>
    <row r="742">
      <c r="A742" s="6">
        <v>616656.0</v>
      </c>
      <c r="B742" s="1" t="s">
        <v>66</v>
      </c>
      <c r="C742" s="1" t="s">
        <v>1962</v>
      </c>
      <c r="D742" s="1" t="s">
        <v>466</v>
      </c>
      <c r="E742" s="1" t="s">
        <v>7625</v>
      </c>
      <c r="F742" s="1" t="s">
        <v>70</v>
      </c>
      <c r="G742" s="1" t="s">
        <v>7626</v>
      </c>
      <c r="H742" s="1" t="s">
        <v>7398</v>
      </c>
      <c r="I742" s="1" t="s">
        <v>7627</v>
      </c>
      <c r="J742" s="1" t="s">
        <v>7628</v>
      </c>
      <c r="K742" s="1" t="s">
        <v>627</v>
      </c>
      <c r="L742" s="9">
        <v>25992.0</v>
      </c>
      <c r="M742" s="8">
        <v>0.30721064814814814</v>
      </c>
      <c r="N742" s="6">
        <v>46.44</v>
      </c>
      <c r="O742" s="6">
        <v>66.0</v>
      </c>
      <c r="P742" s="14">
        <v>41001.0</v>
      </c>
      <c r="Q742" s="1" t="s">
        <v>75</v>
      </c>
      <c r="R742" s="1" t="s">
        <v>76</v>
      </c>
      <c r="S742" s="6">
        <v>2012.0</v>
      </c>
      <c r="T742" s="6">
        <v>4.0</v>
      </c>
      <c r="U742" s="1" t="s">
        <v>77</v>
      </c>
      <c r="V742" s="1" t="s">
        <v>78</v>
      </c>
      <c r="W742" s="6">
        <v>2.0</v>
      </c>
      <c r="X742" s="1" t="s">
        <v>99</v>
      </c>
      <c r="Y742" s="1" t="s">
        <v>100</v>
      </c>
      <c r="Z742" s="6">
        <v>5.32</v>
      </c>
      <c r="AA742" s="6">
        <v>169164.0</v>
      </c>
      <c r="AB742" s="10">
        <v>0.01</v>
      </c>
      <c r="AC742" s="1" t="s">
        <v>7629</v>
      </c>
      <c r="AD742" s="1" t="s">
        <v>7630</v>
      </c>
      <c r="AE742" s="1" t="s">
        <v>7631</v>
      </c>
      <c r="AF742" s="1" t="s">
        <v>6980</v>
      </c>
      <c r="AG742" s="1" t="s">
        <v>7631</v>
      </c>
      <c r="AH742" s="1" t="s">
        <v>356</v>
      </c>
      <c r="AI742" s="6">
        <v>10517.0</v>
      </c>
      <c r="AJ742" s="1" t="s">
        <v>224</v>
      </c>
      <c r="AK742" s="1" t="s">
        <v>7632</v>
      </c>
      <c r="AL742" s="1" t="s">
        <v>7633</v>
      </c>
      <c r="AM742" s="11" t="str">
        <f>VLOOKUP(N742,Sheet3!$B$4:$C$10,2,1)</f>
        <v>41-50</v>
      </c>
      <c r="AN742" s="12" t="str">
        <f>VLOOKUP(Z742,Sheet3!$F$4:$G$10,2,1)</f>
        <v>5-10</v>
      </c>
      <c r="AO742" s="5" t="str">
        <f>VLOOKUP(AA742,Sheet3!$I$3:$J$16,2,1)</f>
        <v>160000-180000</v>
      </c>
      <c r="AP742" s="5" t="str">
        <f>VLOOKUP(AB742,Sheet3!$L$4:$M$14,2,1)</f>
        <v>&lt; 5%</v>
      </c>
    </row>
    <row r="743">
      <c r="A743" s="6">
        <v>232425.0</v>
      </c>
      <c r="B743" s="1" t="s">
        <v>109</v>
      </c>
      <c r="C743" s="1" t="s">
        <v>7634</v>
      </c>
      <c r="D743" s="1" t="s">
        <v>1300</v>
      </c>
      <c r="E743" s="1" t="s">
        <v>7635</v>
      </c>
      <c r="F743" s="1" t="s">
        <v>46</v>
      </c>
      <c r="G743" s="1" t="s">
        <v>7636</v>
      </c>
      <c r="H743" s="1" t="s">
        <v>7398</v>
      </c>
      <c r="I743" s="1" t="s">
        <v>7637</v>
      </c>
      <c r="J743" s="1" t="s">
        <v>7638</v>
      </c>
      <c r="K743" s="1" t="s">
        <v>7639</v>
      </c>
      <c r="L743" s="9">
        <v>24698.0</v>
      </c>
      <c r="M743" s="8">
        <v>0.1321064814814815</v>
      </c>
      <c r="N743" s="6">
        <v>49.99</v>
      </c>
      <c r="O743" s="6">
        <v>43.0</v>
      </c>
      <c r="P743" s="9">
        <v>41995.0</v>
      </c>
      <c r="Q743" s="1" t="s">
        <v>52</v>
      </c>
      <c r="R743" s="1" t="s">
        <v>53</v>
      </c>
      <c r="S743" s="6">
        <v>2014.0</v>
      </c>
      <c r="T743" s="6">
        <v>12.0</v>
      </c>
      <c r="U743" s="1" t="s">
        <v>54</v>
      </c>
      <c r="V743" s="1" t="s">
        <v>55</v>
      </c>
      <c r="W743" s="6">
        <v>22.0</v>
      </c>
      <c r="X743" s="1" t="s">
        <v>99</v>
      </c>
      <c r="Y743" s="1" t="s">
        <v>100</v>
      </c>
      <c r="Z743" s="6">
        <v>2.6</v>
      </c>
      <c r="AA743" s="6">
        <v>88590.0</v>
      </c>
      <c r="AB743" s="10">
        <v>0.09</v>
      </c>
      <c r="AC743" s="1" t="s">
        <v>7640</v>
      </c>
      <c r="AD743" s="1" t="s">
        <v>7641</v>
      </c>
      <c r="AE743" s="1" t="s">
        <v>7488</v>
      </c>
      <c r="AF743" s="1" t="s">
        <v>7489</v>
      </c>
      <c r="AG743" s="1" t="s">
        <v>7488</v>
      </c>
      <c r="AH743" s="1" t="s">
        <v>893</v>
      </c>
      <c r="AI743" s="6">
        <v>27403.0</v>
      </c>
      <c r="AJ743" s="1" t="s">
        <v>106</v>
      </c>
      <c r="AK743" s="1" t="s">
        <v>7642</v>
      </c>
      <c r="AL743" s="1" t="s">
        <v>7643</v>
      </c>
      <c r="AM743" s="11" t="str">
        <f>VLOOKUP(N743,Sheet3!$B$4:$C$10,2,1)</f>
        <v>41-50</v>
      </c>
      <c r="AN743" s="13" t="str">
        <f>VLOOKUP(Z743,Sheet3!$F$4:$G$10,2,1)</f>
        <v>&lt; 5</v>
      </c>
      <c r="AO743" s="5" t="str">
        <f>VLOOKUP(AA743,Sheet3!$I$3:$J$16,2,1)</f>
        <v>80000-100000</v>
      </c>
      <c r="AP743" s="5" t="str">
        <f>VLOOKUP(AB743,Sheet3!$L$4:$M$14,2,1)</f>
        <v>5% - 10%</v>
      </c>
    </row>
    <row r="744">
      <c r="A744" s="6">
        <v>504422.0</v>
      </c>
      <c r="B744" s="1" t="s">
        <v>227</v>
      </c>
      <c r="C744" s="1" t="s">
        <v>945</v>
      </c>
      <c r="D744" s="1" t="s">
        <v>127</v>
      </c>
      <c r="E744" s="1" t="s">
        <v>3472</v>
      </c>
      <c r="F744" s="1" t="s">
        <v>70</v>
      </c>
      <c r="G744" s="1" t="s">
        <v>7644</v>
      </c>
      <c r="H744" s="1" t="s">
        <v>7398</v>
      </c>
      <c r="I744" s="1" t="s">
        <v>7645</v>
      </c>
      <c r="J744" s="1" t="s">
        <v>7646</v>
      </c>
      <c r="K744" s="1" t="s">
        <v>390</v>
      </c>
      <c r="L744" s="14">
        <v>27917.0</v>
      </c>
      <c r="M744" s="8">
        <v>0.7050231481481481</v>
      </c>
      <c r="N744" s="6">
        <v>41.17</v>
      </c>
      <c r="O744" s="6">
        <v>86.0</v>
      </c>
      <c r="P744" s="14">
        <v>36342.0</v>
      </c>
      <c r="Q744" s="1" t="s">
        <v>308</v>
      </c>
      <c r="R744" s="1" t="s">
        <v>53</v>
      </c>
      <c r="S744" s="6">
        <v>1999.0</v>
      </c>
      <c r="T744" s="6">
        <v>7.0</v>
      </c>
      <c r="U744" s="1" t="s">
        <v>366</v>
      </c>
      <c r="V744" s="1" t="s">
        <v>367</v>
      </c>
      <c r="W744" s="6">
        <v>1.0</v>
      </c>
      <c r="X744" s="1" t="s">
        <v>150</v>
      </c>
      <c r="Y744" s="1" t="s">
        <v>151</v>
      </c>
      <c r="Z744" s="6">
        <v>18.09</v>
      </c>
      <c r="AA744" s="6">
        <v>86783.0</v>
      </c>
      <c r="AB744" s="10">
        <v>0.15</v>
      </c>
      <c r="AC744" s="1" t="s">
        <v>7647</v>
      </c>
      <c r="AD744" s="1" t="s">
        <v>7648</v>
      </c>
      <c r="AE744" s="1" t="s">
        <v>5148</v>
      </c>
      <c r="AF744" s="1" t="s">
        <v>5149</v>
      </c>
      <c r="AG744" s="1" t="s">
        <v>5148</v>
      </c>
      <c r="AH744" s="1" t="s">
        <v>857</v>
      </c>
      <c r="AI744" s="6">
        <v>63848.0</v>
      </c>
      <c r="AJ744" s="1" t="s">
        <v>86</v>
      </c>
      <c r="AK744" s="1" t="s">
        <v>7649</v>
      </c>
      <c r="AL744" s="1" t="s">
        <v>7650</v>
      </c>
      <c r="AM744" s="11" t="str">
        <f>VLOOKUP(N744,Sheet3!$B$4:$C$10,2,1)</f>
        <v>41-50</v>
      </c>
      <c r="AN744" s="12" t="str">
        <f>VLOOKUP(Z744,Sheet3!$F$4:$G$10,2,1)</f>
        <v>11-20</v>
      </c>
      <c r="AO744" s="5" t="str">
        <f>VLOOKUP(AA744,Sheet3!$I$3:$J$16,2,1)</f>
        <v>80000-100000</v>
      </c>
      <c r="AP744" s="5" t="str">
        <f>VLOOKUP(AB744,Sheet3!$L$4:$M$14,2,1)</f>
        <v>11% - 15%</v>
      </c>
    </row>
    <row r="745">
      <c r="A745" s="6">
        <v>941632.0</v>
      </c>
      <c r="B745" s="1" t="s">
        <v>109</v>
      </c>
      <c r="C745" s="1" t="s">
        <v>7651</v>
      </c>
      <c r="D745" s="1" t="s">
        <v>389</v>
      </c>
      <c r="E745" s="1" t="s">
        <v>2141</v>
      </c>
      <c r="F745" s="1" t="s">
        <v>46</v>
      </c>
      <c r="G745" s="1" t="s">
        <v>7652</v>
      </c>
      <c r="H745" s="1" t="s">
        <v>7398</v>
      </c>
      <c r="I745" s="1" t="s">
        <v>7653</v>
      </c>
      <c r="J745" s="1" t="s">
        <v>7654</v>
      </c>
      <c r="K745" s="1" t="s">
        <v>1642</v>
      </c>
      <c r="L745" s="9">
        <v>26952.0</v>
      </c>
      <c r="M745" s="8">
        <v>0.03377314814814815</v>
      </c>
      <c r="N745" s="6">
        <v>43.81</v>
      </c>
      <c r="O745" s="6">
        <v>52.0</v>
      </c>
      <c r="P745" s="14">
        <v>37927.0</v>
      </c>
      <c r="Q745" s="1" t="s">
        <v>52</v>
      </c>
      <c r="R745" s="1" t="s">
        <v>53</v>
      </c>
      <c r="S745" s="6">
        <v>2003.0</v>
      </c>
      <c r="T745" s="6">
        <v>11.0</v>
      </c>
      <c r="U745" s="1" t="s">
        <v>148</v>
      </c>
      <c r="V745" s="1" t="s">
        <v>149</v>
      </c>
      <c r="W745" s="6">
        <v>2.0</v>
      </c>
      <c r="X745" s="1" t="s">
        <v>534</v>
      </c>
      <c r="Y745" s="1" t="s">
        <v>535</v>
      </c>
      <c r="Z745" s="6">
        <v>13.75</v>
      </c>
      <c r="AA745" s="6">
        <v>92781.0</v>
      </c>
      <c r="AB745" s="10">
        <v>0.14</v>
      </c>
      <c r="AC745" s="1" t="s">
        <v>7655</v>
      </c>
      <c r="AD745" s="1" t="s">
        <v>7656</v>
      </c>
      <c r="AE745" s="1" t="s">
        <v>7657</v>
      </c>
      <c r="AF745" s="1" t="s">
        <v>2165</v>
      </c>
      <c r="AG745" s="1" t="s">
        <v>7657</v>
      </c>
      <c r="AH745" s="1" t="s">
        <v>1079</v>
      </c>
      <c r="AI745" s="6">
        <v>83654.0</v>
      </c>
      <c r="AJ745" s="1" t="s">
        <v>63</v>
      </c>
      <c r="AK745" s="1" t="s">
        <v>7658</v>
      </c>
      <c r="AL745" s="1" t="s">
        <v>7659</v>
      </c>
      <c r="AM745" s="11" t="str">
        <f>VLOOKUP(N745,Sheet3!$B$4:$C$10,2,1)</f>
        <v>41-50</v>
      </c>
      <c r="AN745" s="12" t="str">
        <f>VLOOKUP(Z745,Sheet3!$F$4:$G$10,2,1)</f>
        <v>11-20</v>
      </c>
      <c r="AO745" s="5" t="str">
        <f>VLOOKUP(AA745,Sheet3!$I$3:$J$16,2,1)</f>
        <v>80000-100000</v>
      </c>
      <c r="AP745" s="5" t="str">
        <f>VLOOKUP(AB745,Sheet3!$L$4:$M$14,2,1)</f>
        <v>11% - 15%</v>
      </c>
    </row>
    <row r="746">
      <c r="A746" s="6">
        <v>925954.0</v>
      </c>
      <c r="B746" s="1" t="s">
        <v>109</v>
      </c>
      <c r="C746" s="1" t="s">
        <v>7660</v>
      </c>
      <c r="D746" s="1" t="s">
        <v>1300</v>
      </c>
      <c r="E746" s="1" t="s">
        <v>421</v>
      </c>
      <c r="F746" s="1" t="s">
        <v>46</v>
      </c>
      <c r="G746" s="1" t="s">
        <v>7661</v>
      </c>
      <c r="H746" s="1" t="s">
        <v>7398</v>
      </c>
      <c r="I746" s="1" t="s">
        <v>7662</v>
      </c>
      <c r="J746" s="1" t="s">
        <v>7663</v>
      </c>
      <c r="K746" s="1" t="s">
        <v>684</v>
      </c>
      <c r="L746" s="14">
        <v>26520.0</v>
      </c>
      <c r="M746" s="8">
        <v>0.9475347222222222</v>
      </c>
      <c r="N746" s="6">
        <v>45.0</v>
      </c>
      <c r="O746" s="6">
        <v>49.0</v>
      </c>
      <c r="P746" s="9">
        <v>39064.0</v>
      </c>
      <c r="Q746" s="1" t="s">
        <v>52</v>
      </c>
      <c r="R746" s="1" t="s">
        <v>53</v>
      </c>
      <c r="S746" s="6">
        <v>2006.0</v>
      </c>
      <c r="T746" s="6">
        <v>12.0</v>
      </c>
      <c r="U746" s="1" t="s">
        <v>54</v>
      </c>
      <c r="V746" s="1" t="s">
        <v>55</v>
      </c>
      <c r="W746" s="6">
        <v>13.0</v>
      </c>
      <c r="X746" s="1" t="s">
        <v>278</v>
      </c>
      <c r="Y746" s="1" t="s">
        <v>279</v>
      </c>
      <c r="Z746" s="6">
        <v>10.63</v>
      </c>
      <c r="AA746" s="6">
        <v>183060.0</v>
      </c>
      <c r="AB746" s="10">
        <v>0.21</v>
      </c>
      <c r="AC746" s="1" t="s">
        <v>7664</v>
      </c>
      <c r="AD746" s="1" t="s">
        <v>7665</v>
      </c>
      <c r="AE746" s="1" t="s">
        <v>7666</v>
      </c>
      <c r="AF746" s="1" t="s">
        <v>2049</v>
      </c>
      <c r="AG746" s="1" t="s">
        <v>7666</v>
      </c>
      <c r="AH746" s="1" t="s">
        <v>475</v>
      </c>
      <c r="AI746" s="6">
        <v>59275.0</v>
      </c>
      <c r="AJ746" s="1" t="s">
        <v>63</v>
      </c>
      <c r="AK746" s="1" t="s">
        <v>7667</v>
      </c>
      <c r="AL746" s="1" t="s">
        <v>7668</v>
      </c>
      <c r="AM746" s="11" t="str">
        <f>VLOOKUP(N746,Sheet3!$B$4:$C$10,2,1)</f>
        <v>41-50</v>
      </c>
      <c r="AN746" s="12" t="str">
        <f>VLOOKUP(Z746,Sheet3!$F$4:$G$10,2,1)</f>
        <v>5-10</v>
      </c>
      <c r="AO746" s="5" t="str">
        <f>VLOOKUP(AA746,Sheet3!$I$3:$J$16,2,1)</f>
        <v>180000-200000</v>
      </c>
      <c r="AP746" s="5" t="str">
        <f>VLOOKUP(AB746,Sheet3!$L$4:$M$14,2,1)</f>
        <v>21% - 25%</v>
      </c>
    </row>
    <row r="747">
      <c r="A747" s="6">
        <v>585128.0</v>
      </c>
      <c r="B747" s="1" t="s">
        <v>42</v>
      </c>
      <c r="C747" s="1" t="s">
        <v>7669</v>
      </c>
      <c r="D747" s="1" t="s">
        <v>554</v>
      </c>
      <c r="E747" s="1" t="s">
        <v>4308</v>
      </c>
      <c r="F747" s="1" t="s">
        <v>46</v>
      </c>
      <c r="G747" s="1" t="s">
        <v>7670</v>
      </c>
      <c r="H747" s="1" t="s">
        <v>7398</v>
      </c>
      <c r="I747" s="1" t="s">
        <v>7671</v>
      </c>
      <c r="J747" s="1" t="s">
        <v>7672</v>
      </c>
      <c r="K747" s="1" t="s">
        <v>61</v>
      </c>
      <c r="L747" s="9">
        <v>32795.0</v>
      </c>
      <c r="M747" s="8">
        <v>0.16758101851851853</v>
      </c>
      <c r="N747" s="6">
        <v>27.81</v>
      </c>
      <c r="O747" s="6">
        <v>54.0</v>
      </c>
      <c r="P747" s="9">
        <v>40711.0</v>
      </c>
      <c r="Q747" s="1" t="s">
        <v>75</v>
      </c>
      <c r="R747" s="1" t="s">
        <v>76</v>
      </c>
      <c r="S747" s="6">
        <v>2011.0</v>
      </c>
      <c r="T747" s="6">
        <v>6.0</v>
      </c>
      <c r="U747" s="1" t="s">
        <v>324</v>
      </c>
      <c r="V747" s="1" t="s">
        <v>325</v>
      </c>
      <c r="W747" s="6">
        <v>17.0</v>
      </c>
      <c r="X747" s="1" t="s">
        <v>263</v>
      </c>
      <c r="Y747" s="1" t="s">
        <v>264</v>
      </c>
      <c r="Z747" s="6">
        <v>6.12</v>
      </c>
      <c r="AA747" s="6">
        <v>57409.0</v>
      </c>
      <c r="AB747" s="10">
        <v>0.15</v>
      </c>
      <c r="AC747" s="1" t="s">
        <v>7673</v>
      </c>
      <c r="AD747" s="1" t="s">
        <v>7674</v>
      </c>
      <c r="AE747" s="1" t="s">
        <v>7675</v>
      </c>
      <c r="AF747" s="1" t="s">
        <v>6991</v>
      </c>
      <c r="AG747" s="1" t="s">
        <v>7675</v>
      </c>
      <c r="AH747" s="1" t="s">
        <v>330</v>
      </c>
      <c r="AI747" s="6">
        <v>20746.0</v>
      </c>
      <c r="AJ747" s="1" t="s">
        <v>106</v>
      </c>
      <c r="AK747" s="1" t="s">
        <v>7676</v>
      </c>
      <c r="AL747" s="1" t="s">
        <v>7677</v>
      </c>
      <c r="AM747" s="11" t="str">
        <f>VLOOKUP(N747,Sheet3!$B$4:$C$10,2,1)</f>
        <v>21-30</v>
      </c>
      <c r="AN747" s="12" t="str">
        <f>VLOOKUP(Z747,Sheet3!$F$4:$G$10,2,1)</f>
        <v>5-10</v>
      </c>
      <c r="AO747" s="5" t="str">
        <f>VLOOKUP(AA747,Sheet3!$I$3:$J$16,2,1)</f>
        <v>40000-60000</v>
      </c>
      <c r="AP747" s="5" t="str">
        <f>VLOOKUP(AB747,Sheet3!$L$4:$M$14,2,1)</f>
        <v>11% - 15%</v>
      </c>
    </row>
    <row r="748">
      <c r="A748" s="6">
        <v>271180.0</v>
      </c>
      <c r="B748" s="1" t="s">
        <v>66</v>
      </c>
      <c r="C748" s="1" t="s">
        <v>4030</v>
      </c>
      <c r="D748" s="1" t="s">
        <v>46</v>
      </c>
      <c r="E748" s="1" t="s">
        <v>7678</v>
      </c>
      <c r="F748" s="1" t="s">
        <v>70</v>
      </c>
      <c r="G748" s="1" t="s">
        <v>7679</v>
      </c>
      <c r="H748" s="1" t="s">
        <v>7398</v>
      </c>
      <c r="I748" s="1" t="s">
        <v>7680</v>
      </c>
      <c r="J748" s="1" t="s">
        <v>7681</v>
      </c>
      <c r="K748" s="1" t="s">
        <v>2767</v>
      </c>
      <c r="L748" s="9">
        <v>31288.0</v>
      </c>
      <c r="M748" s="8">
        <v>0.2684375</v>
      </c>
      <c r="N748" s="6">
        <v>31.93</v>
      </c>
      <c r="O748" s="6">
        <v>65.0</v>
      </c>
      <c r="P748" s="9">
        <v>40811.0</v>
      </c>
      <c r="Q748" s="1" t="s">
        <v>308</v>
      </c>
      <c r="R748" s="1" t="s">
        <v>53</v>
      </c>
      <c r="S748" s="6">
        <v>2011.0</v>
      </c>
      <c r="T748" s="6">
        <v>9.0</v>
      </c>
      <c r="U748" s="1" t="s">
        <v>309</v>
      </c>
      <c r="V748" s="1" t="s">
        <v>310</v>
      </c>
      <c r="W748" s="6">
        <v>25.0</v>
      </c>
      <c r="X748" s="1" t="s">
        <v>534</v>
      </c>
      <c r="Y748" s="1" t="s">
        <v>535</v>
      </c>
      <c r="Z748" s="6">
        <v>5.84</v>
      </c>
      <c r="AA748" s="6">
        <v>188804.0</v>
      </c>
      <c r="AB748" s="10">
        <v>0.27</v>
      </c>
      <c r="AC748" s="1" t="s">
        <v>7682</v>
      </c>
      <c r="AD748" s="1" t="s">
        <v>7683</v>
      </c>
      <c r="AE748" s="1" t="s">
        <v>7684</v>
      </c>
      <c r="AF748" s="1" t="s">
        <v>7684</v>
      </c>
      <c r="AG748" s="1" t="s">
        <v>7684</v>
      </c>
      <c r="AH748" s="1" t="s">
        <v>501</v>
      </c>
      <c r="AI748" s="6">
        <v>82646.0</v>
      </c>
      <c r="AJ748" s="1" t="s">
        <v>63</v>
      </c>
      <c r="AK748" s="1" t="s">
        <v>7685</v>
      </c>
      <c r="AL748" s="1" t="s">
        <v>7686</v>
      </c>
      <c r="AM748" s="11" t="str">
        <f>VLOOKUP(N748,Sheet3!$B$4:$C$10,2,1)</f>
        <v>31-40</v>
      </c>
      <c r="AN748" s="12" t="str">
        <f>VLOOKUP(Z748,Sheet3!$F$4:$G$10,2,1)</f>
        <v>5-10</v>
      </c>
      <c r="AO748" s="5" t="str">
        <f>VLOOKUP(AA748,Sheet3!$I$3:$J$16,2,1)</f>
        <v>180000-200000</v>
      </c>
      <c r="AP748" s="5" t="str">
        <f>VLOOKUP(AB748,Sheet3!$L$4:$M$14,2,1)</f>
        <v>26% - 30%</v>
      </c>
    </row>
    <row r="749">
      <c r="A749" s="6">
        <v>277858.0</v>
      </c>
      <c r="B749" s="1" t="s">
        <v>66</v>
      </c>
      <c r="C749" s="1" t="s">
        <v>7687</v>
      </c>
      <c r="D749" s="1" t="s">
        <v>111</v>
      </c>
      <c r="E749" s="1" t="s">
        <v>547</v>
      </c>
      <c r="F749" s="1" t="s">
        <v>70</v>
      </c>
      <c r="G749" s="1" t="s">
        <v>7688</v>
      </c>
      <c r="H749" s="1" t="s">
        <v>7398</v>
      </c>
      <c r="I749" s="1" t="s">
        <v>7689</v>
      </c>
      <c r="J749" s="1" t="s">
        <v>7690</v>
      </c>
      <c r="K749" s="1" t="s">
        <v>214</v>
      </c>
      <c r="L749" s="9">
        <v>29726.0</v>
      </c>
      <c r="M749" s="8">
        <v>0.04945601851851852</v>
      </c>
      <c r="N749" s="6">
        <v>36.21</v>
      </c>
      <c r="O749" s="6">
        <v>54.0</v>
      </c>
      <c r="P749" s="9">
        <v>39988.0</v>
      </c>
      <c r="Q749" s="1" t="s">
        <v>75</v>
      </c>
      <c r="R749" s="1" t="s">
        <v>76</v>
      </c>
      <c r="S749" s="6">
        <v>2009.0</v>
      </c>
      <c r="T749" s="6">
        <v>6.0</v>
      </c>
      <c r="U749" s="1" t="s">
        <v>324</v>
      </c>
      <c r="V749" s="1" t="s">
        <v>325</v>
      </c>
      <c r="W749" s="6">
        <v>24.0</v>
      </c>
      <c r="X749" s="1" t="s">
        <v>278</v>
      </c>
      <c r="Y749" s="1" t="s">
        <v>279</v>
      </c>
      <c r="Z749" s="6">
        <v>8.1</v>
      </c>
      <c r="AA749" s="6">
        <v>121290.0</v>
      </c>
      <c r="AB749" s="10">
        <v>0.23</v>
      </c>
      <c r="AC749" s="1" t="s">
        <v>7691</v>
      </c>
      <c r="AD749" s="1" t="s">
        <v>7692</v>
      </c>
      <c r="AE749" s="1" t="s">
        <v>7693</v>
      </c>
      <c r="AF749" s="1" t="s">
        <v>7694</v>
      </c>
      <c r="AG749" s="1" t="s">
        <v>7693</v>
      </c>
      <c r="AH749" s="1" t="s">
        <v>1605</v>
      </c>
      <c r="AI749" s="6">
        <v>58650.0</v>
      </c>
      <c r="AJ749" s="1" t="s">
        <v>86</v>
      </c>
      <c r="AK749" s="1" t="s">
        <v>7695</v>
      </c>
      <c r="AL749" s="1" t="s">
        <v>7696</v>
      </c>
      <c r="AM749" s="11" t="str">
        <f>VLOOKUP(N749,Sheet3!$B$4:$C$10,2,1)</f>
        <v>31-40</v>
      </c>
      <c r="AN749" s="12" t="str">
        <f>VLOOKUP(Z749,Sheet3!$F$4:$G$10,2,1)</f>
        <v>5-10</v>
      </c>
      <c r="AO749" s="5" t="str">
        <f>VLOOKUP(AA749,Sheet3!$I$3:$J$16,2,1)</f>
        <v>120000-140000</v>
      </c>
      <c r="AP749" s="5" t="str">
        <f>VLOOKUP(AB749,Sheet3!$L$4:$M$14,2,1)</f>
        <v>21% - 25%</v>
      </c>
    </row>
    <row r="750">
      <c r="A750" s="6">
        <v>118882.0</v>
      </c>
      <c r="B750" s="1" t="s">
        <v>66</v>
      </c>
      <c r="C750" s="1" t="s">
        <v>7697</v>
      </c>
      <c r="D750" s="1" t="s">
        <v>683</v>
      </c>
      <c r="E750" s="1" t="s">
        <v>1759</v>
      </c>
      <c r="F750" s="1" t="s">
        <v>70</v>
      </c>
      <c r="G750" s="1" t="s">
        <v>7698</v>
      </c>
      <c r="H750" s="1" t="s">
        <v>7398</v>
      </c>
      <c r="I750" s="1" t="s">
        <v>7699</v>
      </c>
      <c r="J750" s="1" t="s">
        <v>7700</v>
      </c>
      <c r="K750" s="1" t="s">
        <v>7701</v>
      </c>
      <c r="L750" s="14">
        <v>31145.0</v>
      </c>
      <c r="M750" s="8">
        <v>0.5848611111111112</v>
      </c>
      <c r="N750" s="6">
        <v>32.33</v>
      </c>
      <c r="O750" s="6">
        <v>88.0</v>
      </c>
      <c r="P750" s="9">
        <v>40775.0</v>
      </c>
      <c r="Q750" s="1" t="s">
        <v>308</v>
      </c>
      <c r="R750" s="1" t="s">
        <v>53</v>
      </c>
      <c r="S750" s="6">
        <v>2011.0</v>
      </c>
      <c r="T750" s="6">
        <v>8.0</v>
      </c>
      <c r="U750" s="1" t="s">
        <v>433</v>
      </c>
      <c r="V750" s="1" t="s">
        <v>434</v>
      </c>
      <c r="W750" s="6">
        <v>20.0</v>
      </c>
      <c r="X750" s="1" t="s">
        <v>56</v>
      </c>
      <c r="Y750" s="1" t="s">
        <v>57</v>
      </c>
      <c r="Z750" s="6">
        <v>5.94</v>
      </c>
      <c r="AA750" s="6">
        <v>93822.0</v>
      </c>
      <c r="AB750" s="10">
        <v>0.23</v>
      </c>
      <c r="AC750" s="1" t="s">
        <v>7702</v>
      </c>
      <c r="AD750" s="1" t="s">
        <v>7703</v>
      </c>
      <c r="AE750" s="1" t="s">
        <v>7704</v>
      </c>
      <c r="AF750" s="1" t="s">
        <v>914</v>
      </c>
      <c r="AG750" s="1" t="s">
        <v>7704</v>
      </c>
      <c r="AH750" s="1" t="s">
        <v>893</v>
      </c>
      <c r="AI750" s="6">
        <v>27524.0</v>
      </c>
      <c r="AJ750" s="1" t="s">
        <v>106</v>
      </c>
      <c r="AK750" s="1" t="s">
        <v>7705</v>
      </c>
      <c r="AL750" s="1" t="s">
        <v>7706</v>
      </c>
      <c r="AM750" s="11" t="str">
        <f>VLOOKUP(N750,Sheet3!$B$4:$C$10,2,1)</f>
        <v>31-40</v>
      </c>
      <c r="AN750" s="12" t="str">
        <f>VLOOKUP(Z750,Sheet3!$F$4:$G$10,2,1)</f>
        <v>5-10</v>
      </c>
      <c r="AO750" s="5" t="str">
        <f>VLOOKUP(AA750,Sheet3!$I$3:$J$16,2,1)</f>
        <v>80000-100000</v>
      </c>
      <c r="AP750" s="5" t="str">
        <f>VLOOKUP(AB750,Sheet3!$L$4:$M$14,2,1)</f>
        <v>21% - 25%</v>
      </c>
    </row>
    <row r="751">
      <c r="A751" s="6">
        <v>957082.0</v>
      </c>
      <c r="B751" s="1" t="s">
        <v>42</v>
      </c>
      <c r="C751" s="1" t="s">
        <v>7707</v>
      </c>
      <c r="D751" s="1" t="s">
        <v>186</v>
      </c>
      <c r="E751" s="1" t="s">
        <v>1934</v>
      </c>
      <c r="F751" s="1" t="s">
        <v>46</v>
      </c>
      <c r="G751" s="1" t="s">
        <v>7708</v>
      </c>
      <c r="H751" s="1" t="s">
        <v>7398</v>
      </c>
      <c r="I751" s="1" t="s">
        <v>7709</v>
      </c>
      <c r="J751" s="1" t="s">
        <v>7710</v>
      </c>
      <c r="K751" s="1" t="s">
        <v>1945</v>
      </c>
      <c r="L751" s="14">
        <v>33730.0</v>
      </c>
      <c r="M751" s="8">
        <v>0.6058101851851851</v>
      </c>
      <c r="N751" s="6">
        <v>25.24</v>
      </c>
      <c r="O751" s="6">
        <v>56.0</v>
      </c>
      <c r="P751" s="9">
        <v>42854.0</v>
      </c>
      <c r="Q751" s="1" t="s">
        <v>75</v>
      </c>
      <c r="R751" s="1" t="s">
        <v>76</v>
      </c>
      <c r="S751" s="6">
        <v>2017.0</v>
      </c>
      <c r="T751" s="6">
        <v>4.0</v>
      </c>
      <c r="U751" s="1" t="s">
        <v>77</v>
      </c>
      <c r="V751" s="1" t="s">
        <v>78</v>
      </c>
      <c r="W751" s="6">
        <v>29.0</v>
      </c>
      <c r="X751" s="1" t="s">
        <v>56</v>
      </c>
      <c r="Y751" s="1" t="s">
        <v>57</v>
      </c>
      <c r="Z751" s="6">
        <v>0.25</v>
      </c>
      <c r="AA751" s="6">
        <v>56255.0</v>
      </c>
      <c r="AB751" s="10">
        <v>0.24</v>
      </c>
      <c r="AC751" s="1" t="s">
        <v>7711</v>
      </c>
      <c r="AD751" s="1" t="s">
        <v>7712</v>
      </c>
      <c r="AE751" s="1" t="s">
        <v>208</v>
      </c>
      <c r="AF751" s="1" t="s">
        <v>209</v>
      </c>
      <c r="AG751" s="1" t="s">
        <v>208</v>
      </c>
      <c r="AH751" s="1" t="s">
        <v>210</v>
      </c>
      <c r="AI751" s="6">
        <v>62767.0</v>
      </c>
      <c r="AJ751" s="1" t="s">
        <v>86</v>
      </c>
      <c r="AK751" s="1" t="s">
        <v>7713</v>
      </c>
      <c r="AL751" s="1" t="s">
        <v>7714</v>
      </c>
      <c r="AM751" s="11" t="str">
        <f>VLOOKUP(N751,Sheet3!$B$4:$C$10,2,1)</f>
        <v>21-30</v>
      </c>
      <c r="AN751" s="13" t="str">
        <f>VLOOKUP(Z751,Sheet3!$F$4:$G$10,2,1)</f>
        <v>&lt; 5</v>
      </c>
      <c r="AO751" s="5" t="str">
        <f>VLOOKUP(AA751,Sheet3!$I$3:$J$16,2,1)</f>
        <v>40000-60000</v>
      </c>
      <c r="AP751" s="5" t="str">
        <f>VLOOKUP(AB751,Sheet3!$L$4:$M$14,2,1)</f>
        <v>21% - 25%</v>
      </c>
    </row>
    <row r="752">
      <c r="A752" s="6">
        <v>191995.0</v>
      </c>
      <c r="B752" s="1" t="s">
        <v>109</v>
      </c>
      <c r="C752" s="1" t="s">
        <v>7715</v>
      </c>
      <c r="D752" s="1" t="s">
        <v>360</v>
      </c>
      <c r="E752" s="1" t="s">
        <v>7716</v>
      </c>
      <c r="F752" s="1" t="s">
        <v>46</v>
      </c>
      <c r="G752" s="1" t="s">
        <v>7717</v>
      </c>
      <c r="H752" s="1" t="s">
        <v>7398</v>
      </c>
      <c r="I752" s="1" t="s">
        <v>7718</v>
      </c>
      <c r="J752" s="1" t="s">
        <v>7719</v>
      </c>
      <c r="K752" s="1" t="s">
        <v>262</v>
      </c>
      <c r="L752" s="14">
        <v>29377.0</v>
      </c>
      <c r="M752" s="8">
        <v>0.01425925925925926</v>
      </c>
      <c r="N752" s="6">
        <v>37.17</v>
      </c>
      <c r="O752" s="6">
        <v>58.0</v>
      </c>
      <c r="P752" s="14">
        <v>38262.0</v>
      </c>
      <c r="Q752" s="1" t="s">
        <v>52</v>
      </c>
      <c r="R752" s="1" t="s">
        <v>53</v>
      </c>
      <c r="S752" s="6">
        <v>2004.0</v>
      </c>
      <c r="T752" s="6">
        <v>10.0</v>
      </c>
      <c r="U752" s="1" t="s">
        <v>133</v>
      </c>
      <c r="V752" s="1" t="s">
        <v>134</v>
      </c>
      <c r="W752" s="6">
        <v>2.0</v>
      </c>
      <c r="X752" s="1" t="s">
        <v>56</v>
      </c>
      <c r="Y752" s="1" t="s">
        <v>57</v>
      </c>
      <c r="Z752" s="6">
        <v>12.83</v>
      </c>
      <c r="AA752" s="6">
        <v>78867.0</v>
      </c>
      <c r="AB752" s="10">
        <v>0.25</v>
      </c>
      <c r="AC752" s="1" t="s">
        <v>7720</v>
      </c>
      <c r="AD752" s="1" t="s">
        <v>7721</v>
      </c>
      <c r="AE752" s="1" t="s">
        <v>7722</v>
      </c>
      <c r="AF752" s="1" t="s">
        <v>7723</v>
      </c>
      <c r="AG752" s="1" t="s">
        <v>7722</v>
      </c>
      <c r="AH752" s="1" t="s">
        <v>156</v>
      </c>
      <c r="AI752" s="6">
        <v>20111.0</v>
      </c>
      <c r="AJ752" s="1" t="s">
        <v>106</v>
      </c>
      <c r="AK752" s="1" t="s">
        <v>7724</v>
      </c>
      <c r="AL752" s="1" t="s">
        <v>7725</v>
      </c>
      <c r="AM752" s="11" t="str">
        <f>VLOOKUP(N752,Sheet3!$B$4:$C$10,2,1)</f>
        <v>31-40</v>
      </c>
      <c r="AN752" s="12" t="str">
        <f>VLOOKUP(Z752,Sheet3!$F$4:$G$10,2,1)</f>
        <v>11-20</v>
      </c>
      <c r="AO752" s="5" t="str">
        <f>VLOOKUP(AA752,Sheet3!$I$3:$J$16,2,1)</f>
        <v>60000-80000</v>
      </c>
      <c r="AP752" s="5" t="str">
        <f>VLOOKUP(AB752,Sheet3!$L$4:$M$14,2,1)</f>
        <v>21% - 25%</v>
      </c>
    </row>
    <row r="753">
      <c r="A753" s="6">
        <v>294276.0</v>
      </c>
      <c r="B753" s="1" t="s">
        <v>66</v>
      </c>
      <c r="C753" s="1" t="s">
        <v>7726</v>
      </c>
      <c r="D753" s="1" t="s">
        <v>529</v>
      </c>
      <c r="E753" s="1" t="s">
        <v>5288</v>
      </c>
      <c r="F753" s="1" t="s">
        <v>70</v>
      </c>
      <c r="G753" s="1" t="s">
        <v>7727</v>
      </c>
      <c r="H753" s="1" t="s">
        <v>7398</v>
      </c>
      <c r="I753" s="1" t="s">
        <v>7728</v>
      </c>
      <c r="J753" s="1" t="s">
        <v>7729</v>
      </c>
      <c r="K753" s="1" t="s">
        <v>205</v>
      </c>
      <c r="L753" s="9">
        <v>33447.0</v>
      </c>
      <c r="M753" s="8">
        <v>0.9984490740740741</v>
      </c>
      <c r="N753" s="6">
        <v>26.02</v>
      </c>
      <c r="O753" s="6">
        <v>67.0</v>
      </c>
      <c r="P753" s="9">
        <v>42448.0</v>
      </c>
      <c r="Q753" s="1" t="s">
        <v>96</v>
      </c>
      <c r="R753" s="1" t="s">
        <v>76</v>
      </c>
      <c r="S753" s="6">
        <v>2016.0</v>
      </c>
      <c r="T753" s="6">
        <v>3.0</v>
      </c>
      <c r="U753" s="1" t="s">
        <v>97</v>
      </c>
      <c r="V753" s="1" t="s">
        <v>98</v>
      </c>
      <c r="W753" s="6">
        <v>19.0</v>
      </c>
      <c r="X753" s="1" t="s">
        <v>56</v>
      </c>
      <c r="Y753" s="1" t="s">
        <v>57</v>
      </c>
      <c r="Z753" s="6">
        <v>1.36</v>
      </c>
      <c r="AA753" s="6">
        <v>191297.0</v>
      </c>
      <c r="AB753" s="10">
        <v>0.23</v>
      </c>
      <c r="AC753" s="1" t="s">
        <v>7730</v>
      </c>
      <c r="AD753" s="1" t="s">
        <v>7731</v>
      </c>
      <c r="AE753" s="1" t="s">
        <v>7732</v>
      </c>
      <c r="AF753" s="1" t="s">
        <v>7732</v>
      </c>
      <c r="AG753" s="1" t="s">
        <v>7732</v>
      </c>
      <c r="AH753" s="1" t="s">
        <v>1505</v>
      </c>
      <c r="AI753" s="6">
        <v>55986.0</v>
      </c>
      <c r="AJ753" s="1" t="s">
        <v>86</v>
      </c>
      <c r="AK753" s="1" t="s">
        <v>7733</v>
      </c>
      <c r="AL753" s="1" t="s">
        <v>7734</v>
      </c>
      <c r="AM753" s="11" t="str">
        <f>VLOOKUP(N753,Sheet3!$B$4:$C$10,2,1)</f>
        <v>21-30</v>
      </c>
      <c r="AN753" s="13" t="str">
        <f>VLOOKUP(Z753,Sheet3!$F$4:$G$10,2,1)</f>
        <v>&lt; 5</v>
      </c>
      <c r="AO753" s="5" t="str">
        <f>VLOOKUP(AA753,Sheet3!$I$3:$J$16,2,1)</f>
        <v>180000-200000</v>
      </c>
      <c r="AP753" s="5" t="str">
        <f>VLOOKUP(AB753,Sheet3!$L$4:$M$14,2,1)</f>
        <v>21% - 25%</v>
      </c>
    </row>
    <row r="754">
      <c r="A754" s="6">
        <v>955260.0</v>
      </c>
      <c r="B754" s="1" t="s">
        <v>66</v>
      </c>
      <c r="C754" s="1" t="s">
        <v>3198</v>
      </c>
      <c r="D754" s="1" t="s">
        <v>529</v>
      </c>
      <c r="E754" s="1" t="s">
        <v>3894</v>
      </c>
      <c r="F754" s="1" t="s">
        <v>70</v>
      </c>
      <c r="G754" s="1" t="s">
        <v>7735</v>
      </c>
      <c r="H754" s="1" t="s">
        <v>7398</v>
      </c>
      <c r="I754" s="1" t="s">
        <v>7736</v>
      </c>
      <c r="J754" s="1" t="s">
        <v>7737</v>
      </c>
      <c r="K754" s="1" t="s">
        <v>4071</v>
      </c>
      <c r="L754" s="9">
        <v>25167.0</v>
      </c>
      <c r="M754" s="8">
        <v>0.2144675925925926</v>
      </c>
      <c r="N754" s="6">
        <v>48.7</v>
      </c>
      <c r="O754" s="6">
        <v>83.0</v>
      </c>
      <c r="P754" s="9">
        <v>34288.0</v>
      </c>
      <c r="Q754" s="1" t="s">
        <v>52</v>
      </c>
      <c r="R754" s="1" t="s">
        <v>53</v>
      </c>
      <c r="S754" s="6">
        <v>1993.0</v>
      </c>
      <c r="T754" s="6">
        <v>11.0</v>
      </c>
      <c r="U754" s="1" t="s">
        <v>148</v>
      </c>
      <c r="V754" s="1" t="s">
        <v>149</v>
      </c>
      <c r="W754" s="6">
        <v>15.0</v>
      </c>
      <c r="X754" s="1" t="s">
        <v>99</v>
      </c>
      <c r="Y754" s="1" t="s">
        <v>100</v>
      </c>
      <c r="Z754" s="6">
        <v>23.72</v>
      </c>
      <c r="AA754" s="6">
        <v>63217.0</v>
      </c>
      <c r="AB754" s="10">
        <v>0.14</v>
      </c>
      <c r="AC754" s="1" t="s">
        <v>7738</v>
      </c>
      <c r="AD754" s="1" t="s">
        <v>7739</v>
      </c>
      <c r="AE754" s="1" t="s">
        <v>7740</v>
      </c>
      <c r="AF754" s="1" t="s">
        <v>237</v>
      </c>
      <c r="AG754" s="1" t="s">
        <v>7740</v>
      </c>
      <c r="AH754" s="1" t="s">
        <v>238</v>
      </c>
      <c r="AI754" s="6">
        <v>90665.0</v>
      </c>
      <c r="AJ754" s="1" t="s">
        <v>63</v>
      </c>
      <c r="AK754" s="1" t="s">
        <v>7741</v>
      </c>
      <c r="AL754" s="1" t="s">
        <v>7742</v>
      </c>
      <c r="AM754" s="11" t="str">
        <f>VLOOKUP(N754,Sheet3!$B$4:$C$10,2,1)</f>
        <v>41-50</v>
      </c>
      <c r="AN754" s="13" t="str">
        <f>VLOOKUP(Z754,Sheet3!$F$4:$G$10,2,1)</f>
        <v>21-30</v>
      </c>
      <c r="AO754" s="5" t="str">
        <f>VLOOKUP(AA754,Sheet3!$I$3:$J$16,2,1)</f>
        <v>60000-80000</v>
      </c>
      <c r="AP754" s="5" t="str">
        <f>VLOOKUP(AB754,Sheet3!$L$4:$M$14,2,1)</f>
        <v>11% - 15%</v>
      </c>
    </row>
    <row r="755">
      <c r="A755" s="6">
        <v>457714.0</v>
      </c>
      <c r="B755" s="1" t="s">
        <v>66</v>
      </c>
      <c r="C755" s="1" t="s">
        <v>2570</v>
      </c>
      <c r="D755" s="1" t="s">
        <v>403</v>
      </c>
      <c r="E755" s="1" t="s">
        <v>7743</v>
      </c>
      <c r="F755" s="1" t="s">
        <v>70</v>
      </c>
      <c r="G755" s="1" t="s">
        <v>7744</v>
      </c>
      <c r="H755" s="1" t="s">
        <v>7398</v>
      </c>
      <c r="I755" s="1" t="s">
        <v>7745</v>
      </c>
      <c r="J755" s="1" t="s">
        <v>7746</v>
      </c>
      <c r="K755" s="1" t="s">
        <v>1000</v>
      </c>
      <c r="L755" s="9">
        <v>23313.0</v>
      </c>
      <c r="M755" s="8">
        <v>0.8161458333333333</v>
      </c>
      <c r="N755" s="6">
        <v>53.78</v>
      </c>
      <c r="O755" s="6">
        <v>81.0</v>
      </c>
      <c r="P755" s="14">
        <v>40731.0</v>
      </c>
      <c r="Q755" s="1" t="s">
        <v>308</v>
      </c>
      <c r="R755" s="1" t="s">
        <v>53</v>
      </c>
      <c r="S755" s="6">
        <v>2011.0</v>
      </c>
      <c r="T755" s="6">
        <v>7.0</v>
      </c>
      <c r="U755" s="1" t="s">
        <v>366</v>
      </c>
      <c r="V755" s="1" t="s">
        <v>367</v>
      </c>
      <c r="W755" s="6">
        <v>7.0</v>
      </c>
      <c r="X755" s="1" t="s">
        <v>150</v>
      </c>
      <c r="Y755" s="1" t="s">
        <v>151</v>
      </c>
      <c r="Z755" s="6">
        <v>6.06</v>
      </c>
      <c r="AA755" s="6">
        <v>129827.0</v>
      </c>
      <c r="AB755" s="10">
        <v>0.24</v>
      </c>
      <c r="AC755" s="1" t="s">
        <v>7747</v>
      </c>
      <c r="AD755" s="1" t="s">
        <v>7748</v>
      </c>
      <c r="AE755" s="1" t="s">
        <v>6363</v>
      </c>
      <c r="AF755" s="1" t="s">
        <v>6363</v>
      </c>
      <c r="AG755" s="1" t="s">
        <v>6363</v>
      </c>
      <c r="AH755" s="1" t="s">
        <v>1413</v>
      </c>
      <c r="AI755" s="6">
        <v>80252.0</v>
      </c>
      <c r="AJ755" s="1" t="s">
        <v>63</v>
      </c>
      <c r="AK755" s="1" t="s">
        <v>7749</v>
      </c>
      <c r="AL755" s="1" t="s">
        <v>7750</v>
      </c>
      <c r="AM755" s="11" t="str">
        <f>VLOOKUP(N755,Sheet3!$B$4:$C$10,2,1)</f>
        <v>51-60</v>
      </c>
      <c r="AN755" s="12" t="str">
        <f>VLOOKUP(Z755,Sheet3!$F$4:$G$10,2,1)</f>
        <v>5-10</v>
      </c>
      <c r="AO755" s="5" t="str">
        <f>VLOOKUP(AA755,Sheet3!$I$3:$J$16,2,1)</f>
        <v>120000-140000</v>
      </c>
      <c r="AP755" s="5" t="str">
        <f>VLOOKUP(AB755,Sheet3!$L$4:$M$14,2,1)</f>
        <v>21% - 25%</v>
      </c>
    </row>
    <row r="756">
      <c r="A756" s="6">
        <v>327467.0</v>
      </c>
      <c r="B756" s="1" t="s">
        <v>109</v>
      </c>
      <c r="C756" s="1" t="s">
        <v>836</v>
      </c>
      <c r="D756" s="1" t="s">
        <v>683</v>
      </c>
      <c r="E756" s="1" t="s">
        <v>7751</v>
      </c>
      <c r="F756" s="1" t="s">
        <v>46</v>
      </c>
      <c r="G756" s="1" t="s">
        <v>7752</v>
      </c>
      <c r="H756" s="1" t="s">
        <v>7398</v>
      </c>
      <c r="I756" s="1" t="s">
        <v>7753</v>
      </c>
      <c r="J756" s="1" t="s">
        <v>7754</v>
      </c>
      <c r="K756" s="1" t="s">
        <v>2383</v>
      </c>
      <c r="L756" s="9">
        <v>27167.0</v>
      </c>
      <c r="M756" s="8">
        <v>0.03909722222222222</v>
      </c>
      <c r="N756" s="6">
        <v>43.22</v>
      </c>
      <c r="O756" s="6">
        <v>58.0</v>
      </c>
      <c r="P756" s="14">
        <v>41131.0</v>
      </c>
      <c r="Q756" s="1" t="s">
        <v>308</v>
      </c>
      <c r="R756" s="1" t="s">
        <v>53</v>
      </c>
      <c r="S756" s="6">
        <v>2012.0</v>
      </c>
      <c r="T756" s="6">
        <v>8.0</v>
      </c>
      <c r="U756" s="1" t="s">
        <v>433</v>
      </c>
      <c r="V756" s="1" t="s">
        <v>434</v>
      </c>
      <c r="W756" s="6">
        <v>10.0</v>
      </c>
      <c r="X756" s="1" t="s">
        <v>263</v>
      </c>
      <c r="Y756" s="1" t="s">
        <v>264</v>
      </c>
      <c r="Z756" s="6">
        <v>4.97</v>
      </c>
      <c r="AA756" s="6">
        <v>112881.0</v>
      </c>
      <c r="AB756" s="10">
        <v>0.15</v>
      </c>
      <c r="AC756" s="1" t="s">
        <v>7755</v>
      </c>
      <c r="AD756" s="1" t="s">
        <v>7756</v>
      </c>
      <c r="AE756" s="1" t="s">
        <v>7757</v>
      </c>
      <c r="AF756" s="1" t="s">
        <v>1911</v>
      </c>
      <c r="AG756" s="1" t="s">
        <v>7757</v>
      </c>
      <c r="AH756" s="1" t="s">
        <v>223</v>
      </c>
      <c r="AI756" s="6">
        <v>18614.0</v>
      </c>
      <c r="AJ756" s="1" t="s">
        <v>224</v>
      </c>
      <c r="AK756" s="1" t="s">
        <v>7758</v>
      </c>
      <c r="AL756" s="1" t="s">
        <v>7759</v>
      </c>
      <c r="AM756" s="11" t="str">
        <f>VLOOKUP(N756,Sheet3!$B$4:$C$10,2,1)</f>
        <v>41-50</v>
      </c>
      <c r="AN756" s="13" t="str">
        <f>VLOOKUP(Z756,Sheet3!$F$4:$G$10,2,1)</f>
        <v>&lt; 5</v>
      </c>
      <c r="AO756" s="5" t="str">
        <f>VLOOKUP(AA756,Sheet3!$I$3:$J$16,2,1)</f>
        <v>100000-120000</v>
      </c>
      <c r="AP756" s="5" t="str">
        <f>VLOOKUP(AB756,Sheet3!$L$4:$M$14,2,1)</f>
        <v>11% - 15%</v>
      </c>
    </row>
    <row r="757">
      <c r="A757" s="6">
        <v>642418.0</v>
      </c>
      <c r="B757" s="1" t="s">
        <v>125</v>
      </c>
      <c r="C757" s="1" t="s">
        <v>7760</v>
      </c>
      <c r="D757" s="1" t="s">
        <v>554</v>
      </c>
      <c r="E757" s="1" t="s">
        <v>7761</v>
      </c>
      <c r="F757" s="1" t="s">
        <v>46</v>
      </c>
      <c r="G757" s="1" t="s">
        <v>7762</v>
      </c>
      <c r="H757" s="1" t="s">
        <v>7398</v>
      </c>
      <c r="I757" s="1" t="s">
        <v>7763</v>
      </c>
      <c r="J757" s="1" t="s">
        <v>7764</v>
      </c>
      <c r="K757" s="1" t="s">
        <v>1339</v>
      </c>
      <c r="L757" s="14">
        <v>26027.0</v>
      </c>
      <c r="M757" s="8">
        <v>0.6834953703703703</v>
      </c>
      <c r="N757" s="6">
        <v>46.35</v>
      </c>
      <c r="O757" s="6">
        <v>47.0</v>
      </c>
      <c r="P757" s="14">
        <v>35807.0</v>
      </c>
      <c r="Q757" s="1" t="s">
        <v>96</v>
      </c>
      <c r="R757" s="1" t="s">
        <v>76</v>
      </c>
      <c r="S757" s="6">
        <v>1998.0</v>
      </c>
      <c r="T757" s="6">
        <v>1.0</v>
      </c>
      <c r="U757" s="1" t="s">
        <v>276</v>
      </c>
      <c r="V757" s="1" t="s">
        <v>277</v>
      </c>
      <c r="W757" s="6">
        <v>12.0</v>
      </c>
      <c r="X757" s="1" t="s">
        <v>99</v>
      </c>
      <c r="Y757" s="1" t="s">
        <v>100</v>
      </c>
      <c r="Z757" s="6">
        <v>19.55</v>
      </c>
      <c r="AA757" s="6">
        <v>165075.0</v>
      </c>
      <c r="AB757" s="10">
        <v>0.26</v>
      </c>
      <c r="AC757" s="1" t="s">
        <v>7765</v>
      </c>
      <c r="AD757" s="1" t="s">
        <v>7766</v>
      </c>
      <c r="AE757" s="1" t="s">
        <v>4000</v>
      </c>
      <c r="AF757" s="1" t="s">
        <v>7767</v>
      </c>
      <c r="AG757" s="1" t="s">
        <v>4000</v>
      </c>
      <c r="AH757" s="1" t="s">
        <v>1505</v>
      </c>
      <c r="AI757" s="6">
        <v>56267.0</v>
      </c>
      <c r="AJ757" s="1" t="s">
        <v>86</v>
      </c>
      <c r="AK757" s="1" t="s">
        <v>7768</v>
      </c>
      <c r="AL757" s="1" t="s">
        <v>7769</v>
      </c>
      <c r="AM757" s="11" t="str">
        <f>VLOOKUP(N757,Sheet3!$B$4:$C$10,2,1)</f>
        <v>41-50</v>
      </c>
      <c r="AN757" s="12" t="str">
        <f>VLOOKUP(Z757,Sheet3!$F$4:$G$10,2,1)</f>
        <v>11-20</v>
      </c>
      <c r="AO757" s="5" t="str">
        <f>VLOOKUP(AA757,Sheet3!$I$3:$J$16,2,1)</f>
        <v>160000-180000</v>
      </c>
      <c r="AP757" s="5" t="str">
        <f>VLOOKUP(AB757,Sheet3!$L$4:$M$14,2,1)</f>
        <v>26% - 30%</v>
      </c>
    </row>
    <row r="758">
      <c r="A758" s="6">
        <v>536053.0</v>
      </c>
      <c r="B758" s="1" t="s">
        <v>66</v>
      </c>
      <c r="C758" s="1" t="s">
        <v>7770</v>
      </c>
      <c r="D758" s="1" t="s">
        <v>68</v>
      </c>
      <c r="E758" s="1" t="s">
        <v>2423</v>
      </c>
      <c r="F758" s="1" t="s">
        <v>70</v>
      </c>
      <c r="G758" s="1" t="s">
        <v>7771</v>
      </c>
      <c r="H758" s="1" t="s">
        <v>7398</v>
      </c>
      <c r="I758" s="1" t="s">
        <v>7772</v>
      </c>
      <c r="J758" s="1" t="s">
        <v>7773</v>
      </c>
      <c r="K758" s="1" t="s">
        <v>1177</v>
      </c>
      <c r="L758" s="14">
        <v>27915.0</v>
      </c>
      <c r="M758" s="8">
        <v>0.10253472222222222</v>
      </c>
      <c r="N758" s="6">
        <v>41.18</v>
      </c>
      <c r="O758" s="6">
        <v>56.0</v>
      </c>
      <c r="P758" s="14">
        <v>42864.0</v>
      </c>
      <c r="Q758" s="1" t="s">
        <v>75</v>
      </c>
      <c r="R758" s="1" t="s">
        <v>76</v>
      </c>
      <c r="S758" s="6">
        <v>2017.0</v>
      </c>
      <c r="T758" s="6">
        <v>5.0</v>
      </c>
      <c r="U758" s="1" t="s">
        <v>294</v>
      </c>
      <c r="V758" s="1" t="s">
        <v>294</v>
      </c>
      <c r="W758" s="6">
        <v>9.0</v>
      </c>
      <c r="X758" s="1" t="s">
        <v>79</v>
      </c>
      <c r="Y758" s="1" t="s">
        <v>80</v>
      </c>
      <c r="Z758" s="6">
        <v>0.22</v>
      </c>
      <c r="AA758" s="6">
        <v>114421.0</v>
      </c>
      <c r="AB758" s="10">
        <v>0.07</v>
      </c>
      <c r="AC758" s="1" t="s">
        <v>7774</v>
      </c>
      <c r="AD758" s="1" t="s">
        <v>7775</v>
      </c>
      <c r="AE758" s="1" t="s">
        <v>2625</v>
      </c>
      <c r="AF758" s="1" t="s">
        <v>2540</v>
      </c>
      <c r="AG758" s="1" t="s">
        <v>2625</v>
      </c>
      <c r="AH758" s="1" t="s">
        <v>857</v>
      </c>
      <c r="AI758" s="6">
        <v>64062.0</v>
      </c>
      <c r="AJ758" s="1" t="s">
        <v>86</v>
      </c>
      <c r="AK758" s="1" t="s">
        <v>7776</v>
      </c>
      <c r="AL758" s="1" t="s">
        <v>7777</v>
      </c>
      <c r="AM758" s="11" t="str">
        <f>VLOOKUP(N758,Sheet3!$B$4:$C$10,2,1)</f>
        <v>41-50</v>
      </c>
      <c r="AN758" s="13" t="str">
        <f>VLOOKUP(Z758,Sheet3!$F$4:$G$10,2,1)</f>
        <v>&lt; 5</v>
      </c>
      <c r="AO758" s="5" t="str">
        <f>VLOOKUP(AA758,Sheet3!$I$3:$J$16,2,1)</f>
        <v>100000-120000</v>
      </c>
      <c r="AP758" s="5" t="str">
        <f>VLOOKUP(AB758,Sheet3!$L$4:$M$14,2,1)</f>
        <v>5% - 10%</v>
      </c>
    </row>
    <row r="759">
      <c r="A759" s="6">
        <v>950796.0</v>
      </c>
      <c r="B759" s="1" t="s">
        <v>125</v>
      </c>
      <c r="C759" s="1" t="s">
        <v>1565</v>
      </c>
      <c r="D759" s="1" t="s">
        <v>1663</v>
      </c>
      <c r="E759" s="1" t="s">
        <v>6240</v>
      </c>
      <c r="F759" s="1" t="s">
        <v>70</v>
      </c>
      <c r="G759" s="1" t="s">
        <v>7778</v>
      </c>
      <c r="H759" s="1" t="s">
        <v>7398</v>
      </c>
      <c r="I759" s="1" t="s">
        <v>7779</v>
      </c>
      <c r="J759" s="1" t="s">
        <v>7780</v>
      </c>
      <c r="K759" s="1" t="s">
        <v>5888</v>
      </c>
      <c r="L759" s="9">
        <v>33163.0</v>
      </c>
      <c r="M759" s="8">
        <v>0.7274537037037037</v>
      </c>
      <c r="N759" s="6">
        <v>26.8</v>
      </c>
      <c r="O759" s="6">
        <v>90.0</v>
      </c>
      <c r="P759" s="14">
        <v>42009.0</v>
      </c>
      <c r="Q759" s="1" t="s">
        <v>96</v>
      </c>
      <c r="R759" s="1" t="s">
        <v>76</v>
      </c>
      <c r="S759" s="6">
        <v>2015.0</v>
      </c>
      <c r="T759" s="6">
        <v>1.0</v>
      </c>
      <c r="U759" s="1" t="s">
        <v>276</v>
      </c>
      <c r="V759" s="1" t="s">
        <v>277</v>
      </c>
      <c r="W759" s="6">
        <v>5.0</v>
      </c>
      <c r="X759" s="1" t="s">
        <v>99</v>
      </c>
      <c r="Y759" s="1" t="s">
        <v>100</v>
      </c>
      <c r="Z759" s="6">
        <v>2.56</v>
      </c>
      <c r="AA759" s="6">
        <v>98600.0</v>
      </c>
      <c r="AB759" s="10">
        <v>0.22</v>
      </c>
      <c r="AC759" s="1" t="s">
        <v>7781</v>
      </c>
      <c r="AD759" s="1" t="s">
        <v>7782</v>
      </c>
      <c r="AE759" s="1" t="s">
        <v>3846</v>
      </c>
      <c r="AF759" s="1" t="s">
        <v>3847</v>
      </c>
      <c r="AG759" s="1" t="s">
        <v>3846</v>
      </c>
      <c r="AH759" s="1" t="s">
        <v>2274</v>
      </c>
      <c r="AI759" s="6">
        <v>19886.0</v>
      </c>
      <c r="AJ759" s="1" t="s">
        <v>106</v>
      </c>
      <c r="AK759" s="1" t="s">
        <v>7783</v>
      </c>
      <c r="AL759" s="1" t="s">
        <v>7784</v>
      </c>
      <c r="AM759" s="11" t="str">
        <f>VLOOKUP(N759,Sheet3!$B$4:$C$10,2,1)</f>
        <v>21-30</v>
      </c>
      <c r="AN759" s="13" t="str">
        <f>VLOOKUP(Z759,Sheet3!$F$4:$G$10,2,1)</f>
        <v>&lt; 5</v>
      </c>
      <c r="AO759" s="5" t="str">
        <f>VLOOKUP(AA759,Sheet3!$I$3:$J$16,2,1)</f>
        <v>80000-100000</v>
      </c>
      <c r="AP759" s="5" t="str">
        <f>VLOOKUP(AB759,Sheet3!$L$4:$M$14,2,1)</f>
        <v>21% - 25%</v>
      </c>
    </row>
    <row r="760">
      <c r="A760" s="6">
        <v>475176.0</v>
      </c>
      <c r="B760" s="1" t="s">
        <v>66</v>
      </c>
      <c r="C760" s="1" t="s">
        <v>7785</v>
      </c>
      <c r="D760" s="1" t="s">
        <v>861</v>
      </c>
      <c r="E760" s="1" t="s">
        <v>5309</v>
      </c>
      <c r="F760" s="1" t="s">
        <v>70</v>
      </c>
      <c r="G760" s="1" t="s">
        <v>7786</v>
      </c>
      <c r="H760" s="1" t="s">
        <v>7398</v>
      </c>
      <c r="I760" s="1" t="s">
        <v>7787</v>
      </c>
      <c r="J760" s="1" t="s">
        <v>7788</v>
      </c>
      <c r="K760" s="1" t="s">
        <v>1094</v>
      </c>
      <c r="L760" s="9">
        <v>24526.0</v>
      </c>
      <c r="M760" s="8">
        <v>0.30873842592592593</v>
      </c>
      <c r="N760" s="6">
        <v>50.46</v>
      </c>
      <c r="O760" s="6">
        <v>56.0</v>
      </c>
      <c r="P760" s="9">
        <v>39746.0</v>
      </c>
      <c r="Q760" s="1" t="s">
        <v>52</v>
      </c>
      <c r="R760" s="1" t="s">
        <v>53</v>
      </c>
      <c r="S760" s="6">
        <v>2008.0</v>
      </c>
      <c r="T760" s="6">
        <v>10.0</v>
      </c>
      <c r="U760" s="1" t="s">
        <v>133</v>
      </c>
      <c r="V760" s="1" t="s">
        <v>134</v>
      </c>
      <c r="W760" s="6">
        <v>25.0</v>
      </c>
      <c r="X760" s="1" t="s">
        <v>56</v>
      </c>
      <c r="Y760" s="1" t="s">
        <v>57</v>
      </c>
      <c r="Z760" s="6">
        <v>8.76</v>
      </c>
      <c r="AA760" s="6">
        <v>199411.0</v>
      </c>
      <c r="AB760" s="10">
        <v>0.15</v>
      </c>
      <c r="AC760" s="1" t="s">
        <v>7789</v>
      </c>
      <c r="AD760" s="1" t="s">
        <v>7790</v>
      </c>
      <c r="AE760" s="1" t="s">
        <v>7791</v>
      </c>
      <c r="AF760" s="1" t="s">
        <v>7792</v>
      </c>
      <c r="AG760" s="1" t="s">
        <v>7791</v>
      </c>
      <c r="AH760" s="1" t="s">
        <v>1561</v>
      </c>
      <c r="AI760" s="6">
        <v>54409.0</v>
      </c>
      <c r="AJ760" s="1" t="s">
        <v>86</v>
      </c>
      <c r="AK760" s="1" t="s">
        <v>7793</v>
      </c>
      <c r="AL760" s="1" t="s">
        <v>7794</v>
      </c>
      <c r="AM760" s="11" t="str">
        <f>VLOOKUP(N760,Sheet3!$B$4:$C$10,2,1)</f>
        <v>41-50</v>
      </c>
      <c r="AN760" s="12" t="str">
        <f>VLOOKUP(Z760,Sheet3!$F$4:$G$10,2,1)</f>
        <v>5-10</v>
      </c>
      <c r="AO760" s="5" t="str">
        <f>VLOOKUP(AA760,Sheet3!$I$3:$J$16,2,1)</f>
        <v>180000-200000</v>
      </c>
      <c r="AP760" s="5" t="str">
        <f>VLOOKUP(AB760,Sheet3!$L$4:$M$14,2,1)</f>
        <v>11% - 15%</v>
      </c>
    </row>
    <row r="761">
      <c r="A761" s="6">
        <v>873985.0</v>
      </c>
      <c r="B761" s="1" t="s">
        <v>42</v>
      </c>
      <c r="C761" s="1" t="s">
        <v>5531</v>
      </c>
      <c r="D761" s="1" t="s">
        <v>466</v>
      </c>
      <c r="E761" s="1" t="s">
        <v>619</v>
      </c>
      <c r="F761" s="1" t="s">
        <v>46</v>
      </c>
      <c r="G761" s="1" t="s">
        <v>7795</v>
      </c>
      <c r="H761" s="1" t="s">
        <v>7398</v>
      </c>
      <c r="I761" s="1" t="s">
        <v>7796</v>
      </c>
      <c r="J761" s="1" t="s">
        <v>7797</v>
      </c>
      <c r="K761" s="1" t="s">
        <v>247</v>
      </c>
      <c r="L761" s="9">
        <v>34750.0</v>
      </c>
      <c r="M761" s="8">
        <v>0.5193402777777778</v>
      </c>
      <c r="N761" s="6">
        <v>22.45</v>
      </c>
      <c r="O761" s="6">
        <v>41.0</v>
      </c>
      <c r="P761" s="14">
        <v>42795.0</v>
      </c>
      <c r="Q761" s="1" t="s">
        <v>96</v>
      </c>
      <c r="R761" s="1" t="s">
        <v>76</v>
      </c>
      <c r="S761" s="6">
        <v>2017.0</v>
      </c>
      <c r="T761" s="6">
        <v>3.0</v>
      </c>
      <c r="U761" s="1" t="s">
        <v>97</v>
      </c>
      <c r="V761" s="1" t="s">
        <v>98</v>
      </c>
      <c r="W761" s="6">
        <v>1.0</v>
      </c>
      <c r="X761" s="1" t="s">
        <v>278</v>
      </c>
      <c r="Y761" s="1" t="s">
        <v>279</v>
      </c>
      <c r="Z761" s="6">
        <v>0.41</v>
      </c>
      <c r="AA761" s="6">
        <v>126933.0</v>
      </c>
      <c r="AB761" s="10">
        <v>0.29</v>
      </c>
      <c r="AC761" s="1" t="s">
        <v>7798</v>
      </c>
      <c r="AD761" s="1" t="s">
        <v>7799</v>
      </c>
      <c r="AE761" s="1" t="s">
        <v>7800</v>
      </c>
      <c r="AF761" s="1" t="s">
        <v>2633</v>
      </c>
      <c r="AG761" s="1" t="s">
        <v>7800</v>
      </c>
      <c r="AH761" s="1" t="s">
        <v>1032</v>
      </c>
      <c r="AI761" s="6">
        <v>66518.0</v>
      </c>
      <c r="AJ761" s="1" t="s">
        <v>86</v>
      </c>
      <c r="AK761" s="1" t="s">
        <v>7801</v>
      </c>
      <c r="AL761" s="1" t="s">
        <v>7802</v>
      </c>
      <c r="AM761" s="11" t="str">
        <f>VLOOKUP(N761,Sheet3!$B$4:$C$10,2,1)</f>
        <v>21-30</v>
      </c>
      <c r="AN761" s="13" t="str">
        <f>VLOOKUP(Z761,Sheet3!$F$4:$G$10,2,1)</f>
        <v>&lt; 5</v>
      </c>
      <c r="AO761" s="5" t="str">
        <f>VLOOKUP(AA761,Sheet3!$I$3:$J$16,2,1)</f>
        <v>120000-140000</v>
      </c>
      <c r="AP761" s="5" t="str">
        <f>VLOOKUP(AB761,Sheet3!$L$4:$M$14,2,1)</f>
        <v>26% - 30%</v>
      </c>
    </row>
    <row r="762">
      <c r="A762" s="6">
        <v>706151.0</v>
      </c>
      <c r="B762" s="1" t="s">
        <v>255</v>
      </c>
      <c r="C762" s="1" t="s">
        <v>7803</v>
      </c>
      <c r="D762" s="1" t="s">
        <v>466</v>
      </c>
      <c r="E762" s="1" t="s">
        <v>2668</v>
      </c>
      <c r="F762" s="1" t="s">
        <v>70</v>
      </c>
      <c r="G762" s="1" t="s">
        <v>7804</v>
      </c>
      <c r="H762" s="1" t="s">
        <v>7398</v>
      </c>
      <c r="I762" s="1" t="s">
        <v>7805</v>
      </c>
      <c r="J762" s="1" t="s">
        <v>7806</v>
      </c>
      <c r="K762" s="1" t="s">
        <v>4534</v>
      </c>
      <c r="L762" s="9">
        <v>28694.0</v>
      </c>
      <c r="M762" s="8">
        <v>0.677511574074074</v>
      </c>
      <c r="N762" s="6">
        <v>39.04</v>
      </c>
      <c r="O762" s="6">
        <v>64.0</v>
      </c>
      <c r="P762" s="14">
        <v>41396.0</v>
      </c>
      <c r="Q762" s="1" t="s">
        <v>75</v>
      </c>
      <c r="R762" s="1" t="s">
        <v>76</v>
      </c>
      <c r="S762" s="6">
        <v>2013.0</v>
      </c>
      <c r="T762" s="6">
        <v>5.0</v>
      </c>
      <c r="U762" s="1" t="s">
        <v>294</v>
      </c>
      <c r="V762" s="1" t="s">
        <v>294</v>
      </c>
      <c r="W762" s="6">
        <v>2.0</v>
      </c>
      <c r="X762" s="1" t="s">
        <v>150</v>
      </c>
      <c r="Y762" s="1" t="s">
        <v>151</v>
      </c>
      <c r="Z762" s="6">
        <v>4.24</v>
      </c>
      <c r="AA762" s="6">
        <v>84511.0</v>
      </c>
      <c r="AB762" s="10">
        <v>0.24</v>
      </c>
      <c r="AC762" s="1" t="s">
        <v>7807</v>
      </c>
      <c r="AD762" s="1" t="s">
        <v>7808</v>
      </c>
      <c r="AE762" s="1" t="s">
        <v>314</v>
      </c>
      <c r="AF762" s="1" t="s">
        <v>314</v>
      </c>
      <c r="AG762" s="1" t="s">
        <v>314</v>
      </c>
      <c r="AH762" s="1" t="s">
        <v>238</v>
      </c>
      <c r="AI762" s="6">
        <v>93729.0</v>
      </c>
      <c r="AJ762" s="1" t="s">
        <v>63</v>
      </c>
      <c r="AK762" s="1" t="s">
        <v>7809</v>
      </c>
      <c r="AL762" s="1" t="s">
        <v>7810</v>
      </c>
      <c r="AM762" s="11" t="str">
        <f>VLOOKUP(N762,Sheet3!$B$4:$C$10,2,1)</f>
        <v>31-40</v>
      </c>
      <c r="AN762" s="13" t="str">
        <f>VLOOKUP(Z762,Sheet3!$F$4:$G$10,2,1)</f>
        <v>&lt; 5</v>
      </c>
      <c r="AO762" s="5" t="str">
        <f>VLOOKUP(AA762,Sheet3!$I$3:$J$16,2,1)</f>
        <v>80000-100000</v>
      </c>
      <c r="AP762" s="5" t="str">
        <f>VLOOKUP(AB762,Sheet3!$L$4:$M$14,2,1)</f>
        <v>21% - 25%</v>
      </c>
    </row>
    <row r="763">
      <c r="A763" s="6">
        <v>734991.0</v>
      </c>
      <c r="B763" s="1" t="s">
        <v>66</v>
      </c>
      <c r="C763" s="1" t="s">
        <v>4843</v>
      </c>
      <c r="D763" s="1" t="s">
        <v>200</v>
      </c>
      <c r="E763" s="1" t="s">
        <v>1748</v>
      </c>
      <c r="F763" s="1" t="s">
        <v>70</v>
      </c>
      <c r="G763" s="1" t="s">
        <v>7811</v>
      </c>
      <c r="H763" s="1" t="s">
        <v>7398</v>
      </c>
      <c r="I763" s="1" t="s">
        <v>7812</v>
      </c>
      <c r="J763" s="1" t="s">
        <v>7813</v>
      </c>
      <c r="K763" s="1" t="s">
        <v>2343</v>
      </c>
      <c r="L763" s="9">
        <v>23946.0</v>
      </c>
      <c r="M763" s="8">
        <v>0.38296296296296295</v>
      </c>
      <c r="N763" s="6">
        <v>52.05</v>
      </c>
      <c r="O763" s="6">
        <v>57.0</v>
      </c>
      <c r="P763" s="14">
        <v>42491.0</v>
      </c>
      <c r="Q763" s="1" t="s">
        <v>75</v>
      </c>
      <c r="R763" s="1" t="s">
        <v>76</v>
      </c>
      <c r="S763" s="6">
        <v>2016.0</v>
      </c>
      <c r="T763" s="6">
        <v>5.0</v>
      </c>
      <c r="U763" s="1" t="s">
        <v>294</v>
      </c>
      <c r="V763" s="1" t="s">
        <v>294</v>
      </c>
      <c r="W763" s="6">
        <v>1.0</v>
      </c>
      <c r="X763" s="1" t="s">
        <v>534</v>
      </c>
      <c r="Y763" s="1" t="s">
        <v>535</v>
      </c>
      <c r="Z763" s="6">
        <v>1.24</v>
      </c>
      <c r="AA763" s="6">
        <v>181338.0</v>
      </c>
      <c r="AB763" s="10">
        <v>0.16</v>
      </c>
      <c r="AC763" s="1" t="s">
        <v>7814</v>
      </c>
      <c r="AD763" s="1" t="s">
        <v>7815</v>
      </c>
      <c r="AE763" s="1" t="s">
        <v>7816</v>
      </c>
      <c r="AF763" s="1" t="s">
        <v>1668</v>
      </c>
      <c r="AG763" s="1" t="s">
        <v>7816</v>
      </c>
      <c r="AH763" s="1" t="s">
        <v>196</v>
      </c>
      <c r="AI763" s="6">
        <v>37188.0</v>
      </c>
      <c r="AJ763" s="1" t="s">
        <v>106</v>
      </c>
      <c r="AK763" s="1" t="s">
        <v>7817</v>
      </c>
      <c r="AL763" s="1" t="s">
        <v>7818</v>
      </c>
      <c r="AM763" s="11" t="str">
        <f>VLOOKUP(N763,Sheet3!$B$4:$C$10,2,1)</f>
        <v>51-60</v>
      </c>
      <c r="AN763" s="13" t="str">
        <f>VLOOKUP(Z763,Sheet3!$F$4:$G$10,2,1)</f>
        <v>&lt; 5</v>
      </c>
      <c r="AO763" s="5" t="str">
        <f>VLOOKUP(AA763,Sheet3!$I$3:$J$16,2,1)</f>
        <v>180000-200000</v>
      </c>
      <c r="AP763" s="5" t="str">
        <f>VLOOKUP(AB763,Sheet3!$L$4:$M$14,2,1)</f>
        <v>16% - 20%</v>
      </c>
    </row>
    <row r="764">
      <c r="A764" s="6">
        <v>461350.0</v>
      </c>
      <c r="B764" s="1" t="s">
        <v>42</v>
      </c>
      <c r="C764" s="1" t="s">
        <v>2859</v>
      </c>
      <c r="D764" s="1" t="s">
        <v>111</v>
      </c>
      <c r="E764" s="1" t="s">
        <v>4954</v>
      </c>
      <c r="F764" s="1" t="s">
        <v>46</v>
      </c>
      <c r="G764" s="1" t="s">
        <v>7819</v>
      </c>
      <c r="H764" s="1" t="s">
        <v>7398</v>
      </c>
      <c r="I764" s="1" t="s">
        <v>7820</v>
      </c>
      <c r="J764" s="1" t="s">
        <v>7821</v>
      </c>
      <c r="K764" s="1" t="s">
        <v>7761</v>
      </c>
      <c r="L764" s="14">
        <v>23324.0</v>
      </c>
      <c r="M764" s="8">
        <v>0.7915393518518519</v>
      </c>
      <c r="N764" s="6">
        <v>53.75</v>
      </c>
      <c r="O764" s="6">
        <v>54.0</v>
      </c>
      <c r="P764" s="9">
        <v>32078.0</v>
      </c>
      <c r="Q764" s="1" t="s">
        <v>52</v>
      </c>
      <c r="R764" s="1" t="s">
        <v>53</v>
      </c>
      <c r="S764" s="6">
        <v>1987.0</v>
      </c>
      <c r="T764" s="6">
        <v>10.0</v>
      </c>
      <c r="U764" s="1" t="s">
        <v>133</v>
      </c>
      <c r="V764" s="1" t="s">
        <v>134</v>
      </c>
      <c r="W764" s="6">
        <v>28.0</v>
      </c>
      <c r="X764" s="1" t="s">
        <v>278</v>
      </c>
      <c r="Y764" s="1" t="s">
        <v>279</v>
      </c>
      <c r="Z764" s="6">
        <v>29.77</v>
      </c>
      <c r="AA764" s="6">
        <v>172175.0</v>
      </c>
      <c r="AB764" s="10">
        <v>0.23</v>
      </c>
      <c r="AC764" s="1" t="s">
        <v>7822</v>
      </c>
      <c r="AD764" s="1" t="s">
        <v>7823</v>
      </c>
      <c r="AE764" s="1" t="s">
        <v>7824</v>
      </c>
      <c r="AF764" s="1" t="s">
        <v>7824</v>
      </c>
      <c r="AG764" s="1" t="s">
        <v>7824</v>
      </c>
      <c r="AH764" s="1" t="s">
        <v>1527</v>
      </c>
      <c r="AI764" s="6">
        <v>35056.0</v>
      </c>
      <c r="AJ764" s="1" t="s">
        <v>106</v>
      </c>
      <c r="AK764" s="1" t="s">
        <v>7825</v>
      </c>
      <c r="AL764" s="1" t="s">
        <v>7826</v>
      </c>
      <c r="AM764" s="11" t="str">
        <f>VLOOKUP(N764,Sheet3!$B$4:$C$10,2,1)</f>
        <v>51-60</v>
      </c>
      <c r="AN764" s="13" t="str">
        <f>VLOOKUP(Z764,Sheet3!$F$4:$G$10,2,1)</f>
        <v>21-30</v>
      </c>
      <c r="AO764" s="5" t="str">
        <f>VLOOKUP(AA764,Sheet3!$I$3:$J$16,2,1)</f>
        <v>160000-180000</v>
      </c>
      <c r="AP764" s="5" t="str">
        <f>VLOOKUP(AB764,Sheet3!$L$4:$M$14,2,1)</f>
        <v>21% - 25%</v>
      </c>
    </row>
    <row r="765">
      <c r="A765" s="6">
        <v>454745.0</v>
      </c>
      <c r="B765" s="1" t="s">
        <v>227</v>
      </c>
      <c r="C765" s="1" t="s">
        <v>7827</v>
      </c>
      <c r="D765" s="1" t="s">
        <v>70</v>
      </c>
      <c r="E765" s="1" t="s">
        <v>3711</v>
      </c>
      <c r="F765" s="1" t="s">
        <v>70</v>
      </c>
      <c r="G765" s="1" t="s">
        <v>7828</v>
      </c>
      <c r="H765" s="1" t="s">
        <v>7398</v>
      </c>
      <c r="I765" s="1" t="s">
        <v>7829</v>
      </c>
      <c r="J765" s="1" t="s">
        <v>7830</v>
      </c>
      <c r="K765" s="1" t="s">
        <v>128</v>
      </c>
      <c r="L765" s="9">
        <v>33737.0</v>
      </c>
      <c r="M765" s="8">
        <v>0.6474074074074074</v>
      </c>
      <c r="N765" s="6">
        <v>25.22</v>
      </c>
      <c r="O765" s="6">
        <v>80.0</v>
      </c>
      <c r="P765" s="9">
        <v>41630.0</v>
      </c>
      <c r="Q765" s="1" t="s">
        <v>52</v>
      </c>
      <c r="R765" s="1" t="s">
        <v>53</v>
      </c>
      <c r="S765" s="6">
        <v>2013.0</v>
      </c>
      <c r="T765" s="6">
        <v>12.0</v>
      </c>
      <c r="U765" s="1" t="s">
        <v>54</v>
      </c>
      <c r="V765" s="1" t="s">
        <v>55</v>
      </c>
      <c r="W765" s="6">
        <v>22.0</v>
      </c>
      <c r="X765" s="1" t="s">
        <v>534</v>
      </c>
      <c r="Y765" s="1" t="s">
        <v>535</v>
      </c>
      <c r="Z765" s="6">
        <v>3.6</v>
      </c>
      <c r="AA765" s="6">
        <v>65708.0</v>
      </c>
      <c r="AB765" s="10">
        <v>0.03</v>
      </c>
      <c r="AC765" s="1" t="s">
        <v>7831</v>
      </c>
      <c r="AD765" s="1" t="s">
        <v>7832</v>
      </c>
      <c r="AE765" s="1" t="s">
        <v>7833</v>
      </c>
      <c r="AF765" s="1" t="s">
        <v>7833</v>
      </c>
      <c r="AG765" s="1" t="s">
        <v>7833</v>
      </c>
      <c r="AH765" s="1" t="s">
        <v>156</v>
      </c>
      <c r="AI765" s="6">
        <v>23030.0</v>
      </c>
      <c r="AJ765" s="1" t="s">
        <v>106</v>
      </c>
      <c r="AK765" s="1" t="s">
        <v>7834</v>
      </c>
      <c r="AL765" s="1" t="s">
        <v>7835</v>
      </c>
      <c r="AM765" s="11" t="str">
        <f>VLOOKUP(N765,Sheet3!$B$4:$C$10,2,1)</f>
        <v>21-30</v>
      </c>
      <c r="AN765" s="13" t="str">
        <f>VLOOKUP(Z765,Sheet3!$F$4:$G$10,2,1)</f>
        <v>&lt; 5</v>
      </c>
      <c r="AO765" s="5" t="str">
        <f>VLOOKUP(AA765,Sheet3!$I$3:$J$16,2,1)</f>
        <v>60000-80000</v>
      </c>
      <c r="AP765" s="5" t="str">
        <f>VLOOKUP(AB765,Sheet3!$L$4:$M$14,2,1)</f>
        <v>&lt; 5%</v>
      </c>
    </row>
    <row r="766">
      <c r="A766" s="6">
        <v>901588.0</v>
      </c>
      <c r="B766" s="1" t="s">
        <v>109</v>
      </c>
      <c r="C766" s="1" t="s">
        <v>7836</v>
      </c>
      <c r="D766" s="1" t="s">
        <v>318</v>
      </c>
      <c r="E766" s="1" t="s">
        <v>2247</v>
      </c>
      <c r="F766" s="1" t="s">
        <v>46</v>
      </c>
      <c r="G766" s="1" t="s">
        <v>7837</v>
      </c>
      <c r="H766" s="1" t="s">
        <v>7398</v>
      </c>
      <c r="I766" s="1" t="s">
        <v>7838</v>
      </c>
      <c r="J766" s="1" t="s">
        <v>7839</v>
      </c>
      <c r="K766" s="1" t="s">
        <v>5412</v>
      </c>
      <c r="L766" s="9">
        <v>22365.0</v>
      </c>
      <c r="M766" s="8">
        <v>0.249375</v>
      </c>
      <c r="N766" s="6">
        <v>56.38</v>
      </c>
      <c r="O766" s="6">
        <v>41.0</v>
      </c>
      <c r="P766" s="9">
        <v>30730.0</v>
      </c>
      <c r="Q766" s="1" t="s">
        <v>96</v>
      </c>
      <c r="R766" s="1" t="s">
        <v>76</v>
      </c>
      <c r="S766" s="6">
        <v>1984.0</v>
      </c>
      <c r="T766" s="6">
        <v>2.0</v>
      </c>
      <c r="U766" s="1" t="s">
        <v>117</v>
      </c>
      <c r="V766" s="1" t="s">
        <v>118</v>
      </c>
      <c r="W766" s="6">
        <v>18.0</v>
      </c>
      <c r="X766" s="1" t="s">
        <v>56</v>
      </c>
      <c r="Y766" s="1" t="s">
        <v>57</v>
      </c>
      <c r="Z766" s="6">
        <v>33.46</v>
      </c>
      <c r="AA766" s="6">
        <v>96974.0</v>
      </c>
      <c r="AB766" s="10">
        <v>0.22</v>
      </c>
      <c r="AC766" s="1" t="s">
        <v>7840</v>
      </c>
      <c r="AD766" s="1" t="s">
        <v>7841</v>
      </c>
      <c r="AE766" s="1" t="s">
        <v>7842</v>
      </c>
      <c r="AF766" s="1" t="s">
        <v>84</v>
      </c>
      <c r="AG766" s="1" t="s">
        <v>7842</v>
      </c>
      <c r="AH766" s="1" t="s">
        <v>488</v>
      </c>
      <c r="AI766" s="6">
        <v>32767.0</v>
      </c>
      <c r="AJ766" s="1" t="s">
        <v>106</v>
      </c>
      <c r="AK766" s="1" t="s">
        <v>7843</v>
      </c>
      <c r="AL766" s="1" t="s">
        <v>7844</v>
      </c>
      <c r="AM766" s="11" t="str">
        <f>VLOOKUP(N766,Sheet3!$B$4:$C$10,2,1)</f>
        <v>51-60</v>
      </c>
      <c r="AN766" s="13" t="str">
        <f>VLOOKUP(Z766,Sheet3!$F$4:$G$10,2,1)</f>
        <v>31-40</v>
      </c>
      <c r="AO766" s="5" t="str">
        <f>VLOOKUP(AA766,Sheet3!$I$3:$J$16,2,1)</f>
        <v>80000-100000</v>
      </c>
      <c r="AP766" s="5" t="str">
        <f>VLOOKUP(AB766,Sheet3!$L$4:$M$14,2,1)</f>
        <v>21% - 25%</v>
      </c>
    </row>
    <row r="767">
      <c r="A767" s="6">
        <v>891083.0</v>
      </c>
      <c r="B767" s="1" t="s">
        <v>255</v>
      </c>
      <c r="C767" s="1" t="s">
        <v>7050</v>
      </c>
      <c r="D767" s="1" t="s">
        <v>68</v>
      </c>
      <c r="E767" s="1" t="s">
        <v>5948</v>
      </c>
      <c r="F767" s="1" t="s">
        <v>70</v>
      </c>
      <c r="G767" s="1" t="s">
        <v>7845</v>
      </c>
      <c r="H767" s="1" t="s">
        <v>7398</v>
      </c>
      <c r="I767" s="1" t="s">
        <v>7846</v>
      </c>
      <c r="J767" s="1" t="s">
        <v>7847</v>
      </c>
      <c r="K767" s="1" t="s">
        <v>1390</v>
      </c>
      <c r="L767" s="9">
        <v>34843.0</v>
      </c>
      <c r="M767" s="8">
        <v>0.8431944444444445</v>
      </c>
      <c r="N767" s="6">
        <v>22.19</v>
      </c>
      <c r="O767" s="6">
        <v>61.0</v>
      </c>
      <c r="P767" s="14">
        <v>42623.0</v>
      </c>
      <c r="Q767" s="1" t="s">
        <v>308</v>
      </c>
      <c r="R767" s="1" t="s">
        <v>53</v>
      </c>
      <c r="S767" s="6">
        <v>2016.0</v>
      </c>
      <c r="T767" s="6">
        <v>9.0</v>
      </c>
      <c r="U767" s="1" t="s">
        <v>309</v>
      </c>
      <c r="V767" s="1" t="s">
        <v>310</v>
      </c>
      <c r="W767" s="6">
        <v>10.0</v>
      </c>
      <c r="X767" s="1" t="s">
        <v>56</v>
      </c>
      <c r="Y767" s="1" t="s">
        <v>57</v>
      </c>
      <c r="Z767" s="6">
        <v>0.88</v>
      </c>
      <c r="AA767" s="6">
        <v>57579.0</v>
      </c>
      <c r="AB767" s="10">
        <v>0.27</v>
      </c>
      <c r="AC767" s="1" t="s">
        <v>7848</v>
      </c>
      <c r="AD767" s="1" t="s">
        <v>7849</v>
      </c>
      <c r="AE767" s="1" t="s">
        <v>7850</v>
      </c>
      <c r="AF767" s="1" t="s">
        <v>6560</v>
      </c>
      <c r="AG767" s="1" t="s">
        <v>7850</v>
      </c>
      <c r="AH767" s="1" t="s">
        <v>1527</v>
      </c>
      <c r="AI767" s="6">
        <v>36587.0</v>
      </c>
      <c r="AJ767" s="1" t="s">
        <v>106</v>
      </c>
      <c r="AK767" s="1" t="s">
        <v>7851</v>
      </c>
      <c r="AL767" s="1" t="s">
        <v>7852</v>
      </c>
      <c r="AM767" s="11" t="str">
        <f>VLOOKUP(N767,Sheet3!$B$4:$C$10,2,1)</f>
        <v>21-30</v>
      </c>
      <c r="AN767" s="13" t="str">
        <f>VLOOKUP(Z767,Sheet3!$F$4:$G$10,2,1)</f>
        <v>&lt; 5</v>
      </c>
      <c r="AO767" s="5" t="str">
        <f>VLOOKUP(AA767,Sheet3!$I$3:$J$16,2,1)</f>
        <v>40000-60000</v>
      </c>
      <c r="AP767" s="5" t="str">
        <f>VLOOKUP(AB767,Sheet3!$L$4:$M$14,2,1)</f>
        <v>26% - 30%</v>
      </c>
    </row>
    <row r="768">
      <c r="A768" s="6">
        <v>654747.0</v>
      </c>
      <c r="B768" s="1" t="s">
        <v>227</v>
      </c>
      <c r="C768" s="1" t="s">
        <v>4171</v>
      </c>
      <c r="D768" s="1" t="s">
        <v>68</v>
      </c>
      <c r="E768" s="1" t="s">
        <v>2116</v>
      </c>
      <c r="F768" s="1" t="s">
        <v>70</v>
      </c>
      <c r="G768" s="1" t="s">
        <v>7853</v>
      </c>
      <c r="H768" s="1" t="s">
        <v>7398</v>
      </c>
      <c r="I768" s="1" t="s">
        <v>7854</v>
      </c>
      <c r="J768" s="1" t="s">
        <v>7855</v>
      </c>
      <c r="K768" s="1" t="s">
        <v>1742</v>
      </c>
      <c r="L768" s="14">
        <v>34551.0</v>
      </c>
      <c r="M768" s="8">
        <v>0.7323263888888889</v>
      </c>
      <c r="N768" s="6">
        <v>22.99</v>
      </c>
      <c r="O768" s="6">
        <v>81.0</v>
      </c>
      <c r="P768" s="9">
        <v>42307.0</v>
      </c>
      <c r="Q768" s="1" t="s">
        <v>52</v>
      </c>
      <c r="R768" s="1" t="s">
        <v>53</v>
      </c>
      <c r="S768" s="6">
        <v>2015.0</v>
      </c>
      <c r="T768" s="6">
        <v>10.0</v>
      </c>
      <c r="U768" s="1" t="s">
        <v>133</v>
      </c>
      <c r="V768" s="1" t="s">
        <v>134</v>
      </c>
      <c r="W768" s="6">
        <v>30.0</v>
      </c>
      <c r="X768" s="1" t="s">
        <v>263</v>
      </c>
      <c r="Y768" s="1" t="s">
        <v>264</v>
      </c>
      <c r="Z768" s="6">
        <v>1.75</v>
      </c>
      <c r="AA768" s="6">
        <v>42553.0</v>
      </c>
      <c r="AB768" s="10">
        <v>0.19</v>
      </c>
      <c r="AC768" s="1" t="s">
        <v>7856</v>
      </c>
      <c r="AD768" s="1" t="s">
        <v>7857</v>
      </c>
      <c r="AE768" s="1" t="s">
        <v>271</v>
      </c>
      <c r="AF768" s="1" t="s">
        <v>1945</v>
      </c>
      <c r="AG768" s="1" t="s">
        <v>271</v>
      </c>
      <c r="AH768" s="1" t="s">
        <v>169</v>
      </c>
      <c r="AI768" s="6">
        <v>78702.0</v>
      </c>
      <c r="AJ768" s="1" t="s">
        <v>106</v>
      </c>
      <c r="AK768" s="1" t="s">
        <v>7858</v>
      </c>
      <c r="AL768" s="1" t="s">
        <v>7859</v>
      </c>
      <c r="AM768" s="11" t="str">
        <f>VLOOKUP(N768,Sheet3!$B$4:$C$10,2,1)</f>
        <v>21-30</v>
      </c>
      <c r="AN768" s="13" t="str">
        <f>VLOOKUP(Z768,Sheet3!$F$4:$G$10,2,1)</f>
        <v>&lt; 5</v>
      </c>
      <c r="AO768" s="5" t="str">
        <f>VLOOKUP(AA768,Sheet3!$I$3:$J$16,2,1)</f>
        <v>40000-60000</v>
      </c>
      <c r="AP768" s="5" t="str">
        <f>VLOOKUP(AB768,Sheet3!$L$4:$M$14,2,1)</f>
        <v>16% - 20%</v>
      </c>
    </row>
    <row r="769">
      <c r="A769" s="6">
        <v>778415.0</v>
      </c>
      <c r="B769" s="1" t="s">
        <v>42</v>
      </c>
      <c r="C769" s="1" t="s">
        <v>3721</v>
      </c>
      <c r="D769" s="1" t="s">
        <v>1300</v>
      </c>
      <c r="E769" s="1" t="s">
        <v>3621</v>
      </c>
      <c r="F769" s="1" t="s">
        <v>46</v>
      </c>
      <c r="G769" s="1" t="s">
        <v>7860</v>
      </c>
      <c r="H769" s="1" t="s">
        <v>7398</v>
      </c>
      <c r="I769" s="1" t="s">
        <v>7861</v>
      </c>
      <c r="J769" s="1" t="s">
        <v>7862</v>
      </c>
      <c r="K769" s="1" t="s">
        <v>5242</v>
      </c>
      <c r="L769" s="9">
        <v>22243.0</v>
      </c>
      <c r="M769" s="8">
        <v>0.7866319444444444</v>
      </c>
      <c r="N769" s="6">
        <v>56.72</v>
      </c>
      <c r="O769" s="6">
        <v>41.0</v>
      </c>
      <c r="P769" s="9">
        <v>32228.0</v>
      </c>
      <c r="Q769" s="1" t="s">
        <v>96</v>
      </c>
      <c r="R769" s="1" t="s">
        <v>76</v>
      </c>
      <c r="S769" s="6">
        <v>1988.0</v>
      </c>
      <c r="T769" s="6">
        <v>3.0</v>
      </c>
      <c r="U769" s="1" t="s">
        <v>97</v>
      </c>
      <c r="V769" s="1" t="s">
        <v>98</v>
      </c>
      <c r="W769" s="6">
        <v>26.0</v>
      </c>
      <c r="X769" s="1" t="s">
        <v>56</v>
      </c>
      <c r="Y769" s="1" t="s">
        <v>57</v>
      </c>
      <c r="Z769" s="6">
        <v>29.36</v>
      </c>
      <c r="AA769" s="6">
        <v>77269.0</v>
      </c>
      <c r="AB769" s="10">
        <v>0.03</v>
      </c>
      <c r="AC769" s="1" t="s">
        <v>7863</v>
      </c>
      <c r="AD769" s="1" t="s">
        <v>7864</v>
      </c>
      <c r="AE769" s="1" t="s">
        <v>7865</v>
      </c>
      <c r="AF769" s="1" t="s">
        <v>7866</v>
      </c>
      <c r="AG769" s="1" t="s">
        <v>7865</v>
      </c>
      <c r="AH769" s="1" t="s">
        <v>399</v>
      </c>
      <c r="AI769" s="6">
        <v>70543.0</v>
      </c>
      <c r="AJ769" s="1" t="s">
        <v>106</v>
      </c>
      <c r="AK769" s="1" t="s">
        <v>7867</v>
      </c>
      <c r="AL769" s="1" t="s">
        <v>7868</v>
      </c>
      <c r="AM769" s="11" t="str">
        <f>VLOOKUP(N769,Sheet3!$B$4:$C$10,2,1)</f>
        <v>51-60</v>
      </c>
      <c r="AN769" s="13" t="str">
        <f>VLOOKUP(Z769,Sheet3!$F$4:$G$10,2,1)</f>
        <v>21-30</v>
      </c>
      <c r="AO769" s="5" t="str">
        <f>VLOOKUP(AA769,Sheet3!$I$3:$J$16,2,1)</f>
        <v>60000-80000</v>
      </c>
      <c r="AP769" s="5" t="str">
        <f>VLOOKUP(AB769,Sheet3!$L$4:$M$14,2,1)</f>
        <v>&lt; 5%</v>
      </c>
    </row>
    <row r="770">
      <c r="A770" s="6">
        <v>996768.0</v>
      </c>
      <c r="B770" s="1" t="s">
        <v>66</v>
      </c>
      <c r="C770" s="1" t="s">
        <v>4090</v>
      </c>
      <c r="D770" s="1" t="s">
        <v>288</v>
      </c>
      <c r="E770" s="1" t="s">
        <v>143</v>
      </c>
      <c r="F770" s="1" t="s">
        <v>70</v>
      </c>
      <c r="G770" s="1" t="s">
        <v>7869</v>
      </c>
      <c r="H770" s="1" t="s">
        <v>7398</v>
      </c>
      <c r="I770" s="1" t="s">
        <v>7870</v>
      </c>
      <c r="J770" s="1" t="s">
        <v>7871</v>
      </c>
      <c r="K770" s="1" t="s">
        <v>4458</v>
      </c>
      <c r="L770" s="9">
        <v>30707.0</v>
      </c>
      <c r="M770" s="8">
        <v>0.12344907407407407</v>
      </c>
      <c r="N770" s="6">
        <v>33.53</v>
      </c>
      <c r="O770" s="6">
        <v>54.0</v>
      </c>
      <c r="P770" s="9">
        <v>41881.0</v>
      </c>
      <c r="Q770" s="1" t="s">
        <v>308</v>
      </c>
      <c r="R770" s="1" t="s">
        <v>53</v>
      </c>
      <c r="S770" s="6">
        <v>2014.0</v>
      </c>
      <c r="T770" s="6">
        <v>8.0</v>
      </c>
      <c r="U770" s="1" t="s">
        <v>433</v>
      </c>
      <c r="V770" s="1" t="s">
        <v>434</v>
      </c>
      <c r="W770" s="6">
        <v>30.0</v>
      </c>
      <c r="X770" s="1" t="s">
        <v>56</v>
      </c>
      <c r="Y770" s="1" t="s">
        <v>57</v>
      </c>
      <c r="Z770" s="6">
        <v>2.91</v>
      </c>
      <c r="AA770" s="6">
        <v>114205.0</v>
      </c>
      <c r="AB770" s="10">
        <v>0.03</v>
      </c>
      <c r="AC770" s="1" t="s">
        <v>7872</v>
      </c>
      <c r="AD770" s="1" t="s">
        <v>7873</v>
      </c>
      <c r="AE770" s="1" t="s">
        <v>7874</v>
      </c>
      <c r="AF770" s="1" t="s">
        <v>7875</v>
      </c>
      <c r="AG770" s="1" t="s">
        <v>7874</v>
      </c>
      <c r="AH770" s="1" t="s">
        <v>399</v>
      </c>
      <c r="AI770" s="6">
        <v>71452.0</v>
      </c>
      <c r="AJ770" s="1" t="s">
        <v>106</v>
      </c>
      <c r="AK770" s="1" t="s">
        <v>7876</v>
      </c>
      <c r="AL770" s="1" t="s">
        <v>7877</v>
      </c>
      <c r="AM770" s="11" t="str">
        <f>VLOOKUP(N770,Sheet3!$B$4:$C$10,2,1)</f>
        <v>31-40</v>
      </c>
      <c r="AN770" s="13" t="str">
        <f>VLOOKUP(Z770,Sheet3!$F$4:$G$10,2,1)</f>
        <v>&lt; 5</v>
      </c>
      <c r="AO770" s="5" t="str">
        <f>VLOOKUP(AA770,Sheet3!$I$3:$J$16,2,1)</f>
        <v>100000-120000</v>
      </c>
      <c r="AP770" s="5" t="str">
        <f>VLOOKUP(AB770,Sheet3!$L$4:$M$14,2,1)</f>
        <v>&lt; 5%</v>
      </c>
    </row>
    <row r="771">
      <c r="A771" s="6">
        <v>295864.0</v>
      </c>
      <c r="B771" s="1" t="s">
        <v>66</v>
      </c>
      <c r="C771" s="1" t="s">
        <v>2770</v>
      </c>
      <c r="D771" s="1" t="s">
        <v>111</v>
      </c>
      <c r="E771" s="1" t="s">
        <v>1444</v>
      </c>
      <c r="F771" s="1" t="s">
        <v>70</v>
      </c>
      <c r="G771" s="1" t="s">
        <v>7878</v>
      </c>
      <c r="H771" s="1" t="s">
        <v>7398</v>
      </c>
      <c r="I771" s="1" t="s">
        <v>7879</v>
      </c>
      <c r="J771" s="1" t="s">
        <v>7880</v>
      </c>
      <c r="K771" s="1" t="s">
        <v>1884</v>
      </c>
      <c r="L771" s="9">
        <v>34081.0</v>
      </c>
      <c r="M771" s="8">
        <v>0.7625462962962963</v>
      </c>
      <c r="N771" s="6">
        <v>24.28</v>
      </c>
      <c r="O771" s="6">
        <v>69.0</v>
      </c>
      <c r="P771" s="9">
        <v>42543.0</v>
      </c>
      <c r="Q771" s="1" t="s">
        <v>75</v>
      </c>
      <c r="R771" s="1" t="s">
        <v>76</v>
      </c>
      <c r="S771" s="6">
        <v>2016.0</v>
      </c>
      <c r="T771" s="6">
        <v>6.0</v>
      </c>
      <c r="U771" s="1" t="s">
        <v>324</v>
      </c>
      <c r="V771" s="1" t="s">
        <v>325</v>
      </c>
      <c r="W771" s="6">
        <v>22.0</v>
      </c>
      <c r="X771" s="1" t="s">
        <v>278</v>
      </c>
      <c r="Y771" s="1" t="s">
        <v>279</v>
      </c>
      <c r="Z771" s="6">
        <v>1.1</v>
      </c>
      <c r="AA771" s="6">
        <v>50146.0</v>
      </c>
      <c r="AB771" s="10">
        <v>0.22</v>
      </c>
      <c r="AC771" s="1" t="s">
        <v>7881</v>
      </c>
      <c r="AD771" s="1" t="s">
        <v>7882</v>
      </c>
      <c r="AE771" s="1" t="s">
        <v>7883</v>
      </c>
      <c r="AF771" s="1" t="s">
        <v>7884</v>
      </c>
      <c r="AG771" s="1" t="s">
        <v>7883</v>
      </c>
      <c r="AH771" s="1" t="s">
        <v>488</v>
      </c>
      <c r="AI771" s="6">
        <v>34606.0</v>
      </c>
      <c r="AJ771" s="1" t="s">
        <v>106</v>
      </c>
      <c r="AK771" s="1" t="s">
        <v>7885</v>
      </c>
      <c r="AL771" s="1" t="s">
        <v>7886</v>
      </c>
      <c r="AM771" s="11" t="str">
        <f>VLOOKUP(N771,Sheet3!$B$4:$C$10,2,1)</f>
        <v>21-30</v>
      </c>
      <c r="AN771" s="13" t="str">
        <f>VLOOKUP(Z771,Sheet3!$F$4:$G$10,2,1)</f>
        <v>&lt; 5</v>
      </c>
      <c r="AO771" s="5" t="str">
        <f>VLOOKUP(AA771,Sheet3!$I$3:$J$16,2,1)</f>
        <v>40000-60000</v>
      </c>
      <c r="AP771" s="5" t="str">
        <f>VLOOKUP(AB771,Sheet3!$L$4:$M$14,2,1)</f>
        <v>21% - 25%</v>
      </c>
    </row>
    <row r="772">
      <c r="A772" s="6">
        <v>924999.0</v>
      </c>
      <c r="B772" s="1" t="s">
        <v>66</v>
      </c>
      <c r="C772" s="1" t="s">
        <v>7887</v>
      </c>
      <c r="D772" s="1" t="s">
        <v>318</v>
      </c>
      <c r="E772" s="1" t="s">
        <v>837</v>
      </c>
      <c r="F772" s="1" t="s">
        <v>70</v>
      </c>
      <c r="G772" s="1" t="s">
        <v>7888</v>
      </c>
      <c r="H772" s="1" t="s">
        <v>7398</v>
      </c>
      <c r="I772" s="1" t="s">
        <v>7889</v>
      </c>
      <c r="J772" s="1" t="s">
        <v>7890</v>
      </c>
      <c r="K772" s="1" t="s">
        <v>5898</v>
      </c>
      <c r="L772" s="14">
        <v>28491.0</v>
      </c>
      <c r="M772" s="8">
        <v>0.7270833333333333</v>
      </c>
      <c r="N772" s="6">
        <v>39.6</v>
      </c>
      <c r="O772" s="6">
        <v>84.0</v>
      </c>
      <c r="P772" s="9">
        <v>40022.0</v>
      </c>
      <c r="Q772" s="1" t="s">
        <v>308</v>
      </c>
      <c r="R772" s="1" t="s">
        <v>53</v>
      </c>
      <c r="S772" s="6">
        <v>2009.0</v>
      </c>
      <c r="T772" s="6">
        <v>7.0</v>
      </c>
      <c r="U772" s="1" t="s">
        <v>366</v>
      </c>
      <c r="V772" s="1" t="s">
        <v>367</v>
      </c>
      <c r="W772" s="6">
        <v>28.0</v>
      </c>
      <c r="X772" s="1" t="s">
        <v>79</v>
      </c>
      <c r="Y772" s="1" t="s">
        <v>80</v>
      </c>
      <c r="Z772" s="6">
        <v>8.01</v>
      </c>
      <c r="AA772" s="6">
        <v>132077.0</v>
      </c>
      <c r="AB772" s="10">
        <v>0.05</v>
      </c>
      <c r="AC772" s="1" t="s">
        <v>7891</v>
      </c>
      <c r="AD772" s="1" t="s">
        <v>7892</v>
      </c>
      <c r="AE772" s="1" t="s">
        <v>2770</v>
      </c>
      <c r="AF772" s="1" t="s">
        <v>7893</v>
      </c>
      <c r="AG772" s="1" t="s">
        <v>2770</v>
      </c>
      <c r="AH772" s="1" t="s">
        <v>974</v>
      </c>
      <c r="AI772" s="6">
        <v>44181.0</v>
      </c>
      <c r="AJ772" s="1" t="s">
        <v>86</v>
      </c>
      <c r="AK772" s="1" t="s">
        <v>7894</v>
      </c>
      <c r="AL772" s="1" t="s">
        <v>7895</v>
      </c>
      <c r="AM772" s="11" t="str">
        <f>VLOOKUP(N772,Sheet3!$B$4:$C$10,2,1)</f>
        <v>31-40</v>
      </c>
      <c r="AN772" s="12" t="str">
        <f>VLOOKUP(Z772,Sheet3!$F$4:$G$10,2,1)</f>
        <v>5-10</v>
      </c>
      <c r="AO772" s="5" t="str">
        <f>VLOOKUP(AA772,Sheet3!$I$3:$J$16,2,1)</f>
        <v>120000-140000</v>
      </c>
      <c r="AP772" s="5" t="str">
        <f>VLOOKUP(AB772,Sheet3!$L$4:$M$14,2,1)</f>
        <v>5% - 10%</v>
      </c>
    </row>
    <row r="773">
      <c r="A773" s="6">
        <v>291663.0</v>
      </c>
      <c r="B773" s="1" t="s">
        <v>66</v>
      </c>
      <c r="C773" s="1" t="s">
        <v>7896</v>
      </c>
      <c r="D773" s="1" t="s">
        <v>683</v>
      </c>
      <c r="E773" s="1" t="s">
        <v>7897</v>
      </c>
      <c r="F773" s="1" t="s">
        <v>70</v>
      </c>
      <c r="G773" s="1" t="s">
        <v>7898</v>
      </c>
      <c r="H773" s="1" t="s">
        <v>7398</v>
      </c>
      <c r="I773" s="1" t="s">
        <v>7899</v>
      </c>
      <c r="J773" s="1" t="s">
        <v>7900</v>
      </c>
      <c r="K773" s="1" t="s">
        <v>7901</v>
      </c>
      <c r="L773" s="14">
        <v>31778.0</v>
      </c>
      <c r="M773" s="8">
        <v>0.7477430555555555</v>
      </c>
      <c r="N773" s="6">
        <v>30.59</v>
      </c>
      <c r="O773" s="6">
        <v>80.0</v>
      </c>
      <c r="P773" s="9">
        <v>41779.0</v>
      </c>
      <c r="Q773" s="1" t="s">
        <v>75</v>
      </c>
      <c r="R773" s="1" t="s">
        <v>76</v>
      </c>
      <c r="S773" s="6">
        <v>2014.0</v>
      </c>
      <c r="T773" s="6">
        <v>5.0</v>
      </c>
      <c r="U773" s="1" t="s">
        <v>294</v>
      </c>
      <c r="V773" s="1" t="s">
        <v>294</v>
      </c>
      <c r="W773" s="6">
        <v>20.0</v>
      </c>
      <c r="X773" s="1" t="s">
        <v>79</v>
      </c>
      <c r="Y773" s="1" t="s">
        <v>80</v>
      </c>
      <c r="Z773" s="6">
        <v>3.19</v>
      </c>
      <c r="AA773" s="6">
        <v>127017.0</v>
      </c>
      <c r="AB773" s="10">
        <v>0.18</v>
      </c>
      <c r="AC773" s="1" t="s">
        <v>7902</v>
      </c>
      <c r="AD773" s="1" t="s">
        <v>7903</v>
      </c>
      <c r="AE773" s="1" t="s">
        <v>7904</v>
      </c>
      <c r="AF773" s="1" t="s">
        <v>371</v>
      </c>
      <c r="AG773" s="1" t="s">
        <v>7904</v>
      </c>
      <c r="AH773" s="1" t="s">
        <v>439</v>
      </c>
      <c r="AI773" s="6">
        <v>4637.0</v>
      </c>
      <c r="AJ773" s="1" t="s">
        <v>224</v>
      </c>
      <c r="AK773" s="1" t="s">
        <v>7905</v>
      </c>
      <c r="AL773" s="1" t="s">
        <v>7906</v>
      </c>
      <c r="AM773" s="11" t="str">
        <f>VLOOKUP(N773,Sheet3!$B$4:$C$10,2,1)</f>
        <v>21-30</v>
      </c>
      <c r="AN773" s="13" t="str">
        <f>VLOOKUP(Z773,Sheet3!$F$4:$G$10,2,1)</f>
        <v>&lt; 5</v>
      </c>
      <c r="AO773" s="5" t="str">
        <f>VLOOKUP(AA773,Sheet3!$I$3:$J$16,2,1)</f>
        <v>120000-140000</v>
      </c>
      <c r="AP773" s="5" t="str">
        <f>VLOOKUP(AB773,Sheet3!$L$4:$M$14,2,1)</f>
        <v>16% - 20%</v>
      </c>
    </row>
    <row r="774">
      <c r="A774" s="6">
        <v>818352.0</v>
      </c>
      <c r="B774" s="1" t="s">
        <v>42</v>
      </c>
      <c r="C774" s="1" t="s">
        <v>7907</v>
      </c>
      <c r="D774" s="1" t="s">
        <v>334</v>
      </c>
      <c r="E774" s="1" t="s">
        <v>7543</v>
      </c>
      <c r="F774" s="1" t="s">
        <v>46</v>
      </c>
      <c r="G774" s="1" t="s">
        <v>7908</v>
      </c>
      <c r="H774" s="1" t="s">
        <v>7398</v>
      </c>
      <c r="I774" s="1" t="s">
        <v>7909</v>
      </c>
      <c r="J774" s="1" t="s">
        <v>7910</v>
      </c>
      <c r="K774" s="1" t="s">
        <v>3303</v>
      </c>
      <c r="L774" s="14">
        <v>24114.0</v>
      </c>
      <c r="M774" s="8">
        <v>0.1804976851851852</v>
      </c>
      <c r="N774" s="6">
        <v>51.59</v>
      </c>
      <c r="O774" s="6">
        <v>54.0</v>
      </c>
      <c r="P774" s="14">
        <v>38965.0</v>
      </c>
      <c r="Q774" s="1" t="s">
        <v>308</v>
      </c>
      <c r="R774" s="1" t="s">
        <v>53</v>
      </c>
      <c r="S774" s="6">
        <v>2006.0</v>
      </c>
      <c r="T774" s="6">
        <v>9.0</v>
      </c>
      <c r="U774" s="1" t="s">
        <v>309</v>
      </c>
      <c r="V774" s="1" t="s">
        <v>310</v>
      </c>
      <c r="W774" s="6">
        <v>5.0</v>
      </c>
      <c r="X774" s="1" t="s">
        <v>79</v>
      </c>
      <c r="Y774" s="1" t="s">
        <v>80</v>
      </c>
      <c r="Z774" s="6">
        <v>10.9</v>
      </c>
      <c r="AA774" s="6">
        <v>170000.0</v>
      </c>
      <c r="AB774" s="10">
        <v>0.18</v>
      </c>
      <c r="AC774" s="1" t="s">
        <v>7911</v>
      </c>
      <c r="AD774" s="1" t="s">
        <v>7912</v>
      </c>
      <c r="AE774" s="1" t="s">
        <v>7913</v>
      </c>
      <c r="AF774" s="1" t="s">
        <v>7914</v>
      </c>
      <c r="AG774" s="1" t="s">
        <v>7913</v>
      </c>
      <c r="AH774" s="1" t="s">
        <v>893</v>
      </c>
      <c r="AI774" s="6">
        <v>28610.0</v>
      </c>
      <c r="AJ774" s="1" t="s">
        <v>106</v>
      </c>
      <c r="AK774" s="1" t="s">
        <v>7915</v>
      </c>
      <c r="AL774" s="1" t="s">
        <v>7916</v>
      </c>
      <c r="AM774" s="11" t="str">
        <f>VLOOKUP(N774,Sheet3!$B$4:$C$10,2,1)</f>
        <v>51-60</v>
      </c>
      <c r="AN774" s="12" t="str">
        <f>VLOOKUP(Z774,Sheet3!$F$4:$G$10,2,1)</f>
        <v>5-10</v>
      </c>
      <c r="AO774" s="5" t="str">
        <f>VLOOKUP(AA774,Sheet3!$I$3:$J$16,2,1)</f>
        <v>160000-180000</v>
      </c>
      <c r="AP774" s="5" t="str">
        <f>VLOOKUP(AB774,Sheet3!$L$4:$M$14,2,1)</f>
        <v>16% - 20%</v>
      </c>
    </row>
    <row r="775">
      <c r="A775" s="6">
        <v>636018.0</v>
      </c>
      <c r="B775" s="1" t="s">
        <v>109</v>
      </c>
      <c r="C775" s="1" t="s">
        <v>2677</v>
      </c>
      <c r="D775" s="1" t="s">
        <v>46</v>
      </c>
      <c r="E775" s="1" t="s">
        <v>5030</v>
      </c>
      <c r="F775" s="1" t="s">
        <v>46</v>
      </c>
      <c r="G775" s="1" t="s">
        <v>7917</v>
      </c>
      <c r="H775" s="1" t="s">
        <v>7398</v>
      </c>
      <c r="I775" s="1" t="s">
        <v>7918</v>
      </c>
      <c r="J775" s="1" t="s">
        <v>7919</v>
      </c>
      <c r="K775" s="1" t="s">
        <v>3918</v>
      </c>
      <c r="L775" s="14">
        <v>25700.0</v>
      </c>
      <c r="M775" s="8">
        <v>0.3079398148148148</v>
      </c>
      <c r="N775" s="6">
        <v>47.24</v>
      </c>
      <c r="O775" s="6">
        <v>44.0</v>
      </c>
      <c r="P775" s="9">
        <v>41148.0</v>
      </c>
      <c r="Q775" s="1" t="s">
        <v>308</v>
      </c>
      <c r="R775" s="1" t="s">
        <v>53</v>
      </c>
      <c r="S775" s="6">
        <v>2012.0</v>
      </c>
      <c r="T775" s="6">
        <v>8.0</v>
      </c>
      <c r="U775" s="1" t="s">
        <v>433</v>
      </c>
      <c r="V775" s="1" t="s">
        <v>434</v>
      </c>
      <c r="W775" s="6">
        <v>27.0</v>
      </c>
      <c r="X775" s="1" t="s">
        <v>99</v>
      </c>
      <c r="Y775" s="1" t="s">
        <v>100</v>
      </c>
      <c r="Z775" s="6">
        <v>4.92</v>
      </c>
      <c r="AA775" s="6">
        <v>107644.0</v>
      </c>
      <c r="AB775" s="10">
        <v>0.19</v>
      </c>
      <c r="AC775" s="1" t="s">
        <v>7920</v>
      </c>
      <c r="AD775" s="1" t="s">
        <v>7921</v>
      </c>
      <c r="AE775" s="1" t="s">
        <v>3872</v>
      </c>
      <c r="AF775" s="1" t="s">
        <v>6408</v>
      </c>
      <c r="AG775" s="1" t="s">
        <v>3872</v>
      </c>
      <c r="AH775" s="1" t="s">
        <v>299</v>
      </c>
      <c r="AI775" s="6">
        <v>73706.0</v>
      </c>
      <c r="AJ775" s="1" t="s">
        <v>106</v>
      </c>
      <c r="AK775" s="1" t="s">
        <v>7922</v>
      </c>
      <c r="AL775" s="1" t="s">
        <v>7923</v>
      </c>
      <c r="AM775" s="11" t="str">
        <f>VLOOKUP(N775,Sheet3!$B$4:$C$10,2,1)</f>
        <v>41-50</v>
      </c>
      <c r="AN775" s="13" t="str">
        <f>VLOOKUP(Z775,Sheet3!$F$4:$G$10,2,1)</f>
        <v>&lt; 5</v>
      </c>
      <c r="AO775" s="5" t="str">
        <f>VLOOKUP(AA775,Sheet3!$I$3:$J$16,2,1)</f>
        <v>100000-120000</v>
      </c>
      <c r="AP775" s="5" t="str">
        <f>VLOOKUP(AB775,Sheet3!$L$4:$M$14,2,1)</f>
        <v>16% - 20%</v>
      </c>
    </row>
    <row r="776">
      <c r="A776" s="6">
        <v>712045.0</v>
      </c>
      <c r="B776" s="1" t="s">
        <v>125</v>
      </c>
      <c r="C776" s="1" t="s">
        <v>7924</v>
      </c>
      <c r="D776" s="1" t="s">
        <v>200</v>
      </c>
      <c r="E776" s="1" t="s">
        <v>5253</v>
      </c>
      <c r="F776" s="1" t="s">
        <v>46</v>
      </c>
      <c r="G776" s="1" t="s">
        <v>7925</v>
      </c>
      <c r="H776" s="1" t="s">
        <v>7398</v>
      </c>
      <c r="I776" s="1" t="s">
        <v>7926</v>
      </c>
      <c r="J776" s="1" t="s">
        <v>7927</v>
      </c>
      <c r="K776" s="1" t="s">
        <v>4516</v>
      </c>
      <c r="L776" s="9">
        <v>27256.0</v>
      </c>
      <c r="M776" s="8">
        <v>0.43679398148148146</v>
      </c>
      <c r="N776" s="6">
        <v>42.98</v>
      </c>
      <c r="O776" s="6">
        <v>55.0</v>
      </c>
      <c r="P776" s="9">
        <v>37024.0</v>
      </c>
      <c r="Q776" s="1" t="s">
        <v>75</v>
      </c>
      <c r="R776" s="1" t="s">
        <v>76</v>
      </c>
      <c r="S776" s="6">
        <v>2001.0</v>
      </c>
      <c r="T776" s="6">
        <v>5.0</v>
      </c>
      <c r="U776" s="1" t="s">
        <v>294</v>
      </c>
      <c r="V776" s="1" t="s">
        <v>294</v>
      </c>
      <c r="W776" s="6">
        <v>13.0</v>
      </c>
      <c r="X776" s="1" t="s">
        <v>534</v>
      </c>
      <c r="Y776" s="1" t="s">
        <v>535</v>
      </c>
      <c r="Z776" s="6">
        <v>16.22</v>
      </c>
      <c r="AA776" s="6">
        <v>124937.0</v>
      </c>
      <c r="AB776" s="10">
        <v>0.21</v>
      </c>
      <c r="AC776" s="1" t="s">
        <v>7928</v>
      </c>
      <c r="AD776" s="1" t="s">
        <v>7929</v>
      </c>
      <c r="AE776" s="1" t="s">
        <v>7930</v>
      </c>
      <c r="AF776" s="1" t="s">
        <v>7931</v>
      </c>
      <c r="AG776" s="1" t="s">
        <v>7930</v>
      </c>
      <c r="AH776" s="1" t="s">
        <v>139</v>
      </c>
      <c r="AI776" s="6">
        <v>99730.0</v>
      </c>
      <c r="AJ776" s="1" t="s">
        <v>63</v>
      </c>
      <c r="AK776" s="1" t="s">
        <v>7932</v>
      </c>
      <c r="AL776" s="1" t="s">
        <v>7933</v>
      </c>
      <c r="AM776" s="11" t="str">
        <f>VLOOKUP(N776,Sheet3!$B$4:$C$10,2,1)</f>
        <v>41-50</v>
      </c>
      <c r="AN776" s="12" t="str">
        <f>VLOOKUP(Z776,Sheet3!$F$4:$G$10,2,1)</f>
        <v>11-20</v>
      </c>
      <c r="AO776" s="5" t="str">
        <f>VLOOKUP(AA776,Sheet3!$I$3:$J$16,2,1)</f>
        <v>120000-140000</v>
      </c>
      <c r="AP776" s="5" t="str">
        <f>VLOOKUP(AB776,Sheet3!$L$4:$M$14,2,1)</f>
        <v>21% - 25%</v>
      </c>
    </row>
    <row r="777">
      <c r="A777" s="6">
        <v>507999.0</v>
      </c>
      <c r="B777" s="1" t="s">
        <v>42</v>
      </c>
      <c r="C777" s="1" t="s">
        <v>7934</v>
      </c>
      <c r="D777" s="1" t="s">
        <v>288</v>
      </c>
      <c r="E777" s="1" t="s">
        <v>7935</v>
      </c>
      <c r="F777" s="1" t="s">
        <v>46</v>
      </c>
      <c r="G777" s="1" t="s">
        <v>7936</v>
      </c>
      <c r="H777" s="1" t="s">
        <v>7398</v>
      </c>
      <c r="I777" s="1" t="s">
        <v>7937</v>
      </c>
      <c r="J777" s="1" t="s">
        <v>7938</v>
      </c>
      <c r="K777" s="1" t="s">
        <v>5723</v>
      </c>
      <c r="L777" s="9">
        <v>33571.0</v>
      </c>
      <c r="M777" s="8">
        <v>0.46858796296296296</v>
      </c>
      <c r="N777" s="6">
        <v>25.68</v>
      </c>
      <c r="O777" s="6">
        <v>59.0</v>
      </c>
      <c r="P777" s="9">
        <v>41540.0</v>
      </c>
      <c r="Q777" s="1" t="s">
        <v>308</v>
      </c>
      <c r="R777" s="1" t="s">
        <v>53</v>
      </c>
      <c r="S777" s="6">
        <v>2013.0</v>
      </c>
      <c r="T777" s="6">
        <v>9.0</v>
      </c>
      <c r="U777" s="1" t="s">
        <v>309</v>
      </c>
      <c r="V777" s="1" t="s">
        <v>310</v>
      </c>
      <c r="W777" s="6">
        <v>23.0</v>
      </c>
      <c r="X777" s="1" t="s">
        <v>99</v>
      </c>
      <c r="Y777" s="1" t="s">
        <v>100</v>
      </c>
      <c r="Z777" s="6">
        <v>3.85</v>
      </c>
      <c r="AA777" s="6">
        <v>172384.0</v>
      </c>
      <c r="AB777" s="10">
        <v>0.12</v>
      </c>
      <c r="AC777" s="1" t="s">
        <v>7939</v>
      </c>
      <c r="AD777" s="1" t="s">
        <v>7940</v>
      </c>
      <c r="AE777" s="1" t="s">
        <v>7941</v>
      </c>
      <c r="AF777" s="1" t="s">
        <v>1244</v>
      </c>
      <c r="AG777" s="1" t="s">
        <v>7941</v>
      </c>
      <c r="AH777" s="1" t="s">
        <v>156</v>
      </c>
      <c r="AI777" s="6">
        <v>22949.0</v>
      </c>
      <c r="AJ777" s="1" t="s">
        <v>106</v>
      </c>
      <c r="AK777" s="1" t="s">
        <v>7942</v>
      </c>
      <c r="AL777" s="1" t="s">
        <v>7943</v>
      </c>
      <c r="AM777" s="11" t="str">
        <f>VLOOKUP(N777,Sheet3!$B$4:$C$10,2,1)</f>
        <v>21-30</v>
      </c>
      <c r="AN777" s="13" t="str">
        <f>VLOOKUP(Z777,Sheet3!$F$4:$G$10,2,1)</f>
        <v>&lt; 5</v>
      </c>
      <c r="AO777" s="5" t="str">
        <f>VLOOKUP(AA777,Sheet3!$I$3:$J$16,2,1)</f>
        <v>160000-180000</v>
      </c>
      <c r="AP777" s="5" t="str">
        <f>VLOOKUP(AB777,Sheet3!$L$4:$M$14,2,1)</f>
        <v>11% - 15%</v>
      </c>
    </row>
    <row r="778">
      <c r="A778" s="6">
        <v>770255.0</v>
      </c>
      <c r="B778" s="1" t="s">
        <v>125</v>
      </c>
      <c r="C778" s="1" t="s">
        <v>7944</v>
      </c>
      <c r="D778" s="1" t="s">
        <v>466</v>
      </c>
      <c r="E778" s="1" t="s">
        <v>7945</v>
      </c>
      <c r="F778" s="1" t="s">
        <v>46</v>
      </c>
      <c r="G778" s="1" t="s">
        <v>7946</v>
      </c>
      <c r="H778" s="1" t="s">
        <v>7398</v>
      </c>
      <c r="I778" s="1" t="s">
        <v>7947</v>
      </c>
      <c r="J778" s="1" t="s">
        <v>7948</v>
      </c>
      <c r="K778" s="1" t="s">
        <v>454</v>
      </c>
      <c r="L778" s="14">
        <v>28369.0</v>
      </c>
      <c r="M778" s="8">
        <v>0.13260416666666666</v>
      </c>
      <c r="N778" s="6">
        <v>39.93</v>
      </c>
      <c r="O778" s="6">
        <v>42.0</v>
      </c>
      <c r="P778" s="9">
        <v>41213.0</v>
      </c>
      <c r="Q778" s="1" t="s">
        <v>52</v>
      </c>
      <c r="R778" s="1" t="s">
        <v>53</v>
      </c>
      <c r="S778" s="6">
        <v>2012.0</v>
      </c>
      <c r="T778" s="6">
        <v>10.0</v>
      </c>
      <c r="U778" s="1" t="s">
        <v>133</v>
      </c>
      <c r="V778" s="1" t="s">
        <v>134</v>
      </c>
      <c r="W778" s="6">
        <v>31.0</v>
      </c>
      <c r="X778" s="1" t="s">
        <v>278</v>
      </c>
      <c r="Y778" s="1" t="s">
        <v>279</v>
      </c>
      <c r="Z778" s="6">
        <v>4.74</v>
      </c>
      <c r="AA778" s="6">
        <v>162065.0</v>
      </c>
      <c r="AB778" s="10">
        <v>0.11</v>
      </c>
      <c r="AC778" s="1" t="s">
        <v>7949</v>
      </c>
      <c r="AD778" s="1" t="s">
        <v>7950</v>
      </c>
      <c r="AE778" s="1" t="s">
        <v>2016</v>
      </c>
      <c r="AF778" s="1" t="s">
        <v>1825</v>
      </c>
      <c r="AG778" s="1" t="s">
        <v>2016</v>
      </c>
      <c r="AH778" s="1" t="s">
        <v>488</v>
      </c>
      <c r="AI778" s="6">
        <v>33324.0</v>
      </c>
      <c r="AJ778" s="1" t="s">
        <v>106</v>
      </c>
      <c r="AK778" s="1" t="s">
        <v>7951</v>
      </c>
      <c r="AL778" s="1" t="s">
        <v>7952</v>
      </c>
      <c r="AM778" s="11" t="str">
        <f>VLOOKUP(N778,Sheet3!$B$4:$C$10,2,1)</f>
        <v>31-40</v>
      </c>
      <c r="AN778" s="13" t="str">
        <f>VLOOKUP(Z778,Sheet3!$F$4:$G$10,2,1)</f>
        <v>&lt; 5</v>
      </c>
      <c r="AO778" s="5" t="str">
        <f>VLOOKUP(AA778,Sheet3!$I$3:$J$16,2,1)</f>
        <v>160000-180000</v>
      </c>
      <c r="AP778" s="5" t="str">
        <f>VLOOKUP(AB778,Sheet3!$L$4:$M$14,2,1)</f>
        <v>11% - 15%</v>
      </c>
    </row>
    <row r="779">
      <c r="A779" s="6">
        <v>977573.0</v>
      </c>
      <c r="B779" s="1" t="s">
        <v>66</v>
      </c>
      <c r="C779" s="1" t="s">
        <v>7953</v>
      </c>
      <c r="D779" s="1" t="s">
        <v>1663</v>
      </c>
      <c r="E779" s="1" t="s">
        <v>7954</v>
      </c>
      <c r="F779" s="1" t="s">
        <v>70</v>
      </c>
      <c r="G779" s="1" t="s">
        <v>7955</v>
      </c>
      <c r="H779" s="1" t="s">
        <v>7398</v>
      </c>
      <c r="I779" s="1" t="s">
        <v>7956</v>
      </c>
      <c r="J779" s="1" t="s">
        <v>7957</v>
      </c>
      <c r="K779" s="1" t="s">
        <v>571</v>
      </c>
      <c r="L779" s="14">
        <v>28196.0</v>
      </c>
      <c r="M779" s="8">
        <v>0.21976851851851853</v>
      </c>
      <c r="N779" s="6">
        <v>40.41</v>
      </c>
      <c r="O779" s="6">
        <v>57.0</v>
      </c>
      <c r="P779" s="9">
        <v>38046.0</v>
      </c>
      <c r="Q779" s="1" t="s">
        <v>96</v>
      </c>
      <c r="R779" s="1" t="s">
        <v>76</v>
      </c>
      <c r="S779" s="6">
        <v>2004.0</v>
      </c>
      <c r="T779" s="6">
        <v>2.0</v>
      </c>
      <c r="U779" s="1" t="s">
        <v>117</v>
      </c>
      <c r="V779" s="1" t="s">
        <v>118</v>
      </c>
      <c r="W779" s="6">
        <v>29.0</v>
      </c>
      <c r="X779" s="1" t="s">
        <v>534</v>
      </c>
      <c r="Y779" s="1" t="s">
        <v>535</v>
      </c>
      <c r="Z779" s="6">
        <v>13.42</v>
      </c>
      <c r="AA779" s="6">
        <v>106956.0</v>
      </c>
      <c r="AB779" s="10">
        <v>0.05</v>
      </c>
      <c r="AC779" s="1" t="s">
        <v>7958</v>
      </c>
      <c r="AD779" s="1" t="s">
        <v>7959</v>
      </c>
      <c r="AE779" s="1" t="s">
        <v>2482</v>
      </c>
      <c r="AF779" s="1" t="s">
        <v>2482</v>
      </c>
      <c r="AG779" s="1" t="s">
        <v>2482</v>
      </c>
      <c r="AH779" s="1" t="s">
        <v>2483</v>
      </c>
      <c r="AI779" s="6">
        <v>29417.0</v>
      </c>
      <c r="AJ779" s="1" t="s">
        <v>106</v>
      </c>
      <c r="AK779" s="1" t="s">
        <v>7960</v>
      </c>
      <c r="AL779" s="1" t="s">
        <v>7961</v>
      </c>
      <c r="AM779" s="11" t="str">
        <f>VLOOKUP(N779,Sheet3!$B$4:$C$10,2,1)</f>
        <v>31-40</v>
      </c>
      <c r="AN779" s="12" t="str">
        <f>VLOOKUP(Z779,Sheet3!$F$4:$G$10,2,1)</f>
        <v>11-20</v>
      </c>
      <c r="AO779" s="5" t="str">
        <f>VLOOKUP(AA779,Sheet3!$I$3:$J$16,2,1)</f>
        <v>100000-120000</v>
      </c>
      <c r="AP779" s="5" t="str">
        <f>VLOOKUP(AB779,Sheet3!$L$4:$M$14,2,1)</f>
        <v>5% - 10%</v>
      </c>
    </row>
    <row r="780">
      <c r="A780" s="6">
        <v>206695.0</v>
      </c>
      <c r="B780" s="1" t="s">
        <v>109</v>
      </c>
      <c r="C780" s="1" t="s">
        <v>5037</v>
      </c>
      <c r="D780" s="1" t="s">
        <v>200</v>
      </c>
      <c r="E780" s="1" t="s">
        <v>711</v>
      </c>
      <c r="F780" s="1" t="s">
        <v>46</v>
      </c>
      <c r="G780" s="1" t="s">
        <v>7962</v>
      </c>
      <c r="H780" s="1" t="s">
        <v>7398</v>
      </c>
      <c r="I780" s="1" t="s">
        <v>7963</v>
      </c>
      <c r="J780" s="1" t="s">
        <v>7964</v>
      </c>
      <c r="K780" s="1" t="s">
        <v>3602</v>
      </c>
      <c r="L780" s="14">
        <v>26486.0</v>
      </c>
      <c r="M780" s="8">
        <v>0.04925925925925926</v>
      </c>
      <c r="N780" s="6">
        <v>45.09</v>
      </c>
      <c r="O780" s="6">
        <v>47.0</v>
      </c>
      <c r="P780" s="9">
        <v>39621.0</v>
      </c>
      <c r="Q780" s="1" t="s">
        <v>75</v>
      </c>
      <c r="R780" s="1" t="s">
        <v>76</v>
      </c>
      <c r="S780" s="6">
        <v>2008.0</v>
      </c>
      <c r="T780" s="6">
        <v>6.0</v>
      </c>
      <c r="U780" s="1" t="s">
        <v>324</v>
      </c>
      <c r="V780" s="1" t="s">
        <v>325</v>
      </c>
      <c r="W780" s="6">
        <v>22.0</v>
      </c>
      <c r="X780" s="1" t="s">
        <v>534</v>
      </c>
      <c r="Y780" s="1" t="s">
        <v>535</v>
      </c>
      <c r="Z780" s="6">
        <v>9.1</v>
      </c>
      <c r="AA780" s="6">
        <v>80478.0</v>
      </c>
      <c r="AB780" s="10">
        <v>0.22</v>
      </c>
      <c r="AC780" s="1" t="s">
        <v>7965</v>
      </c>
      <c r="AD780" s="1" t="s">
        <v>7966</v>
      </c>
      <c r="AE780" s="1" t="s">
        <v>7967</v>
      </c>
      <c r="AF780" s="1" t="s">
        <v>7550</v>
      </c>
      <c r="AG780" s="1" t="s">
        <v>7967</v>
      </c>
      <c r="AH780" s="1" t="s">
        <v>122</v>
      </c>
      <c r="AI780" s="6">
        <v>46617.0</v>
      </c>
      <c r="AJ780" s="1" t="s">
        <v>86</v>
      </c>
      <c r="AK780" s="1" t="s">
        <v>7968</v>
      </c>
      <c r="AL780" s="1" t="s">
        <v>7969</v>
      </c>
      <c r="AM780" s="11" t="str">
        <f>VLOOKUP(N780,Sheet3!$B$4:$C$10,2,1)</f>
        <v>41-50</v>
      </c>
      <c r="AN780" s="12" t="str">
        <f>VLOOKUP(Z780,Sheet3!$F$4:$G$10,2,1)</f>
        <v>5-10</v>
      </c>
      <c r="AO780" s="5" t="str">
        <f>VLOOKUP(AA780,Sheet3!$I$3:$J$16,2,1)</f>
        <v>80000-100000</v>
      </c>
      <c r="AP780" s="5" t="str">
        <f>VLOOKUP(AB780,Sheet3!$L$4:$M$14,2,1)</f>
        <v>21% - 25%</v>
      </c>
    </row>
    <row r="781">
      <c r="A781" s="6">
        <v>688327.0</v>
      </c>
      <c r="B781" s="1" t="s">
        <v>66</v>
      </c>
      <c r="C781" s="1" t="s">
        <v>6686</v>
      </c>
      <c r="D781" s="1" t="s">
        <v>683</v>
      </c>
      <c r="E781" s="1" t="s">
        <v>7970</v>
      </c>
      <c r="F781" s="1" t="s">
        <v>70</v>
      </c>
      <c r="G781" s="1" t="s">
        <v>7971</v>
      </c>
      <c r="H781" s="1" t="s">
        <v>7398</v>
      </c>
      <c r="I781" s="1" t="s">
        <v>7972</v>
      </c>
      <c r="J781" s="1" t="s">
        <v>7973</v>
      </c>
      <c r="K781" s="1" t="s">
        <v>2967</v>
      </c>
      <c r="L781" s="9">
        <v>31106.0</v>
      </c>
      <c r="M781" s="8">
        <v>0.13493055555555555</v>
      </c>
      <c r="N781" s="6">
        <v>32.43</v>
      </c>
      <c r="O781" s="6">
        <v>87.0</v>
      </c>
      <c r="P781" s="14">
        <v>40765.0</v>
      </c>
      <c r="Q781" s="1" t="s">
        <v>308</v>
      </c>
      <c r="R781" s="1" t="s">
        <v>53</v>
      </c>
      <c r="S781" s="6">
        <v>2011.0</v>
      </c>
      <c r="T781" s="6">
        <v>8.0</v>
      </c>
      <c r="U781" s="1" t="s">
        <v>433</v>
      </c>
      <c r="V781" s="1" t="s">
        <v>434</v>
      </c>
      <c r="W781" s="6">
        <v>10.0</v>
      </c>
      <c r="X781" s="1" t="s">
        <v>278</v>
      </c>
      <c r="Y781" s="1" t="s">
        <v>279</v>
      </c>
      <c r="Z781" s="6">
        <v>5.97</v>
      </c>
      <c r="AA781" s="6">
        <v>165331.0</v>
      </c>
      <c r="AB781" s="10">
        <v>0.25</v>
      </c>
      <c r="AC781" s="1" t="s">
        <v>7974</v>
      </c>
      <c r="AD781" s="1" t="s">
        <v>7975</v>
      </c>
      <c r="AE781" s="1" t="s">
        <v>7976</v>
      </c>
      <c r="AF781" s="1" t="s">
        <v>1791</v>
      </c>
      <c r="AG781" s="1" t="s">
        <v>7976</v>
      </c>
      <c r="AH781" s="1" t="s">
        <v>1505</v>
      </c>
      <c r="AI781" s="6">
        <v>55804.0</v>
      </c>
      <c r="AJ781" s="1" t="s">
        <v>86</v>
      </c>
      <c r="AK781" s="1" t="s">
        <v>7977</v>
      </c>
      <c r="AL781" s="1" t="s">
        <v>7978</v>
      </c>
      <c r="AM781" s="11" t="str">
        <f>VLOOKUP(N781,Sheet3!$B$4:$C$10,2,1)</f>
        <v>31-40</v>
      </c>
      <c r="AN781" s="12" t="str">
        <f>VLOOKUP(Z781,Sheet3!$F$4:$G$10,2,1)</f>
        <v>5-10</v>
      </c>
      <c r="AO781" s="5" t="str">
        <f>VLOOKUP(AA781,Sheet3!$I$3:$J$16,2,1)</f>
        <v>160000-180000</v>
      </c>
      <c r="AP781" s="5" t="str">
        <f>VLOOKUP(AB781,Sheet3!$L$4:$M$14,2,1)</f>
        <v>21% - 25%</v>
      </c>
    </row>
    <row r="782">
      <c r="A782" s="6">
        <v>903098.0</v>
      </c>
      <c r="B782" s="1" t="s">
        <v>227</v>
      </c>
      <c r="C782" s="1" t="s">
        <v>7979</v>
      </c>
      <c r="D782" s="1" t="s">
        <v>861</v>
      </c>
      <c r="E782" s="1" t="s">
        <v>191</v>
      </c>
      <c r="F782" s="1" t="s">
        <v>70</v>
      </c>
      <c r="G782" s="1" t="s">
        <v>7980</v>
      </c>
      <c r="H782" s="1" t="s">
        <v>7398</v>
      </c>
      <c r="I782" s="1" t="s">
        <v>7981</v>
      </c>
      <c r="J782" s="1" t="s">
        <v>7982</v>
      </c>
      <c r="K782" s="1" t="s">
        <v>7983</v>
      </c>
      <c r="L782" s="9">
        <v>32106.0</v>
      </c>
      <c r="M782" s="8">
        <v>0.6250231481481482</v>
      </c>
      <c r="N782" s="6">
        <v>29.69</v>
      </c>
      <c r="O782" s="6">
        <v>51.0</v>
      </c>
      <c r="P782" s="9">
        <v>42881.0</v>
      </c>
      <c r="Q782" s="1" t="s">
        <v>75</v>
      </c>
      <c r="R782" s="1" t="s">
        <v>76</v>
      </c>
      <c r="S782" s="6">
        <v>2017.0</v>
      </c>
      <c r="T782" s="6">
        <v>5.0</v>
      </c>
      <c r="U782" s="1" t="s">
        <v>294</v>
      </c>
      <c r="V782" s="1" t="s">
        <v>294</v>
      </c>
      <c r="W782" s="6">
        <v>26.0</v>
      </c>
      <c r="X782" s="1" t="s">
        <v>263</v>
      </c>
      <c r="Y782" s="1" t="s">
        <v>264</v>
      </c>
      <c r="Z782" s="6">
        <v>0.17</v>
      </c>
      <c r="AA782" s="6">
        <v>164512.0</v>
      </c>
      <c r="AB782" s="10">
        <v>0.27</v>
      </c>
      <c r="AC782" s="1" t="s">
        <v>7984</v>
      </c>
      <c r="AD782" s="1" t="s">
        <v>7985</v>
      </c>
      <c r="AE782" s="1" t="s">
        <v>7986</v>
      </c>
      <c r="AF782" s="1" t="s">
        <v>491</v>
      </c>
      <c r="AG782" s="1" t="s">
        <v>7986</v>
      </c>
      <c r="AH782" s="1" t="s">
        <v>284</v>
      </c>
      <c r="AI782" s="6">
        <v>52767.0</v>
      </c>
      <c r="AJ782" s="1" t="s">
        <v>86</v>
      </c>
      <c r="AK782" s="1" t="s">
        <v>7987</v>
      </c>
      <c r="AL782" s="1" t="s">
        <v>7988</v>
      </c>
      <c r="AM782" s="11" t="str">
        <f>VLOOKUP(N782,Sheet3!$B$4:$C$10,2,1)</f>
        <v>21-30</v>
      </c>
      <c r="AN782" s="13" t="str">
        <f>VLOOKUP(Z782,Sheet3!$F$4:$G$10,2,1)</f>
        <v>&lt; 5</v>
      </c>
      <c r="AO782" s="5" t="str">
        <f>VLOOKUP(AA782,Sheet3!$I$3:$J$16,2,1)</f>
        <v>160000-180000</v>
      </c>
      <c r="AP782" s="5" t="str">
        <f>VLOOKUP(AB782,Sheet3!$L$4:$M$14,2,1)</f>
        <v>26% - 30%</v>
      </c>
    </row>
    <row r="783">
      <c r="A783" s="6">
        <v>557561.0</v>
      </c>
      <c r="B783" s="1" t="s">
        <v>109</v>
      </c>
      <c r="C783" s="1" t="s">
        <v>7989</v>
      </c>
      <c r="D783" s="1" t="s">
        <v>127</v>
      </c>
      <c r="E783" s="1" t="s">
        <v>1945</v>
      </c>
      <c r="F783" s="1" t="s">
        <v>46</v>
      </c>
      <c r="G783" s="1" t="s">
        <v>7990</v>
      </c>
      <c r="H783" s="1" t="s">
        <v>7398</v>
      </c>
      <c r="I783" s="1" t="s">
        <v>7991</v>
      </c>
      <c r="J783" s="1" t="s">
        <v>7992</v>
      </c>
      <c r="K783" s="1" t="s">
        <v>4259</v>
      </c>
      <c r="L783" s="9">
        <v>24698.0</v>
      </c>
      <c r="M783" s="8">
        <v>0.9586111111111111</v>
      </c>
      <c r="N783" s="6">
        <v>49.99</v>
      </c>
      <c r="O783" s="6">
        <v>46.0</v>
      </c>
      <c r="P783" s="9">
        <v>34566.0</v>
      </c>
      <c r="Q783" s="1" t="s">
        <v>308</v>
      </c>
      <c r="R783" s="1" t="s">
        <v>53</v>
      </c>
      <c r="S783" s="6">
        <v>1994.0</v>
      </c>
      <c r="T783" s="6">
        <v>8.0</v>
      </c>
      <c r="U783" s="1" t="s">
        <v>433</v>
      </c>
      <c r="V783" s="1" t="s">
        <v>434</v>
      </c>
      <c r="W783" s="6">
        <v>20.0</v>
      </c>
      <c r="X783" s="1" t="s">
        <v>56</v>
      </c>
      <c r="Y783" s="1" t="s">
        <v>57</v>
      </c>
      <c r="Z783" s="6">
        <v>22.95</v>
      </c>
      <c r="AA783" s="6">
        <v>195749.0</v>
      </c>
      <c r="AB783" s="10">
        <v>0.13</v>
      </c>
      <c r="AC783" s="1" t="s">
        <v>7993</v>
      </c>
      <c r="AD783" s="1" t="s">
        <v>7994</v>
      </c>
      <c r="AE783" s="1" t="s">
        <v>7995</v>
      </c>
      <c r="AF783" s="1" t="s">
        <v>5785</v>
      </c>
      <c r="AG783" s="1" t="s">
        <v>7995</v>
      </c>
      <c r="AH783" s="1" t="s">
        <v>2028</v>
      </c>
      <c r="AI783" s="6">
        <v>85629.0</v>
      </c>
      <c r="AJ783" s="1" t="s">
        <v>63</v>
      </c>
      <c r="AK783" s="1" t="s">
        <v>7996</v>
      </c>
      <c r="AL783" s="1" t="s">
        <v>7997</v>
      </c>
      <c r="AM783" s="11" t="str">
        <f>VLOOKUP(N783,Sheet3!$B$4:$C$10,2,1)</f>
        <v>41-50</v>
      </c>
      <c r="AN783" s="13" t="str">
        <f>VLOOKUP(Z783,Sheet3!$F$4:$G$10,2,1)</f>
        <v>21-30</v>
      </c>
      <c r="AO783" s="5" t="str">
        <f>VLOOKUP(AA783,Sheet3!$I$3:$J$16,2,1)</f>
        <v>180000-200000</v>
      </c>
      <c r="AP783" s="5" t="str">
        <f>VLOOKUP(AB783,Sheet3!$L$4:$M$14,2,1)</f>
        <v>11% - 15%</v>
      </c>
    </row>
    <row r="784">
      <c r="A784" s="6">
        <v>864516.0</v>
      </c>
      <c r="B784" s="1" t="s">
        <v>42</v>
      </c>
      <c r="C784" s="1" t="s">
        <v>7998</v>
      </c>
      <c r="D784" s="1" t="s">
        <v>111</v>
      </c>
      <c r="E784" s="1" t="s">
        <v>1718</v>
      </c>
      <c r="F784" s="1" t="s">
        <v>46</v>
      </c>
      <c r="G784" s="1" t="s">
        <v>7999</v>
      </c>
      <c r="H784" s="1" t="s">
        <v>7398</v>
      </c>
      <c r="I784" s="1" t="s">
        <v>8000</v>
      </c>
      <c r="J784" s="1" t="s">
        <v>8001</v>
      </c>
      <c r="K784" s="1" t="s">
        <v>1468</v>
      </c>
      <c r="L784" s="9">
        <v>30943.0</v>
      </c>
      <c r="M784" s="8">
        <v>0.6030208333333333</v>
      </c>
      <c r="N784" s="6">
        <v>32.88</v>
      </c>
      <c r="O784" s="6">
        <v>41.0</v>
      </c>
      <c r="P784" s="14">
        <v>39241.0</v>
      </c>
      <c r="Q784" s="1" t="s">
        <v>75</v>
      </c>
      <c r="R784" s="1" t="s">
        <v>76</v>
      </c>
      <c r="S784" s="6">
        <v>2007.0</v>
      </c>
      <c r="T784" s="6">
        <v>6.0</v>
      </c>
      <c r="U784" s="1" t="s">
        <v>324</v>
      </c>
      <c r="V784" s="1" t="s">
        <v>325</v>
      </c>
      <c r="W784" s="6">
        <v>8.0</v>
      </c>
      <c r="X784" s="1" t="s">
        <v>263</v>
      </c>
      <c r="Y784" s="1" t="s">
        <v>264</v>
      </c>
      <c r="Z784" s="6">
        <v>10.15</v>
      </c>
      <c r="AA784" s="6">
        <v>45702.0</v>
      </c>
      <c r="AB784" s="10">
        <v>0.27</v>
      </c>
      <c r="AC784" s="1" t="s">
        <v>8002</v>
      </c>
      <c r="AD784" s="1" t="s">
        <v>8003</v>
      </c>
      <c r="AE784" s="1" t="s">
        <v>8004</v>
      </c>
      <c r="AF784" s="1" t="s">
        <v>2876</v>
      </c>
      <c r="AG784" s="1" t="s">
        <v>8004</v>
      </c>
      <c r="AH784" s="1" t="s">
        <v>223</v>
      </c>
      <c r="AI784" s="6">
        <v>15219.0</v>
      </c>
      <c r="AJ784" s="1" t="s">
        <v>224</v>
      </c>
      <c r="AK784" s="1" t="s">
        <v>8005</v>
      </c>
      <c r="AL784" s="1" t="s">
        <v>8006</v>
      </c>
      <c r="AM784" s="11" t="str">
        <f>VLOOKUP(N784,Sheet3!$B$4:$C$10,2,1)</f>
        <v>31-40</v>
      </c>
      <c r="AN784" s="12" t="str">
        <f>VLOOKUP(Z784,Sheet3!$F$4:$G$10,2,1)</f>
        <v>5-10</v>
      </c>
      <c r="AO784" s="5" t="str">
        <f>VLOOKUP(AA784,Sheet3!$I$3:$J$16,2,1)</f>
        <v>40000-60000</v>
      </c>
      <c r="AP784" s="5" t="str">
        <f>VLOOKUP(AB784,Sheet3!$L$4:$M$14,2,1)</f>
        <v>26% - 30%</v>
      </c>
    </row>
    <row r="785">
      <c r="A785" s="6">
        <v>743727.0</v>
      </c>
      <c r="B785" s="1" t="s">
        <v>42</v>
      </c>
      <c r="C785" s="1" t="s">
        <v>8007</v>
      </c>
      <c r="D785" s="1" t="s">
        <v>466</v>
      </c>
      <c r="E785" s="1" t="s">
        <v>8008</v>
      </c>
      <c r="F785" s="1" t="s">
        <v>46</v>
      </c>
      <c r="G785" s="1" t="s">
        <v>8009</v>
      </c>
      <c r="H785" s="1" t="s">
        <v>7398</v>
      </c>
      <c r="I785" s="1" t="s">
        <v>8010</v>
      </c>
      <c r="J785" s="1" t="s">
        <v>8011</v>
      </c>
      <c r="K785" s="1" t="s">
        <v>8012</v>
      </c>
      <c r="L785" s="9">
        <v>24527.0</v>
      </c>
      <c r="M785" s="8">
        <v>0.7765393518518519</v>
      </c>
      <c r="N785" s="6">
        <v>50.46</v>
      </c>
      <c r="O785" s="6">
        <v>45.0</v>
      </c>
      <c r="P785" s="9">
        <v>32563.0</v>
      </c>
      <c r="Q785" s="1" t="s">
        <v>96</v>
      </c>
      <c r="R785" s="1" t="s">
        <v>76</v>
      </c>
      <c r="S785" s="6">
        <v>1989.0</v>
      </c>
      <c r="T785" s="6">
        <v>2.0</v>
      </c>
      <c r="U785" s="1" t="s">
        <v>117</v>
      </c>
      <c r="V785" s="1" t="s">
        <v>118</v>
      </c>
      <c r="W785" s="6">
        <v>24.0</v>
      </c>
      <c r="X785" s="1" t="s">
        <v>263</v>
      </c>
      <c r="Y785" s="1" t="s">
        <v>264</v>
      </c>
      <c r="Z785" s="6">
        <v>28.44</v>
      </c>
      <c r="AA785" s="6">
        <v>94854.0</v>
      </c>
      <c r="AB785" s="10">
        <v>0.22</v>
      </c>
      <c r="AC785" s="1" t="s">
        <v>8013</v>
      </c>
      <c r="AD785" s="1" t="s">
        <v>8014</v>
      </c>
      <c r="AE785" s="1" t="s">
        <v>8015</v>
      </c>
      <c r="AF785" s="1" t="s">
        <v>8016</v>
      </c>
      <c r="AG785" s="1" t="s">
        <v>8015</v>
      </c>
      <c r="AH785" s="1" t="s">
        <v>1032</v>
      </c>
      <c r="AI785" s="6">
        <v>66408.0</v>
      </c>
      <c r="AJ785" s="1" t="s">
        <v>86</v>
      </c>
      <c r="AK785" s="1" t="s">
        <v>8017</v>
      </c>
      <c r="AL785" s="1" t="s">
        <v>8018</v>
      </c>
      <c r="AM785" s="11" t="str">
        <f>VLOOKUP(N785,Sheet3!$B$4:$C$10,2,1)</f>
        <v>41-50</v>
      </c>
      <c r="AN785" s="13" t="str">
        <f>VLOOKUP(Z785,Sheet3!$F$4:$G$10,2,1)</f>
        <v>21-30</v>
      </c>
      <c r="AO785" s="5" t="str">
        <f>VLOOKUP(AA785,Sheet3!$I$3:$J$16,2,1)</f>
        <v>80000-100000</v>
      </c>
      <c r="AP785" s="5" t="str">
        <f>VLOOKUP(AB785,Sheet3!$L$4:$M$14,2,1)</f>
        <v>21% - 25%</v>
      </c>
    </row>
    <row r="786">
      <c r="A786" s="6">
        <v>205865.0</v>
      </c>
      <c r="B786" s="1" t="s">
        <v>42</v>
      </c>
      <c r="C786" s="1" t="s">
        <v>8019</v>
      </c>
      <c r="D786" s="1" t="s">
        <v>389</v>
      </c>
      <c r="E786" s="1" t="s">
        <v>1569</v>
      </c>
      <c r="F786" s="1" t="s">
        <v>46</v>
      </c>
      <c r="G786" s="1" t="s">
        <v>8020</v>
      </c>
      <c r="H786" s="1" t="s">
        <v>7398</v>
      </c>
      <c r="I786" s="1" t="s">
        <v>8021</v>
      </c>
      <c r="J786" s="1" t="s">
        <v>8022</v>
      </c>
      <c r="K786" s="1" t="s">
        <v>2043</v>
      </c>
      <c r="L786" s="14">
        <v>22404.0</v>
      </c>
      <c r="M786" s="8">
        <v>0.35010416666666666</v>
      </c>
      <c r="N786" s="6">
        <v>56.27</v>
      </c>
      <c r="O786" s="6">
        <v>47.0</v>
      </c>
      <c r="P786" s="14">
        <v>37257.0</v>
      </c>
      <c r="Q786" s="1" t="s">
        <v>96</v>
      </c>
      <c r="R786" s="1" t="s">
        <v>76</v>
      </c>
      <c r="S786" s="6">
        <v>2002.0</v>
      </c>
      <c r="T786" s="6">
        <v>1.0</v>
      </c>
      <c r="U786" s="1" t="s">
        <v>276</v>
      </c>
      <c r="V786" s="1" t="s">
        <v>277</v>
      </c>
      <c r="W786" s="6">
        <v>1.0</v>
      </c>
      <c r="X786" s="1" t="s">
        <v>79</v>
      </c>
      <c r="Y786" s="1" t="s">
        <v>80</v>
      </c>
      <c r="Z786" s="6">
        <v>15.58</v>
      </c>
      <c r="AA786" s="6">
        <v>140358.0</v>
      </c>
      <c r="AB786" s="10">
        <v>0.1</v>
      </c>
      <c r="AC786" s="1" t="s">
        <v>8023</v>
      </c>
      <c r="AD786" s="1" t="s">
        <v>8024</v>
      </c>
      <c r="AE786" s="1" t="s">
        <v>6328</v>
      </c>
      <c r="AF786" s="1" t="s">
        <v>8025</v>
      </c>
      <c r="AG786" s="1" t="s">
        <v>6328</v>
      </c>
      <c r="AH786" s="1" t="s">
        <v>169</v>
      </c>
      <c r="AI786" s="6">
        <v>75160.0</v>
      </c>
      <c r="AJ786" s="1" t="s">
        <v>106</v>
      </c>
      <c r="AK786" s="1" t="s">
        <v>8026</v>
      </c>
      <c r="AL786" s="1" t="s">
        <v>8027</v>
      </c>
      <c r="AM786" s="11" t="str">
        <f>VLOOKUP(N786,Sheet3!$B$4:$C$10,2,1)</f>
        <v>51-60</v>
      </c>
      <c r="AN786" s="12" t="str">
        <f>VLOOKUP(Z786,Sheet3!$F$4:$G$10,2,1)</f>
        <v>11-20</v>
      </c>
      <c r="AO786" s="5" t="str">
        <f>VLOOKUP(AA786,Sheet3!$I$3:$J$16,2,1)</f>
        <v>140000-160000</v>
      </c>
      <c r="AP786" s="5" t="str">
        <f>VLOOKUP(AB786,Sheet3!$L$4:$M$14,2,1)</f>
        <v>5% - 10%</v>
      </c>
    </row>
    <row r="787">
      <c r="A787" s="6">
        <v>909024.0</v>
      </c>
      <c r="B787" s="1" t="s">
        <v>125</v>
      </c>
      <c r="C787" s="1" t="s">
        <v>8028</v>
      </c>
      <c r="D787" s="1" t="s">
        <v>416</v>
      </c>
      <c r="E787" s="1" t="s">
        <v>335</v>
      </c>
      <c r="F787" s="1" t="s">
        <v>70</v>
      </c>
      <c r="G787" s="1" t="s">
        <v>8029</v>
      </c>
      <c r="H787" s="1" t="s">
        <v>7398</v>
      </c>
      <c r="I787" s="1" t="s">
        <v>8030</v>
      </c>
      <c r="J787" s="1" t="s">
        <v>8031</v>
      </c>
      <c r="K787" s="1" t="s">
        <v>6681</v>
      </c>
      <c r="L787" s="14">
        <v>27031.0</v>
      </c>
      <c r="M787" s="8">
        <v>0.4527199074074074</v>
      </c>
      <c r="N787" s="6">
        <v>43.6</v>
      </c>
      <c r="O787" s="6">
        <v>83.0</v>
      </c>
      <c r="P787" s="9">
        <v>38984.0</v>
      </c>
      <c r="Q787" s="1" t="s">
        <v>308</v>
      </c>
      <c r="R787" s="1" t="s">
        <v>53</v>
      </c>
      <c r="S787" s="6">
        <v>2006.0</v>
      </c>
      <c r="T787" s="6">
        <v>9.0</v>
      </c>
      <c r="U787" s="1" t="s">
        <v>309</v>
      </c>
      <c r="V787" s="1" t="s">
        <v>310</v>
      </c>
      <c r="W787" s="6">
        <v>24.0</v>
      </c>
      <c r="X787" s="1" t="s">
        <v>534</v>
      </c>
      <c r="Y787" s="1" t="s">
        <v>535</v>
      </c>
      <c r="Z787" s="6">
        <v>10.85</v>
      </c>
      <c r="AA787" s="6">
        <v>54968.0</v>
      </c>
      <c r="AB787" s="10">
        <v>0.01</v>
      </c>
      <c r="AC787" s="1" t="s">
        <v>8032</v>
      </c>
      <c r="AD787" s="1" t="s">
        <v>8033</v>
      </c>
      <c r="AE787" s="1" t="s">
        <v>8034</v>
      </c>
      <c r="AF787" s="1" t="s">
        <v>1285</v>
      </c>
      <c r="AG787" s="1" t="s">
        <v>8034</v>
      </c>
      <c r="AH787" s="1" t="s">
        <v>372</v>
      </c>
      <c r="AI787" s="6">
        <v>69131.0</v>
      </c>
      <c r="AJ787" s="1" t="s">
        <v>86</v>
      </c>
      <c r="AK787" s="1" t="s">
        <v>8035</v>
      </c>
      <c r="AL787" s="1" t="s">
        <v>8036</v>
      </c>
      <c r="AM787" s="11" t="str">
        <f>VLOOKUP(N787,Sheet3!$B$4:$C$10,2,1)</f>
        <v>41-50</v>
      </c>
      <c r="AN787" s="12" t="str">
        <f>VLOOKUP(Z787,Sheet3!$F$4:$G$10,2,1)</f>
        <v>5-10</v>
      </c>
      <c r="AO787" s="5" t="str">
        <f>VLOOKUP(AA787,Sheet3!$I$3:$J$16,2,1)</f>
        <v>40000-60000</v>
      </c>
      <c r="AP787" s="5" t="str">
        <f>VLOOKUP(AB787,Sheet3!$L$4:$M$14,2,1)</f>
        <v>&lt; 5%</v>
      </c>
    </row>
    <row r="788">
      <c r="A788" s="6">
        <v>808609.0</v>
      </c>
      <c r="B788" s="1" t="s">
        <v>109</v>
      </c>
      <c r="C788" s="1" t="s">
        <v>8037</v>
      </c>
      <c r="D788" s="1" t="s">
        <v>257</v>
      </c>
      <c r="E788" s="1" t="s">
        <v>8038</v>
      </c>
      <c r="F788" s="1" t="s">
        <v>46</v>
      </c>
      <c r="G788" s="1" t="s">
        <v>8039</v>
      </c>
      <c r="H788" s="1" t="s">
        <v>7398</v>
      </c>
      <c r="I788" s="1" t="s">
        <v>8040</v>
      </c>
      <c r="J788" s="1" t="s">
        <v>8041</v>
      </c>
      <c r="K788" s="1" t="s">
        <v>8042</v>
      </c>
      <c r="L788" s="7">
        <v>33156.0</v>
      </c>
      <c r="M788" s="8">
        <v>0.5995370370370371</v>
      </c>
      <c r="N788" s="6">
        <v>26.82</v>
      </c>
      <c r="O788" s="6">
        <v>46.0</v>
      </c>
      <c r="P788" s="9">
        <v>42751.0</v>
      </c>
      <c r="Q788" s="1" t="s">
        <v>96</v>
      </c>
      <c r="R788" s="1" t="s">
        <v>76</v>
      </c>
      <c r="S788" s="6">
        <v>2017.0</v>
      </c>
      <c r="T788" s="6">
        <v>1.0</v>
      </c>
      <c r="U788" s="1" t="s">
        <v>276</v>
      </c>
      <c r="V788" s="1" t="s">
        <v>277</v>
      </c>
      <c r="W788" s="6">
        <v>16.0</v>
      </c>
      <c r="X788" s="1" t="s">
        <v>99</v>
      </c>
      <c r="Y788" s="1" t="s">
        <v>100</v>
      </c>
      <c r="Z788" s="6">
        <v>0.53</v>
      </c>
      <c r="AA788" s="6">
        <v>187768.0</v>
      </c>
      <c r="AB788" s="10">
        <v>0.12</v>
      </c>
      <c r="AC788" s="1" t="s">
        <v>8043</v>
      </c>
      <c r="AD788" s="1" t="s">
        <v>8044</v>
      </c>
      <c r="AE788" s="1" t="s">
        <v>2113</v>
      </c>
      <c r="AF788" s="1" t="s">
        <v>1019</v>
      </c>
      <c r="AG788" s="1" t="s">
        <v>2113</v>
      </c>
      <c r="AH788" s="1" t="s">
        <v>122</v>
      </c>
      <c r="AI788" s="6">
        <v>46013.0</v>
      </c>
      <c r="AJ788" s="1" t="s">
        <v>86</v>
      </c>
      <c r="AK788" s="1" t="s">
        <v>8045</v>
      </c>
      <c r="AL788" s="1" t="s">
        <v>8046</v>
      </c>
      <c r="AM788" s="11" t="str">
        <f>VLOOKUP(N788,Sheet3!$B$4:$C$10,2,1)</f>
        <v>21-30</v>
      </c>
      <c r="AN788" s="13" t="str">
        <f>VLOOKUP(Z788,Sheet3!$F$4:$G$10,2,1)</f>
        <v>&lt; 5</v>
      </c>
      <c r="AO788" s="5" t="str">
        <f>VLOOKUP(AA788,Sheet3!$I$3:$J$16,2,1)</f>
        <v>180000-200000</v>
      </c>
      <c r="AP788" s="5" t="str">
        <f>VLOOKUP(AB788,Sheet3!$L$4:$M$14,2,1)</f>
        <v>11% - 15%</v>
      </c>
    </row>
    <row r="789">
      <c r="A789" s="6">
        <v>804895.0</v>
      </c>
      <c r="B789" s="1" t="s">
        <v>125</v>
      </c>
      <c r="C789" s="1" t="s">
        <v>5026</v>
      </c>
      <c r="D789" s="1" t="s">
        <v>466</v>
      </c>
      <c r="E789" s="1" t="s">
        <v>5354</v>
      </c>
      <c r="F789" s="1" t="s">
        <v>70</v>
      </c>
      <c r="G789" s="1" t="s">
        <v>8047</v>
      </c>
      <c r="H789" s="1" t="s">
        <v>7398</v>
      </c>
      <c r="I789" s="1" t="s">
        <v>8048</v>
      </c>
      <c r="J789" s="1" t="s">
        <v>8049</v>
      </c>
      <c r="K789" s="1" t="s">
        <v>444</v>
      </c>
      <c r="L789" s="14">
        <v>31998.0</v>
      </c>
      <c r="M789" s="8">
        <v>0.40988425925925925</v>
      </c>
      <c r="N789" s="6">
        <v>29.99</v>
      </c>
      <c r="O789" s="6">
        <v>81.0</v>
      </c>
      <c r="P789" s="14">
        <v>41373.0</v>
      </c>
      <c r="Q789" s="1" t="s">
        <v>75</v>
      </c>
      <c r="R789" s="1" t="s">
        <v>76</v>
      </c>
      <c r="S789" s="6">
        <v>2013.0</v>
      </c>
      <c r="T789" s="6">
        <v>4.0</v>
      </c>
      <c r="U789" s="1" t="s">
        <v>77</v>
      </c>
      <c r="V789" s="1" t="s">
        <v>78</v>
      </c>
      <c r="W789" s="6">
        <v>9.0</v>
      </c>
      <c r="X789" s="1" t="s">
        <v>79</v>
      </c>
      <c r="Y789" s="1" t="s">
        <v>80</v>
      </c>
      <c r="Z789" s="6">
        <v>4.3</v>
      </c>
      <c r="AA789" s="6">
        <v>69477.0</v>
      </c>
      <c r="AB789" s="10">
        <v>0.06</v>
      </c>
      <c r="AC789" s="1" t="s">
        <v>8050</v>
      </c>
      <c r="AD789" s="1" t="s">
        <v>8051</v>
      </c>
      <c r="AE789" s="1" t="s">
        <v>8052</v>
      </c>
      <c r="AF789" s="1" t="s">
        <v>8053</v>
      </c>
      <c r="AG789" s="1" t="s">
        <v>8052</v>
      </c>
      <c r="AH789" s="1" t="s">
        <v>1527</v>
      </c>
      <c r="AI789" s="6">
        <v>36261.0</v>
      </c>
      <c r="AJ789" s="1" t="s">
        <v>106</v>
      </c>
      <c r="AK789" s="1" t="s">
        <v>8054</v>
      </c>
      <c r="AL789" s="1" t="s">
        <v>8055</v>
      </c>
      <c r="AM789" s="11" t="str">
        <f>VLOOKUP(N789,Sheet3!$B$4:$C$10,2,1)</f>
        <v>21-30</v>
      </c>
      <c r="AN789" s="13" t="str">
        <f>VLOOKUP(Z789,Sheet3!$F$4:$G$10,2,1)</f>
        <v>&lt; 5</v>
      </c>
      <c r="AO789" s="5" t="str">
        <f>VLOOKUP(AA789,Sheet3!$I$3:$J$16,2,1)</f>
        <v>60000-80000</v>
      </c>
      <c r="AP789" s="5" t="str">
        <f>VLOOKUP(AB789,Sheet3!$L$4:$M$14,2,1)</f>
        <v>5% - 10%</v>
      </c>
    </row>
    <row r="790">
      <c r="A790" s="6">
        <v>564246.0</v>
      </c>
      <c r="B790" s="1" t="s">
        <v>42</v>
      </c>
      <c r="C790" s="1" t="s">
        <v>8056</v>
      </c>
      <c r="D790" s="1" t="s">
        <v>861</v>
      </c>
      <c r="E790" s="1" t="s">
        <v>675</v>
      </c>
      <c r="F790" s="1" t="s">
        <v>46</v>
      </c>
      <c r="G790" s="1" t="s">
        <v>8057</v>
      </c>
      <c r="H790" s="1" t="s">
        <v>7398</v>
      </c>
      <c r="I790" s="1" t="s">
        <v>8058</v>
      </c>
      <c r="J790" s="1" t="s">
        <v>8059</v>
      </c>
      <c r="K790" s="1" t="s">
        <v>8060</v>
      </c>
      <c r="L790" s="14">
        <v>34608.0</v>
      </c>
      <c r="M790" s="8">
        <v>0.20440972222222223</v>
      </c>
      <c r="N790" s="6">
        <v>22.84</v>
      </c>
      <c r="O790" s="6">
        <v>44.0</v>
      </c>
      <c r="P790" s="9">
        <v>42633.0</v>
      </c>
      <c r="Q790" s="1" t="s">
        <v>308</v>
      </c>
      <c r="R790" s="1" t="s">
        <v>53</v>
      </c>
      <c r="S790" s="6">
        <v>2016.0</v>
      </c>
      <c r="T790" s="6">
        <v>9.0</v>
      </c>
      <c r="U790" s="1" t="s">
        <v>309</v>
      </c>
      <c r="V790" s="1" t="s">
        <v>310</v>
      </c>
      <c r="W790" s="6">
        <v>20.0</v>
      </c>
      <c r="X790" s="1" t="s">
        <v>79</v>
      </c>
      <c r="Y790" s="1" t="s">
        <v>80</v>
      </c>
      <c r="Z790" s="6">
        <v>0.85</v>
      </c>
      <c r="AA790" s="6">
        <v>174027.0</v>
      </c>
      <c r="AB790" s="10">
        <v>0.23</v>
      </c>
      <c r="AC790" s="1" t="s">
        <v>8061</v>
      </c>
      <c r="AD790" s="1" t="s">
        <v>8062</v>
      </c>
      <c r="AE790" s="1" t="s">
        <v>8063</v>
      </c>
      <c r="AF790" s="1" t="s">
        <v>128</v>
      </c>
      <c r="AG790" s="1" t="s">
        <v>8063</v>
      </c>
      <c r="AH790" s="1" t="s">
        <v>223</v>
      </c>
      <c r="AI790" s="6">
        <v>17729.0</v>
      </c>
      <c r="AJ790" s="1" t="s">
        <v>224</v>
      </c>
      <c r="AK790" s="1" t="s">
        <v>8064</v>
      </c>
      <c r="AL790" s="1" t="s">
        <v>8065</v>
      </c>
      <c r="AM790" s="11" t="str">
        <f>VLOOKUP(N790,Sheet3!$B$4:$C$10,2,1)</f>
        <v>21-30</v>
      </c>
      <c r="AN790" s="13" t="str">
        <f>VLOOKUP(Z790,Sheet3!$F$4:$G$10,2,1)</f>
        <v>&lt; 5</v>
      </c>
      <c r="AO790" s="5" t="str">
        <f>VLOOKUP(AA790,Sheet3!$I$3:$J$16,2,1)</f>
        <v>160000-180000</v>
      </c>
      <c r="AP790" s="5" t="str">
        <f>VLOOKUP(AB790,Sheet3!$L$4:$M$14,2,1)</f>
        <v>21% - 25%</v>
      </c>
    </row>
    <row r="791">
      <c r="A791" s="6">
        <v>208230.0</v>
      </c>
      <c r="B791" s="1" t="s">
        <v>66</v>
      </c>
      <c r="C791" s="1" t="s">
        <v>4413</v>
      </c>
      <c r="D791" s="1" t="s">
        <v>1663</v>
      </c>
      <c r="E791" s="1" t="s">
        <v>8066</v>
      </c>
      <c r="F791" s="1" t="s">
        <v>70</v>
      </c>
      <c r="G791" s="1" t="s">
        <v>8067</v>
      </c>
      <c r="H791" s="1" t="s">
        <v>7398</v>
      </c>
      <c r="I791" s="1" t="s">
        <v>8068</v>
      </c>
      <c r="J791" s="1" t="s">
        <v>8069</v>
      </c>
      <c r="K791" s="1" t="s">
        <v>7613</v>
      </c>
      <c r="L791" s="9">
        <v>25886.0</v>
      </c>
      <c r="M791" s="8">
        <v>0.515162037037037</v>
      </c>
      <c r="N791" s="6">
        <v>46.73</v>
      </c>
      <c r="O791" s="6">
        <v>54.0</v>
      </c>
      <c r="P791" s="9">
        <v>40172.0</v>
      </c>
      <c r="Q791" s="1" t="s">
        <v>52</v>
      </c>
      <c r="R791" s="1" t="s">
        <v>53</v>
      </c>
      <c r="S791" s="6">
        <v>2009.0</v>
      </c>
      <c r="T791" s="6">
        <v>12.0</v>
      </c>
      <c r="U791" s="1" t="s">
        <v>54</v>
      </c>
      <c r="V791" s="1" t="s">
        <v>55</v>
      </c>
      <c r="W791" s="6">
        <v>25.0</v>
      </c>
      <c r="X791" s="1" t="s">
        <v>263</v>
      </c>
      <c r="Y791" s="1" t="s">
        <v>264</v>
      </c>
      <c r="Z791" s="6">
        <v>7.59</v>
      </c>
      <c r="AA791" s="6">
        <v>121345.0</v>
      </c>
      <c r="AB791" s="10">
        <v>0.08</v>
      </c>
      <c r="AC791" s="1" t="s">
        <v>8070</v>
      </c>
      <c r="AD791" s="1" t="s">
        <v>8071</v>
      </c>
      <c r="AE791" s="1" t="s">
        <v>8072</v>
      </c>
      <c r="AF791" s="1" t="s">
        <v>5288</v>
      </c>
      <c r="AG791" s="1" t="s">
        <v>8072</v>
      </c>
      <c r="AH791" s="1" t="s">
        <v>563</v>
      </c>
      <c r="AI791" s="6">
        <v>26269.0</v>
      </c>
      <c r="AJ791" s="1" t="s">
        <v>106</v>
      </c>
      <c r="AK791" s="1" t="s">
        <v>8073</v>
      </c>
      <c r="AL791" s="1" t="s">
        <v>8074</v>
      </c>
      <c r="AM791" s="11" t="str">
        <f>VLOOKUP(N791,Sheet3!$B$4:$C$10,2,1)</f>
        <v>41-50</v>
      </c>
      <c r="AN791" s="12" t="str">
        <f>VLOOKUP(Z791,Sheet3!$F$4:$G$10,2,1)</f>
        <v>5-10</v>
      </c>
      <c r="AO791" s="5" t="str">
        <f>VLOOKUP(AA791,Sheet3!$I$3:$J$16,2,1)</f>
        <v>120000-140000</v>
      </c>
      <c r="AP791" s="5" t="str">
        <f>VLOOKUP(AB791,Sheet3!$L$4:$M$14,2,1)</f>
        <v>5% - 10%</v>
      </c>
    </row>
    <row r="792">
      <c r="A792" s="6">
        <v>232387.0</v>
      </c>
      <c r="B792" s="1" t="s">
        <v>89</v>
      </c>
      <c r="C792" s="1" t="s">
        <v>8075</v>
      </c>
      <c r="D792" s="1" t="s">
        <v>173</v>
      </c>
      <c r="E792" s="1" t="s">
        <v>5504</v>
      </c>
      <c r="F792" s="1" t="s">
        <v>46</v>
      </c>
      <c r="G792" s="1" t="s">
        <v>8076</v>
      </c>
      <c r="H792" s="1" t="s">
        <v>7398</v>
      </c>
      <c r="I792" s="1" t="s">
        <v>8077</v>
      </c>
      <c r="J792" s="1" t="s">
        <v>8078</v>
      </c>
      <c r="K792" s="1" t="s">
        <v>8079</v>
      </c>
      <c r="L792" s="9">
        <v>34771.0</v>
      </c>
      <c r="M792" s="8">
        <v>0.3795138888888889</v>
      </c>
      <c r="N792" s="6">
        <v>22.39</v>
      </c>
      <c r="O792" s="6">
        <v>57.0</v>
      </c>
      <c r="P792" s="14">
        <v>42468.0</v>
      </c>
      <c r="Q792" s="1" t="s">
        <v>75</v>
      </c>
      <c r="R792" s="1" t="s">
        <v>76</v>
      </c>
      <c r="S792" s="6">
        <v>2016.0</v>
      </c>
      <c r="T792" s="6">
        <v>4.0</v>
      </c>
      <c r="U792" s="1" t="s">
        <v>77</v>
      </c>
      <c r="V792" s="1" t="s">
        <v>78</v>
      </c>
      <c r="W792" s="6">
        <v>8.0</v>
      </c>
      <c r="X792" s="1" t="s">
        <v>263</v>
      </c>
      <c r="Y792" s="1" t="s">
        <v>264</v>
      </c>
      <c r="Z792" s="6">
        <v>1.3</v>
      </c>
      <c r="AA792" s="6">
        <v>166489.0</v>
      </c>
      <c r="AB792" s="10">
        <v>0.19</v>
      </c>
      <c r="AC792" s="1" t="s">
        <v>8080</v>
      </c>
      <c r="AD792" s="1" t="s">
        <v>8081</v>
      </c>
      <c r="AE792" s="1" t="s">
        <v>8082</v>
      </c>
      <c r="AF792" s="1" t="s">
        <v>727</v>
      </c>
      <c r="AG792" s="1" t="s">
        <v>8082</v>
      </c>
      <c r="AH792" s="1" t="s">
        <v>563</v>
      </c>
      <c r="AI792" s="6">
        <v>25502.0</v>
      </c>
      <c r="AJ792" s="1" t="s">
        <v>106</v>
      </c>
      <c r="AK792" s="1" t="s">
        <v>8083</v>
      </c>
      <c r="AL792" s="1" t="s">
        <v>8084</v>
      </c>
      <c r="AM792" s="11" t="str">
        <f>VLOOKUP(N792,Sheet3!$B$4:$C$10,2,1)</f>
        <v>21-30</v>
      </c>
      <c r="AN792" s="13" t="str">
        <f>VLOOKUP(Z792,Sheet3!$F$4:$G$10,2,1)</f>
        <v>&lt; 5</v>
      </c>
      <c r="AO792" s="5" t="str">
        <f>VLOOKUP(AA792,Sheet3!$I$3:$J$16,2,1)</f>
        <v>160000-180000</v>
      </c>
      <c r="AP792" s="5" t="str">
        <f>VLOOKUP(AB792,Sheet3!$L$4:$M$14,2,1)</f>
        <v>16% - 20%</v>
      </c>
    </row>
    <row r="793">
      <c r="A793" s="6">
        <v>124923.0</v>
      </c>
      <c r="B793" s="1" t="s">
        <v>42</v>
      </c>
      <c r="C793" s="1" t="s">
        <v>8085</v>
      </c>
      <c r="D793" s="1" t="s">
        <v>111</v>
      </c>
      <c r="E793" s="1" t="s">
        <v>815</v>
      </c>
      <c r="F793" s="1" t="s">
        <v>46</v>
      </c>
      <c r="G793" s="1" t="s">
        <v>8086</v>
      </c>
      <c r="H793" s="1" t="s">
        <v>7398</v>
      </c>
      <c r="I793" s="1" t="s">
        <v>8087</v>
      </c>
      <c r="J793" s="1" t="s">
        <v>8088</v>
      </c>
      <c r="K793" s="1" t="s">
        <v>3571</v>
      </c>
      <c r="L793" s="14">
        <v>25639.0</v>
      </c>
      <c r="M793" s="8">
        <v>0.6533333333333333</v>
      </c>
      <c r="N793" s="6">
        <v>47.41</v>
      </c>
      <c r="O793" s="6">
        <v>50.0</v>
      </c>
      <c r="P793" s="14">
        <v>36320.0</v>
      </c>
      <c r="Q793" s="1" t="s">
        <v>75</v>
      </c>
      <c r="R793" s="1" t="s">
        <v>76</v>
      </c>
      <c r="S793" s="6">
        <v>1999.0</v>
      </c>
      <c r="T793" s="6">
        <v>6.0</v>
      </c>
      <c r="U793" s="1" t="s">
        <v>324</v>
      </c>
      <c r="V793" s="1" t="s">
        <v>325</v>
      </c>
      <c r="W793" s="6">
        <v>9.0</v>
      </c>
      <c r="X793" s="1" t="s">
        <v>278</v>
      </c>
      <c r="Y793" s="1" t="s">
        <v>279</v>
      </c>
      <c r="Z793" s="6">
        <v>18.15</v>
      </c>
      <c r="AA793" s="6">
        <v>119758.0</v>
      </c>
      <c r="AB793" s="10">
        <v>0.06</v>
      </c>
      <c r="AC793" s="1" t="s">
        <v>8089</v>
      </c>
      <c r="AD793" s="1" t="s">
        <v>8090</v>
      </c>
      <c r="AE793" s="1" t="s">
        <v>8091</v>
      </c>
      <c r="AF793" s="1" t="s">
        <v>4575</v>
      </c>
      <c r="AG793" s="1" t="s">
        <v>8091</v>
      </c>
      <c r="AH793" s="1" t="s">
        <v>857</v>
      </c>
      <c r="AI793" s="6">
        <v>65436.0</v>
      </c>
      <c r="AJ793" s="1" t="s">
        <v>86</v>
      </c>
      <c r="AK793" s="1" t="s">
        <v>8092</v>
      </c>
      <c r="AL793" s="1" t="s">
        <v>8093</v>
      </c>
      <c r="AM793" s="11" t="str">
        <f>VLOOKUP(N793,Sheet3!$B$4:$C$10,2,1)</f>
        <v>41-50</v>
      </c>
      <c r="AN793" s="12" t="str">
        <f>VLOOKUP(Z793,Sheet3!$F$4:$G$10,2,1)</f>
        <v>11-20</v>
      </c>
      <c r="AO793" s="5" t="str">
        <f>VLOOKUP(AA793,Sheet3!$I$3:$J$16,2,1)</f>
        <v>100000-120000</v>
      </c>
      <c r="AP793" s="5" t="str">
        <f>VLOOKUP(AB793,Sheet3!$L$4:$M$14,2,1)</f>
        <v>5% - 10%</v>
      </c>
    </row>
    <row r="794">
      <c r="A794" s="6">
        <v>274518.0</v>
      </c>
      <c r="B794" s="1" t="s">
        <v>42</v>
      </c>
      <c r="C794" s="1" t="s">
        <v>8094</v>
      </c>
      <c r="D794" s="1" t="s">
        <v>186</v>
      </c>
      <c r="E794" s="1" t="s">
        <v>293</v>
      </c>
      <c r="F794" s="1" t="s">
        <v>46</v>
      </c>
      <c r="G794" s="1" t="s">
        <v>8095</v>
      </c>
      <c r="H794" s="1" t="s">
        <v>7398</v>
      </c>
      <c r="I794" s="1" t="s">
        <v>8096</v>
      </c>
      <c r="J794" s="1" t="s">
        <v>8097</v>
      </c>
      <c r="K794" s="1" t="s">
        <v>8098</v>
      </c>
      <c r="L794" s="14">
        <v>31329.0</v>
      </c>
      <c r="M794" s="8">
        <v>0.05148148148148148</v>
      </c>
      <c r="N794" s="6">
        <v>31.82</v>
      </c>
      <c r="O794" s="6">
        <v>59.0</v>
      </c>
      <c r="P794" s="9">
        <v>40146.0</v>
      </c>
      <c r="Q794" s="1" t="s">
        <v>52</v>
      </c>
      <c r="R794" s="1" t="s">
        <v>53</v>
      </c>
      <c r="S794" s="6">
        <v>2009.0</v>
      </c>
      <c r="T794" s="6">
        <v>11.0</v>
      </c>
      <c r="U794" s="1" t="s">
        <v>148</v>
      </c>
      <c r="V794" s="1" t="s">
        <v>149</v>
      </c>
      <c r="W794" s="6">
        <v>29.0</v>
      </c>
      <c r="X794" s="1" t="s">
        <v>534</v>
      </c>
      <c r="Y794" s="1" t="s">
        <v>535</v>
      </c>
      <c r="Z794" s="6">
        <v>7.67</v>
      </c>
      <c r="AA794" s="6">
        <v>103848.0</v>
      </c>
      <c r="AB794" s="10">
        <v>0.04</v>
      </c>
      <c r="AC794" s="1" t="s">
        <v>8099</v>
      </c>
      <c r="AD794" s="1" t="s">
        <v>8100</v>
      </c>
      <c r="AE794" s="1" t="s">
        <v>4870</v>
      </c>
      <c r="AF794" s="1" t="s">
        <v>4871</v>
      </c>
      <c r="AG794" s="1" t="s">
        <v>4870</v>
      </c>
      <c r="AH794" s="1" t="s">
        <v>356</v>
      </c>
      <c r="AI794" s="6">
        <v>10017.0</v>
      </c>
      <c r="AJ794" s="1" t="s">
        <v>224</v>
      </c>
      <c r="AK794" s="1" t="s">
        <v>8101</v>
      </c>
      <c r="AL794" s="1" t="s">
        <v>8102</v>
      </c>
      <c r="AM794" s="11" t="str">
        <f>VLOOKUP(N794,Sheet3!$B$4:$C$10,2,1)</f>
        <v>31-40</v>
      </c>
      <c r="AN794" s="12" t="str">
        <f>VLOOKUP(Z794,Sheet3!$F$4:$G$10,2,1)</f>
        <v>5-10</v>
      </c>
      <c r="AO794" s="5" t="str">
        <f>VLOOKUP(AA794,Sheet3!$I$3:$J$16,2,1)</f>
        <v>100000-120000</v>
      </c>
      <c r="AP794" s="5" t="str">
        <f>VLOOKUP(AB794,Sheet3!$L$4:$M$14,2,1)</f>
        <v>&lt; 5%</v>
      </c>
    </row>
    <row r="795">
      <c r="A795" s="6">
        <v>288568.0</v>
      </c>
      <c r="B795" s="1" t="s">
        <v>66</v>
      </c>
      <c r="C795" s="1" t="s">
        <v>4476</v>
      </c>
      <c r="D795" s="1" t="s">
        <v>173</v>
      </c>
      <c r="E795" s="1" t="s">
        <v>3465</v>
      </c>
      <c r="F795" s="1" t="s">
        <v>70</v>
      </c>
      <c r="G795" s="1" t="s">
        <v>8103</v>
      </c>
      <c r="H795" s="1" t="s">
        <v>7398</v>
      </c>
      <c r="I795" s="1" t="s">
        <v>8104</v>
      </c>
      <c r="J795" s="1" t="s">
        <v>8105</v>
      </c>
      <c r="K795" s="1" t="s">
        <v>8106</v>
      </c>
      <c r="L795" s="9">
        <v>26416.0</v>
      </c>
      <c r="M795" s="8">
        <v>0.5701388888888889</v>
      </c>
      <c r="N795" s="6">
        <v>45.28</v>
      </c>
      <c r="O795" s="6">
        <v>86.0</v>
      </c>
      <c r="P795" s="9">
        <v>35656.0</v>
      </c>
      <c r="Q795" s="1" t="s">
        <v>308</v>
      </c>
      <c r="R795" s="1" t="s">
        <v>53</v>
      </c>
      <c r="S795" s="6">
        <v>1997.0</v>
      </c>
      <c r="T795" s="6">
        <v>8.0</v>
      </c>
      <c r="U795" s="1" t="s">
        <v>433</v>
      </c>
      <c r="V795" s="1" t="s">
        <v>434</v>
      </c>
      <c r="W795" s="6">
        <v>14.0</v>
      </c>
      <c r="X795" s="1" t="s">
        <v>150</v>
      </c>
      <c r="Y795" s="1" t="s">
        <v>151</v>
      </c>
      <c r="Z795" s="6">
        <v>19.97</v>
      </c>
      <c r="AA795" s="6">
        <v>129888.0</v>
      </c>
      <c r="AB795" s="10">
        <v>0.1</v>
      </c>
      <c r="AC795" s="1" t="s">
        <v>8107</v>
      </c>
      <c r="AD795" s="1" t="s">
        <v>8108</v>
      </c>
      <c r="AE795" s="1" t="s">
        <v>8109</v>
      </c>
      <c r="AF795" s="1" t="s">
        <v>8110</v>
      </c>
      <c r="AG795" s="1" t="s">
        <v>8109</v>
      </c>
      <c r="AH795" s="1" t="s">
        <v>223</v>
      </c>
      <c r="AI795" s="6">
        <v>18974.0</v>
      </c>
      <c r="AJ795" s="1" t="s">
        <v>224</v>
      </c>
      <c r="AK795" s="1" t="s">
        <v>8111</v>
      </c>
      <c r="AL795" s="1" t="s">
        <v>8112</v>
      </c>
      <c r="AM795" s="11" t="str">
        <f>VLOOKUP(N795,Sheet3!$B$4:$C$10,2,1)</f>
        <v>41-50</v>
      </c>
      <c r="AN795" s="12" t="str">
        <f>VLOOKUP(Z795,Sheet3!$F$4:$G$10,2,1)</f>
        <v>11-20</v>
      </c>
      <c r="AO795" s="5" t="str">
        <f>VLOOKUP(AA795,Sheet3!$I$3:$J$16,2,1)</f>
        <v>120000-140000</v>
      </c>
      <c r="AP795" s="5" t="str">
        <f>VLOOKUP(AB795,Sheet3!$L$4:$M$14,2,1)</f>
        <v>5% - 10%</v>
      </c>
    </row>
    <row r="796">
      <c r="A796" s="6">
        <v>802355.0</v>
      </c>
      <c r="B796" s="1" t="s">
        <v>109</v>
      </c>
      <c r="C796" s="1" t="s">
        <v>2710</v>
      </c>
      <c r="D796" s="1" t="s">
        <v>529</v>
      </c>
      <c r="E796" s="1" t="s">
        <v>5107</v>
      </c>
      <c r="F796" s="1" t="s">
        <v>46</v>
      </c>
      <c r="G796" s="1" t="s">
        <v>8113</v>
      </c>
      <c r="H796" s="1" t="s">
        <v>7398</v>
      </c>
      <c r="I796" s="1" t="s">
        <v>8114</v>
      </c>
      <c r="J796" s="1" t="s">
        <v>8115</v>
      </c>
      <c r="K796" s="1" t="s">
        <v>2247</v>
      </c>
      <c r="L796" s="9">
        <v>25202.0</v>
      </c>
      <c r="M796" s="8">
        <v>0.05420138888888889</v>
      </c>
      <c r="N796" s="6">
        <v>48.61</v>
      </c>
      <c r="O796" s="6">
        <v>54.0</v>
      </c>
      <c r="P796" s="14">
        <v>36292.0</v>
      </c>
      <c r="Q796" s="1" t="s">
        <v>75</v>
      </c>
      <c r="R796" s="1" t="s">
        <v>76</v>
      </c>
      <c r="S796" s="6">
        <v>1999.0</v>
      </c>
      <c r="T796" s="6">
        <v>5.0</v>
      </c>
      <c r="U796" s="1" t="s">
        <v>294</v>
      </c>
      <c r="V796" s="1" t="s">
        <v>294</v>
      </c>
      <c r="W796" s="6">
        <v>12.0</v>
      </c>
      <c r="X796" s="1" t="s">
        <v>278</v>
      </c>
      <c r="Y796" s="1" t="s">
        <v>279</v>
      </c>
      <c r="Z796" s="6">
        <v>18.22</v>
      </c>
      <c r="AA796" s="6">
        <v>146837.0</v>
      </c>
      <c r="AB796" s="10">
        <v>0.24</v>
      </c>
      <c r="AC796" s="1" t="s">
        <v>8116</v>
      </c>
      <c r="AD796" s="1" t="s">
        <v>8117</v>
      </c>
      <c r="AE796" s="1" t="s">
        <v>3706</v>
      </c>
      <c r="AF796" s="1" t="s">
        <v>3707</v>
      </c>
      <c r="AG796" s="1" t="s">
        <v>3706</v>
      </c>
      <c r="AH796" s="1" t="s">
        <v>974</v>
      </c>
      <c r="AI796" s="6">
        <v>45207.0</v>
      </c>
      <c r="AJ796" s="1" t="s">
        <v>86</v>
      </c>
      <c r="AK796" s="1" t="s">
        <v>8118</v>
      </c>
      <c r="AL796" s="1" t="s">
        <v>8119</v>
      </c>
      <c r="AM796" s="11" t="str">
        <f>VLOOKUP(N796,Sheet3!$B$4:$C$10,2,1)</f>
        <v>41-50</v>
      </c>
      <c r="AN796" s="12" t="str">
        <f>VLOOKUP(Z796,Sheet3!$F$4:$G$10,2,1)</f>
        <v>11-20</v>
      </c>
      <c r="AO796" s="5" t="str">
        <f>VLOOKUP(AA796,Sheet3!$I$3:$J$16,2,1)</f>
        <v>140000-160000</v>
      </c>
      <c r="AP796" s="5" t="str">
        <f>VLOOKUP(AB796,Sheet3!$L$4:$M$14,2,1)</f>
        <v>21% - 25%</v>
      </c>
    </row>
    <row r="797">
      <c r="A797" s="6">
        <v>648744.0</v>
      </c>
      <c r="B797" s="1" t="s">
        <v>255</v>
      </c>
      <c r="C797" s="1" t="s">
        <v>4206</v>
      </c>
      <c r="D797" s="1" t="s">
        <v>334</v>
      </c>
      <c r="E797" s="1" t="s">
        <v>5398</v>
      </c>
      <c r="F797" s="1" t="s">
        <v>70</v>
      </c>
      <c r="G797" s="1" t="s">
        <v>8120</v>
      </c>
      <c r="H797" s="1" t="s">
        <v>7398</v>
      </c>
      <c r="I797" s="1" t="s">
        <v>8121</v>
      </c>
      <c r="J797" s="1" t="s">
        <v>8122</v>
      </c>
      <c r="K797" s="1" t="s">
        <v>7945</v>
      </c>
      <c r="L797" s="7">
        <v>24057.0</v>
      </c>
      <c r="M797" s="8">
        <v>0.30769675925925927</v>
      </c>
      <c r="N797" s="6">
        <v>51.75</v>
      </c>
      <c r="O797" s="6">
        <v>84.0</v>
      </c>
      <c r="P797" s="9">
        <v>42816.0</v>
      </c>
      <c r="Q797" s="1" t="s">
        <v>96</v>
      </c>
      <c r="R797" s="1" t="s">
        <v>76</v>
      </c>
      <c r="S797" s="6">
        <v>2017.0</v>
      </c>
      <c r="T797" s="6">
        <v>3.0</v>
      </c>
      <c r="U797" s="1" t="s">
        <v>97</v>
      </c>
      <c r="V797" s="1" t="s">
        <v>98</v>
      </c>
      <c r="W797" s="6">
        <v>22.0</v>
      </c>
      <c r="X797" s="1" t="s">
        <v>278</v>
      </c>
      <c r="Y797" s="1" t="s">
        <v>279</v>
      </c>
      <c r="Z797" s="6">
        <v>0.35</v>
      </c>
      <c r="AA797" s="6">
        <v>40783.0</v>
      </c>
      <c r="AB797" s="10">
        <v>0.2</v>
      </c>
      <c r="AC797" s="1" t="s">
        <v>8123</v>
      </c>
      <c r="AD797" s="1" t="s">
        <v>8124</v>
      </c>
      <c r="AE797" s="1" t="s">
        <v>8125</v>
      </c>
      <c r="AF797" s="1" t="s">
        <v>8126</v>
      </c>
      <c r="AG797" s="1" t="s">
        <v>8125</v>
      </c>
      <c r="AH797" s="1" t="s">
        <v>238</v>
      </c>
      <c r="AI797" s="6">
        <v>94565.0</v>
      </c>
      <c r="AJ797" s="1" t="s">
        <v>63</v>
      </c>
      <c r="AK797" s="1" t="s">
        <v>8127</v>
      </c>
      <c r="AL797" s="1" t="s">
        <v>8128</v>
      </c>
      <c r="AM797" s="11" t="str">
        <f>VLOOKUP(N797,Sheet3!$B$4:$C$10,2,1)</f>
        <v>51-60</v>
      </c>
      <c r="AN797" s="13" t="str">
        <f>VLOOKUP(Z797,Sheet3!$F$4:$G$10,2,1)</f>
        <v>&lt; 5</v>
      </c>
      <c r="AO797" s="5" t="str">
        <f>VLOOKUP(AA797,Sheet3!$I$3:$J$16,2,1)</f>
        <v>40000-60000</v>
      </c>
      <c r="AP797" s="5" t="str">
        <f>VLOOKUP(AB797,Sheet3!$L$4:$M$14,2,1)</f>
        <v>16% - 20%</v>
      </c>
    </row>
    <row r="798">
      <c r="A798" s="6">
        <v>224106.0</v>
      </c>
      <c r="B798" s="1" t="s">
        <v>255</v>
      </c>
      <c r="C798" s="1" t="s">
        <v>8129</v>
      </c>
      <c r="D798" s="1" t="s">
        <v>403</v>
      </c>
      <c r="E798" s="1" t="s">
        <v>982</v>
      </c>
      <c r="F798" s="1" t="s">
        <v>70</v>
      </c>
      <c r="G798" s="1" t="s">
        <v>8130</v>
      </c>
      <c r="H798" s="1" t="s">
        <v>7398</v>
      </c>
      <c r="I798" s="1" t="s">
        <v>8131</v>
      </c>
      <c r="J798" s="1" t="s">
        <v>8132</v>
      </c>
      <c r="K798" s="1" t="s">
        <v>5280</v>
      </c>
      <c r="L798" s="14">
        <v>23444.0</v>
      </c>
      <c r="M798" s="8">
        <v>0.7377083333333333</v>
      </c>
      <c r="N798" s="6">
        <v>53.42</v>
      </c>
      <c r="O798" s="6">
        <v>57.0</v>
      </c>
      <c r="P798" s="14">
        <v>31508.0</v>
      </c>
      <c r="Q798" s="1" t="s">
        <v>75</v>
      </c>
      <c r="R798" s="1" t="s">
        <v>76</v>
      </c>
      <c r="S798" s="6">
        <v>1986.0</v>
      </c>
      <c r="T798" s="6">
        <v>4.0</v>
      </c>
      <c r="U798" s="1" t="s">
        <v>77</v>
      </c>
      <c r="V798" s="1" t="s">
        <v>78</v>
      </c>
      <c r="W798" s="6">
        <v>6.0</v>
      </c>
      <c r="X798" s="1" t="s">
        <v>534</v>
      </c>
      <c r="Y798" s="1" t="s">
        <v>535</v>
      </c>
      <c r="Z798" s="6">
        <v>31.33</v>
      </c>
      <c r="AA798" s="6">
        <v>154559.0</v>
      </c>
      <c r="AB798" s="10">
        <v>0.3</v>
      </c>
      <c r="AC798" s="1" t="s">
        <v>8133</v>
      </c>
      <c r="AD798" s="1" t="s">
        <v>8134</v>
      </c>
      <c r="AE798" s="1" t="s">
        <v>8135</v>
      </c>
      <c r="AF798" s="1" t="s">
        <v>3224</v>
      </c>
      <c r="AG798" s="1" t="s">
        <v>8135</v>
      </c>
      <c r="AH798" s="1" t="s">
        <v>223</v>
      </c>
      <c r="AI798" s="6">
        <v>17099.0</v>
      </c>
      <c r="AJ798" s="1" t="s">
        <v>224</v>
      </c>
      <c r="AK798" s="1" t="s">
        <v>8136</v>
      </c>
      <c r="AL798" s="1" t="s">
        <v>8137</v>
      </c>
      <c r="AM798" s="11" t="str">
        <f>VLOOKUP(N798,Sheet3!$B$4:$C$10,2,1)</f>
        <v>51-60</v>
      </c>
      <c r="AN798" s="13" t="str">
        <f>VLOOKUP(Z798,Sheet3!$F$4:$G$10,2,1)</f>
        <v>31-40</v>
      </c>
      <c r="AO798" s="5" t="str">
        <f>VLOOKUP(AA798,Sheet3!$I$3:$J$16,2,1)</f>
        <v>140000-160000</v>
      </c>
      <c r="AP798" s="5" t="str">
        <f>VLOOKUP(AB798,Sheet3!$L$4:$M$14,2,1)</f>
        <v>26% - 30%</v>
      </c>
    </row>
    <row r="799">
      <c r="A799" s="6">
        <v>543320.0</v>
      </c>
      <c r="B799" s="1" t="s">
        <v>109</v>
      </c>
      <c r="C799" s="1" t="s">
        <v>8138</v>
      </c>
      <c r="D799" s="1" t="s">
        <v>683</v>
      </c>
      <c r="E799" s="1" t="s">
        <v>5716</v>
      </c>
      <c r="F799" s="1" t="s">
        <v>46</v>
      </c>
      <c r="G799" s="1" t="s">
        <v>8139</v>
      </c>
      <c r="H799" s="1" t="s">
        <v>7398</v>
      </c>
      <c r="I799" s="1" t="s">
        <v>8140</v>
      </c>
      <c r="J799" s="1" t="s">
        <v>8141</v>
      </c>
      <c r="K799" s="1" t="s">
        <v>8142</v>
      </c>
      <c r="L799" s="9">
        <v>26874.0</v>
      </c>
      <c r="M799" s="8">
        <v>0.1802314814814815</v>
      </c>
      <c r="N799" s="6">
        <v>44.03</v>
      </c>
      <c r="O799" s="6">
        <v>42.0</v>
      </c>
      <c r="P799" s="14">
        <v>41316.0</v>
      </c>
      <c r="Q799" s="1" t="s">
        <v>96</v>
      </c>
      <c r="R799" s="1" t="s">
        <v>76</v>
      </c>
      <c r="S799" s="6">
        <v>2013.0</v>
      </c>
      <c r="T799" s="6">
        <v>2.0</v>
      </c>
      <c r="U799" s="1" t="s">
        <v>117</v>
      </c>
      <c r="V799" s="1" t="s">
        <v>118</v>
      </c>
      <c r="W799" s="6">
        <v>11.0</v>
      </c>
      <c r="X799" s="1" t="s">
        <v>99</v>
      </c>
      <c r="Y799" s="1" t="s">
        <v>100</v>
      </c>
      <c r="Z799" s="6">
        <v>4.46</v>
      </c>
      <c r="AA799" s="6">
        <v>96388.0</v>
      </c>
      <c r="AB799" s="10">
        <v>0.06</v>
      </c>
      <c r="AC799" s="1" t="s">
        <v>8143</v>
      </c>
      <c r="AD799" s="1" t="s">
        <v>8144</v>
      </c>
      <c r="AE799" s="1" t="s">
        <v>8145</v>
      </c>
      <c r="AF799" s="1" t="s">
        <v>657</v>
      </c>
      <c r="AG799" s="1" t="s">
        <v>8145</v>
      </c>
      <c r="AH799" s="1" t="s">
        <v>105</v>
      </c>
      <c r="AI799" s="6">
        <v>40941.0</v>
      </c>
      <c r="AJ799" s="1" t="s">
        <v>106</v>
      </c>
      <c r="AK799" s="1" t="s">
        <v>8146</v>
      </c>
      <c r="AL799" s="1" t="s">
        <v>8147</v>
      </c>
      <c r="AM799" s="11" t="str">
        <f>VLOOKUP(N799,Sheet3!$B$4:$C$10,2,1)</f>
        <v>41-50</v>
      </c>
      <c r="AN799" s="13" t="str">
        <f>VLOOKUP(Z799,Sheet3!$F$4:$G$10,2,1)</f>
        <v>&lt; 5</v>
      </c>
      <c r="AO799" s="5" t="str">
        <f>VLOOKUP(AA799,Sheet3!$I$3:$J$16,2,1)</f>
        <v>80000-100000</v>
      </c>
      <c r="AP799" s="5" t="str">
        <f>VLOOKUP(AB799,Sheet3!$L$4:$M$14,2,1)</f>
        <v>5% - 10%</v>
      </c>
    </row>
    <row r="800">
      <c r="A800" s="6">
        <v>838662.0</v>
      </c>
      <c r="B800" s="1" t="s">
        <v>42</v>
      </c>
      <c r="C800" s="1" t="s">
        <v>8148</v>
      </c>
      <c r="D800" s="1" t="s">
        <v>443</v>
      </c>
      <c r="E800" s="1" t="s">
        <v>1464</v>
      </c>
      <c r="F800" s="1" t="s">
        <v>46</v>
      </c>
      <c r="G800" s="1" t="s">
        <v>8149</v>
      </c>
      <c r="H800" s="1" t="s">
        <v>7398</v>
      </c>
      <c r="I800" s="1" t="s">
        <v>8150</v>
      </c>
      <c r="J800" s="1" t="s">
        <v>8151</v>
      </c>
      <c r="K800" s="1" t="s">
        <v>8152</v>
      </c>
      <c r="L800" s="14">
        <v>31454.0</v>
      </c>
      <c r="M800" s="8">
        <v>0.0271875</v>
      </c>
      <c r="N800" s="6">
        <v>31.48</v>
      </c>
      <c r="O800" s="6">
        <v>41.0</v>
      </c>
      <c r="P800" s="14">
        <v>41216.0</v>
      </c>
      <c r="Q800" s="1" t="s">
        <v>52</v>
      </c>
      <c r="R800" s="1" t="s">
        <v>53</v>
      </c>
      <c r="S800" s="6">
        <v>2012.0</v>
      </c>
      <c r="T800" s="6">
        <v>11.0</v>
      </c>
      <c r="U800" s="1" t="s">
        <v>148</v>
      </c>
      <c r="V800" s="1" t="s">
        <v>149</v>
      </c>
      <c r="W800" s="6">
        <v>3.0</v>
      </c>
      <c r="X800" s="1" t="s">
        <v>56</v>
      </c>
      <c r="Y800" s="1" t="s">
        <v>57</v>
      </c>
      <c r="Z800" s="6">
        <v>4.73</v>
      </c>
      <c r="AA800" s="6">
        <v>91439.0</v>
      </c>
      <c r="AB800" s="10">
        <v>0.06</v>
      </c>
      <c r="AC800" s="1" t="s">
        <v>8153</v>
      </c>
      <c r="AD800" s="1" t="s">
        <v>8154</v>
      </c>
      <c r="AE800" s="1" t="s">
        <v>8155</v>
      </c>
      <c r="AF800" s="1" t="s">
        <v>8156</v>
      </c>
      <c r="AG800" s="1" t="s">
        <v>8155</v>
      </c>
      <c r="AH800" s="1" t="s">
        <v>1527</v>
      </c>
      <c r="AI800" s="6">
        <v>36350.0</v>
      </c>
      <c r="AJ800" s="1" t="s">
        <v>106</v>
      </c>
      <c r="AK800" s="1" t="s">
        <v>8157</v>
      </c>
      <c r="AL800" s="1" t="s">
        <v>8158</v>
      </c>
      <c r="AM800" s="11" t="str">
        <f>VLOOKUP(N800,Sheet3!$B$4:$C$10,2,1)</f>
        <v>31-40</v>
      </c>
      <c r="AN800" s="13" t="str">
        <f>VLOOKUP(Z800,Sheet3!$F$4:$G$10,2,1)</f>
        <v>&lt; 5</v>
      </c>
      <c r="AO800" s="5" t="str">
        <f>VLOOKUP(AA800,Sheet3!$I$3:$J$16,2,1)</f>
        <v>80000-100000</v>
      </c>
      <c r="AP800" s="5" t="str">
        <f>VLOOKUP(AB800,Sheet3!$L$4:$M$14,2,1)</f>
        <v>5% - 10%</v>
      </c>
    </row>
    <row r="801">
      <c r="A801" s="6">
        <v>138130.0</v>
      </c>
      <c r="B801" s="1" t="s">
        <v>42</v>
      </c>
      <c r="C801" s="1" t="s">
        <v>8159</v>
      </c>
      <c r="D801" s="1" t="s">
        <v>389</v>
      </c>
      <c r="E801" s="1" t="s">
        <v>1712</v>
      </c>
      <c r="F801" s="1" t="s">
        <v>46</v>
      </c>
      <c r="G801" s="1" t="s">
        <v>8160</v>
      </c>
      <c r="H801" s="1" t="s">
        <v>7398</v>
      </c>
      <c r="I801" s="1" t="s">
        <v>8161</v>
      </c>
      <c r="J801" s="1" t="s">
        <v>8162</v>
      </c>
      <c r="K801" s="1" t="s">
        <v>1245</v>
      </c>
      <c r="L801" s="14">
        <v>28288.0</v>
      </c>
      <c r="M801" s="8">
        <v>0.37168981481481483</v>
      </c>
      <c r="N801" s="6">
        <v>40.15</v>
      </c>
      <c r="O801" s="6">
        <v>45.0</v>
      </c>
      <c r="P801" s="9">
        <v>41754.0</v>
      </c>
      <c r="Q801" s="1" t="s">
        <v>75</v>
      </c>
      <c r="R801" s="1" t="s">
        <v>76</v>
      </c>
      <c r="S801" s="6">
        <v>2014.0</v>
      </c>
      <c r="T801" s="6">
        <v>4.0</v>
      </c>
      <c r="U801" s="1" t="s">
        <v>77</v>
      </c>
      <c r="V801" s="1" t="s">
        <v>78</v>
      </c>
      <c r="W801" s="6">
        <v>25.0</v>
      </c>
      <c r="X801" s="1" t="s">
        <v>263</v>
      </c>
      <c r="Y801" s="1" t="s">
        <v>264</v>
      </c>
      <c r="Z801" s="6">
        <v>3.26</v>
      </c>
      <c r="AA801" s="6">
        <v>74674.0</v>
      </c>
      <c r="AB801" s="10">
        <v>0.19</v>
      </c>
      <c r="AC801" s="1" t="s">
        <v>8163</v>
      </c>
      <c r="AD801" s="1" t="s">
        <v>8164</v>
      </c>
      <c r="AE801" s="1" t="s">
        <v>8165</v>
      </c>
      <c r="AF801" s="1" t="s">
        <v>8166</v>
      </c>
      <c r="AG801" s="1" t="s">
        <v>8165</v>
      </c>
      <c r="AH801" s="1" t="s">
        <v>399</v>
      </c>
      <c r="AI801" s="6">
        <v>70084.0</v>
      </c>
      <c r="AJ801" s="1" t="s">
        <v>106</v>
      </c>
      <c r="AK801" s="1" t="s">
        <v>8167</v>
      </c>
      <c r="AL801" s="1" t="s">
        <v>8168</v>
      </c>
      <c r="AM801" s="11" t="str">
        <f>VLOOKUP(N801,Sheet3!$B$4:$C$10,2,1)</f>
        <v>31-40</v>
      </c>
      <c r="AN801" s="13" t="str">
        <f>VLOOKUP(Z801,Sheet3!$F$4:$G$10,2,1)</f>
        <v>&lt; 5</v>
      </c>
      <c r="AO801" s="5" t="str">
        <f>VLOOKUP(AA801,Sheet3!$I$3:$J$16,2,1)</f>
        <v>60000-80000</v>
      </c>
      <c r="AP801" s="5" t="str">
        <f>VLOOKUP(AB801,Sheet3!$L$4:$M$14,2,1)</f>
        <v>16% - 20%</v>
      </c>
    </row>
    <row r="802">
      <c r="A802" s="6">
        <v>516579.0</v>
      </c>
      <c r="B802" s="1" t="s">
        <v>66</v>
      </c>
      <c r="C802" s="1" t="s">
        <v>631</v>
      </c>
      <c r="D802" s="1" t="s">
        <v>389</v>
      </c>
      <c r="E802" s="1" t="s">
        <v>8169</v>
      </c>
      <c r="F802" s="1" t="s">
        <v>70</v>
      </c>
      <c r="G802" s="1" t="s">
        <v>8170</v>
      </c>
      <c r="H802" s="1" t="s">
        <v>7398</v>
      </c>
      <c r="I802" s="1" t="s">
        <v>8171</v>
      </c>
      <c r="J802" s="1" t="s">
        <v>8172</v>
      </c>
      <c r="K802" s="1" t="s">
        <v>271</v>
      </c>
      <c r="L802" s="9">
        <v>34513.0</v>
      </c>
      <c r="M802" s="8">
        <v>0.7860185185185186</v>
      </c>
      <c r="N802" s="6">
        <v>23.1</v>
      </c>
      <c r="O802" s="6">
        <v>84.0</v>
      </c>
      <c r="P802" s="14">
        <v>42406.0</v>
      </c>
      <c r="Q802" s="1" t="s">
        <v>96</v>
      </c>
      <c r="R802" s="1" t="s">
        <v>76</v>
      </c>
      <c r="S802" s="6">
        <v>2016.0</v>
      </c>
      <c r="T802" s="6">
        <v>2.0</v>
      </c>
      <c r="U802" s="1" t="s">
        <v>117</v>
      </c>
      <c r="V802" s="1" t="s">
        <v>118</v>
      </c>
      <c r="W802" s="6">
        <v>6.0</v>
      </c>
      <c r="X802" s="1" t="s">
        <v>56</v>
      </c>
      <c r="Y802" s="1" t="s">
        <v>57</v>
      </c>
      <c r="Z802" s="6">
        <v>1.47</v>
      </c>
      <c r="AA802" s="6">
        <v>169802.0</v>
      </c>
      <c r="AB802" s="10">
        <v>0.27</v>
      </c>
      <c r="AC802" s="1" t="s">
        <v>8173</v>
      </c>
      <c r="AD802" s="1" t="s">
        <v>8174</v>
      </c>
      <c r="AE802" s="1" t="s">
        <v>7364</v>
      </c>
      <c r="AF802" s="1" t="s">
        <v>892</v>
      </c>
      <c r="AG802" s="1" t="s">
        <v>7364</v>
      </c>
      <c r="AH802" s="1" t="s">
        <v>893</v>
      </c>
      <c r="AI802" s="6">
        <v>28214.0</v>
      </c>
      <c r="AJ802" s="1" t="s">
        <v>106</v>
      </c>
      <c r="AK802" s="1" t="s">
        <v>8175</v>
      </c>
      <c r="AL802" s="1" t="s">
        <v>8176</v>
      </c>
      <c r="AM802" s="11" t="str">
        <f>VLOOKUP(N802,Sheet3!$B$4:$C$10,2,1)</f>
        <v>21-30</v>
      </c>
      <c r="AN802" s="13" t="str">
        <f>VLOOKUP(Z802,Sheet3!$F$4:$G$10,2,1)</f>
        <v>&lt; 5</v>
      </c>
      <c r="AO802" s="5" t="str">
        <f>VLOOKUP(AA802,Sheet3!$I$3:$J$16,2,1)</f>
        <v>160000-180000</v>
      </c>
      <c r="AP802" s="5" t="str">
        <f>VLOOKUP(AB802,Sheet3!$L$4:$M$14,2,1)</f>
        <v>26% - 30%</v>
      </c>
    </row>
    <row r="803">
      <c r="A803" s="6">
        <v>939556.0</v>
      </c>
      <c r="B803" s="1" t="s">
        <v>66</v>
      </c>
      <c r="C803" s="1" t="s">
        <v>8177</v>
      </c>
      <c r="D803" s="1" t="s">
        <v>200</v>
      </c>
      <c r="E803" s="1" t="s">
        <v>3325</v>
      </c>
      <c r="F803" s="1" t="s">
        <v>70</v>
      </c>
      <c r="G803" s="1" t="s">
        <v>8178</v>
      </c>
      <c r="H803" s="1" t="s">
        <v>7398</v>
      </c>
      <c r="I803" s="1" t="s">
        <v>8179</v>
      </c>
      <c r="J803" s="1" t="s">
        <v>8180</v>
      </c>
      <c r="K803" s="1" t="s">
        <v>2035</v>
      </c>
      <c r="L803" s="9">
        <v>25739.0</v>
      </c>
      <c r="M803" s="8">
        <v>0.2000925925925926</v>
      </c>
      <c r="N803" s="6">
        <v>47.14</v>
      </c>
      <c r="O803" s="6">
        <v>90.0</v>
      </c>
      <c r="P803" s="14">
        <v>37327.0</v>
      </c>
      <c r="Q803" s="1" t="s">
        <v>96</v>
      </c>
      <c r="R803" s="1" t="s">
        <v>76</v>
      </c>
      <c r="S803" s="6">
        <v>2002.0</v>
      </c>
      <c r="T803" s="6">
        <v>3.0</v>
      </c>
      <c r="U803" s="1" t="s">
        <v>97</v>
      </c>
      <c r="V803" s="1" t="s">
        <v>98</v>
      </c>
      <c r="W803" s="6">
        <v>12.0</v>
      </c>
      <c r="X803" s="1" t="s">
        <v>79</v>
      </c>
      <c r="Y803" s="1" t="s">
        <v>80</v>
      </c>
      <c r="Z803" s="6">
        <v>15.39</v>
      </c>
      <c r="AA803" s="6">
        <v>59917.0</v>
      </c>
      <c r="AB803" s="10">
        <v>0.11</v>
      </c>
      <c r="AC803" s="1" t="s">
        <v>8181</v>
      </c>
      <c r="AD803" s="1" t="s">
        <v>8182</v>
      </c>
      <c r="AE803" s="1" t="s">
        <v>8183</v>
      </c>
      <c r="AF803" s="1" t="s">
        <v>3740</v>
      </c>
      <c r="AG803" s="1" t="s">
        <v>8183</v>
      </c>
      <c r="AH803" s="1" t="s">
        <v>2274</v>
      </c>
      <c r="AI803" s="6">
        <v>19941.0</v>
      </c>
      <c r="AJ803" s="1" t="s">
        <v>106</v>
      </c>
      <c r="AK803" s="1" t="s">
        <v>8184</v>
      </c>
      <c r="AL803" s="1" t="s">
        <v>8185</v>
      </c>
      <c r="AM803" s="11" t="str">
        <f>VLOOKUP(N803,Sheet3!$B$4:$C$10,2,1)</f>
        <v>41-50</v>
      </c>
      <c r="AN803" s="12" t="str">
        <f>VLOOKUP(Z803,Sheet3!$F$4:$G$10,2,1)</f>
        <v>11-20</v>
      </c>
      <c r="AO803" s="5" t="str">
        <f>VLOOKUP(AA803,Sheet3!$I$3:$J$16,2,1)</f>
        <v>40000-60000</v>
      </c>
      <c r="AP803" s="5" t="str">
        <f>VLOOKUP(AB803,Sheet3!$L$4:$M$14,2,1)</f>
        <v>11% - 15%</v>
      </c>
    </row>
    <row r="804">
      <c r="A804" s="6">
        <v>495659.0</v>
      </c>
      <c r="B804" s="1" t="s">
        <v>109</v>
      </c>
      <c r="C804" s="1" t="s">
        <v>8186</v>
      </c>
      <c r="D804" s="1" t="s">
        <v>44</v>
      </c>
      <c r="E804" s="1" t="s">
        <v>1119</v>
      </c>
      <c r="F804" s="1" t="s">
        <v>46</v>
      </c>
      <c r="G804" s="1" t="s">
        <v>8187</v>
      </c>
      <c r="H804" s="1" t="s">
        <v>7398</v>
      </c>
      <c r="I804" s="1" t="s">
        <v>8188</v>
      </c>
      <c r="J804" s="1" t="s">
        <v>8189</v>
      </c>
      <c r="K804" s="1" t="s">
        <v>2371</v>
      </c>
      <c r="L804" s="9">
        <v>25590.0</v>
      </c>
      <c r="M804" s="8">
        <v>0.7760763888888889</v>
      </c>
      <c r="N804" s="6">
        <v>47.55</v>
      </c>
      <c r="O804" s="6">
        <v>50.0</v>
      </c>
      <c r="P804" s="9">
        <v>33986.0</v>
      </c>
      <c r="Q804" s="1" t="s">
        <v>96</v>
      </c>
      <c r="R804" s="1" t="s">
        <v>76</v>
      </c>
      <c r="S804" s="6">
        <v>1993.0</v>
      </c>
      <c r="T804" s="6">
        <v>1.0</v>
      </c>
      <c r="U804" s="1" t="s">
        <v>276</v>
      </c>
      <c r="V804" s="1" t="s">
        <v>277</v>
      </c>
      <c r="W804" s="6">
        <v>17.0</v>
      </c>
      <c r="X804" s="1" t="s">
        <v>534</v>
      </c>
      <c r="Y804" s="1" t="s">
        <v>535</v>
      </c>
      <c r="Z804" s="6">
        <v>24.54</v>
      </c>
      <c r="AA804" s="6">
        <v>53077.0</v>
      </c>
      <c r="AB804" s="10">
        <v>0.13</v>
      </c>
      <c r="AC804" s="1" t="s">
        <v>8190</v>
      </c>
      <c r="AD804" s="1" t="s">
        <v>8191</v>
      </c>
      <c r="AE804" s="1" t="s">
        <v>8192</v>
      </c>
      <c r="AF804" s="1" t="s">
        <v>3960</v>
      </c>
      <c r="AG804" s="1" t="s">
        <v>8192</v>
      </c>
      <c r="AH804" s="1" t="s">
        <v>122</v>
      </c>
      <c r="AI804" s="6">
        <v>46859.0</v>
      </c>
      <c r="AJ804" s="1" t="s">
        <v>86</v>
      </c>
      <c r="AK804" s="1" t="s">
        <v>8193</v>
      </c>
      <c r="AL804" s="1" t="s">
        <v>8194</v>
      </c>
      <c r="AM804" s="11" t="str">
        <f>VLOOKUP(N804,Sheet3!$B$4:$C$10,2,1)</f>
        <v>41-50</v>
      </c>
      <c r="AN804" s="13" t="str">
        <f>VLOOKUP(Z804,Sheet3!$F$4:$G$10,2,1)</f>
        <v>21-30</v>
      </c>
      <c r="AO804" s="5" t="str">
        <f>VLOOKUP(AA804,Sheet3!$I$3:$J$16,2,1)</f>
        <v>40000-60000</v>
      </c>
      <c r="AP804" s="5" t="str">
        <f>VLOOKUP(AB804,Sheet3!$L$4:$M$14,2,1)</f>
        <v>11% - 15%</v>
      </c>
    </row>
    <row r="805">
      <c r="A805" s="6">
        <v>630030.0</v>
      </c>
      <c r="B805" s="1" t="s">
        <v>42</v>
      </c>
      <c r="C805" s="1" t="s">
        <v>5005</v>
      </c>
      <c r="D805" s="1" t="s">
        <v>1663</v>
      </c>
      <c r="E805" s="1" t="s">
        <v>1244</v>
      </c>
      <c r="F805" s="1" t="s">
        <v>46</v>
      </c>
      <c r="G805" s="1" t="s">
        <v>8195</v>
      </c>
      <c r="H805" s="1" t="s">
        <v>7398</v>
      </c>
      <c r="I805" s="1" t="s">
        <v>8196</v>
      </c>
      <c r="J805" s="1" t="s">
        <v>8197</v>
      </c>
      <c r="K805" s="1" t="s">
        <v>6278</v>
      </c>
      <c r="L805" s="9">
        <v>28914.0</v>
      </c>
      <c r="M805" s="8">
        <v>0.971550925925926</v>
      </c>
      <c r="N805" s="6">
        <v>38.44</v>
      </c>
      <c r="O805" s="6">
        <v>53.0</v>
      </c>
      <c r="P805" s="9">
        <v>38625.0</v>
      </c>
      <c r="Q805" s="1" t="s">
        <v>308</v>
      </c>
      <c r="R805" s="1" t="s">
        <v>53</v>
      </c>
      <c r="S805" s="6">
        <v>2005.0</v>
      </c>
      <c r="T805" s="6">
        <v>9.0</v>
      </c>
      <c r="U805" s="1" t="s">
        <v>309</v>
      </c>
      <c r="V805" s="1" t="s">
        <v>310</v>
      </c>
      <c r="W805" s="6">
        <v>30.0</v>
      </c>
      <c r="X805" s="1" t="s">
        <v>263</v>
      </c>
      <c r="Y805" s="1" t="s">
        <v>264</v>
      </c>
      <c r="Z805" s="6">
        <v>11.83</v>
      </c>
      <c r="AA805" s="6">
        <v>193080.0</v>
      </c>
      <c r="AB805" s="10">
        <v>0.01</v>
      </c>
      <c r="AC805" s="1" t="s">
        <v>8198</v>
      </c>
      <c r="AD805" s="1" t="s">
        <v>8199</v>
      </c>
      <c r="AE805" s="1" t="s">
        <v>8200</v>
      </c>
      <c r="AF805" s="1" t="s">
        <v>8201</v>
      </c>
      <c r="AG805" s="1" t="s">
        <v>8200</v>
      </c>
      <c r="AH805" s="1" t="s">
        <v>169</v>
      </c>
      <c r="AI805" s="6">
        <v>79834.0</v>
      </c>
      <c r="AJ805" s="1" t="s">
        <v>106</v>
      </c>
      <c r="AK805" s="1" t="s">
        <v>8202</v>
      </c>
      <c r="AL805" s="1" t="s">
        <v>8203</v>
      </c>
      <c r="AM805" s="11" t="str">
        <f>VLOOKUP(N805,Sheet3!$B$4:$C$10,2,1)</f>
        <v>31-40</v>
      </c>
      <c r="AN805" s="12" t="str">
        <f>VLOOKUP(Z805,Sheet3!$F$4:$G$10,2,1)</f>
        <v>11-20</v>
      </c>
      <c r="AO805" s="5" t="str">
        <f>VLOOKUP(AA805,Sheet3!$I$3:$J$16,2,1)</f>
        <v>180000-200000</v>
      </c>
      <c r="AP805" s="5" t="str">
        <f>VLOOKUP(AB805,Sheet3!$L$4:$M$14,2,1)</f>
        <v>&lt; 5%</v>
      </c>
    </row>
    <row r="806">
      <c r="A806" s="6">
        <v>874431.0</v>
      </c>
      <c r="B806" s="1" t="s">
        <v>66</v>
      </c>
      <c r="C806" s="1" t="s">
        <v>8204</v>
      </c>
      <c r="D806" s="1" t="s">
        <v>186</v>
      </c>
      <c r="E806" s="1" t="s">
        <v>5504</v>
      </c>
      <c r="F806" s="1" t="s">
        <v>70</v>
      </c>
      <c r="G806" s="1" t="s">
        <v>8205</v>
      </c>
      <c r="H806" s="1" t="s">
        <v>7398</v>
      </c>
      <c r="I806" s="1" t="s">
        <v>8206</v>
      </c>
      <c r="J806" s="1" t="s">
        <v>8207</v>
      </c>
      <c r="K806" s="1" t="s">
        <v>293</v>
      </c>
      <c r="L806" s="14">
        <v>22472.0</v>
      </c>
      <c r="M806" s="8">
        <v>0.05855324074074074</v>
      </c>
      <c r="N806" s="6">
        <v>56.09</v>
      </c>
      <c r="O806" s="6">
        <v>50.0</v>
      </c>
      <c r="P806" s="14">
        <v>35857.0</v>
      </c>
      <c r="Q806" s="1" t="s">
        <v>96</v>
      </c>
      <c r="R806" s="1" t="s">
        <v>76</v>
      </c>
      <c r="S806" s="6">
        <v>1998.0</v>
      </c>
      <c r="T806" s="6">
        <v>3.0</v>
      </c>
      <c r="U806" s="1" t="s">
        <v>97</v>
      </c>
      <c r="V806" s="1" t="s">
        <v>98</v>
      </c>
      <c r="W806" s="6">
        <v>3.0</v>
      </c>
      <c r="X806" s="1" t="s">
        <v>79</v>
      </c>
      <c r="Y806" s="1" t="s">
        <v>80</v>
      </c>
      <c r="Z806" s="6">
        <v>19.42</v>
      </c>
      <c r="AA806" s="6">
        <v>164626.0</v>
      </c>
      <c r="AB806" s="10">
        <v>0.16</v>
      </c>
      <c r="AC806" s="1" t="s">
        <v>8208</v>
      </c>
      <c r="AD806" s="1" t="s">
        <v>8209</v>
      </c>
      <c r="AE806" s="1" t="s">
        <v>7914</v>
      </c>
      <c r="AF806" s="1" t="s">
        <v>2278</v>
      </c>
      <c r="AG806" s="1" t="s">
        <v>7914</v>
      </c>
      <c r="AH806" s="1" t="s">
        <v>1561</v>
      </c>
      <c r="AI806" s="6">
        <v>54515.0</v>
      </c>
      <c r="AJ806" s="1" t="s">
        <v>86</v>
      </c>
      <c r="AK806" s="1" t="s">
        <v>8210</v>
      </c>
      <c r="AL806" s="1" t="s">
        <v>8211</v>
      </c>
      <c r="AM806" s="11" t="str">
        <f>VLOOKUP(N806,Sheet3!$B$4:$C$10,2,1)</f>
        <v>51-60</v>
      </c>
      <c r="AN806" s="12" t="str">
        <f>VLOOKUP(Z806,Sheet3!$F$4:$G$10,2,1)</f>
        <v>11-20</v>
      </c>
      <c r="AO806" s="5" t="str">
        <f>VLOOKUP(AA806,Sheet3!$I$3:$J$16,2,1)</f>
        <v>160000-180000</v>
      </c>
      <c r="AP806" s="5" t="str">
        <f>VLOOKUP(AB806,Sheet3!$L$4:$M$14,2,1)</f>
        <v>16% - 20%</v>
      </c>
    </row>
    <row r="807">
      <c r="A807" s="6">
        <v>809793.0</v>
      </c>
      <c r="B807" s="1" t="s">
        <v>42</v>
      </c>
      <c r="C807" s="1" t="s">
        <v>5005</v>
      </c>
      <c r="D807" s="1" t="s">
        <v>173</v>
      </c>
      <c r="E807" s="1" t="s">
        <v>711</v>
      </c>
      <c r="F807" s="1" t="s">
        <v>46</v>
      </c>
      <c r="G807" s="1" t="s">
        <v>8212</v>
      </c>
      <c r="H807" s="1" t="s">
        <v>7398</v>
      </c>
      <c r="I807" s="1" t="s">
        <v>8213</v>
      </c>
      <c r="J807" s="1" t="s">
        <v>8214</v>
      </c>
      <c r="K807" s="1" t="s">
        <v>1439</v>
      </c>
      <c r="L807" s="14">
        <v>28829.0</v>
      </c>
      <c r="M807" s="8">
        <v>0.12351851851851851</v>
      </c>
      <c r="N807" s="6">
        <v>38.67</v>
      </c>
      <c r="O807" s="6">
        <v>58.0</v>
      </c>
      <c r="P807" s="9">
        <v>38212.0</v>
      </c>
      <c r="Q807" s="1" t="s">
        <v>308</v>
      </c>
      <c r="R807" s="1" t="s">
        <v>53</v>
      </c>
      <c r="S807" s="6">
        <v>2004.0</v>
      </c>
      <c r="T807" s="6">
        <v>8.0</v>
      </c>
      <c r="U807" s="1" t="s">
        <v>433</v>
      </c>
      <c r="V807" s="1" t="s">
        <v>434</v>
      </c>
      <c r="W807" s="6">
        <v>13.0</v>
      </c>
      <c r="X807" s="1" t="s">
        <v>263</v>
      </c>
      <c r="Y807" s="1" t="s">
        <v>264</v>
      </c>
      <c r="Z807" s="6">
        <v>12.96</v>
      </c>
      <c r="AA807" s="6">
        <v>185330.0</v>
      </c>
      <c r="AB807" s="10">
        <v>0.3</v>
      </c>
      <c r="AC807" s="1" t="s">
        <v>8215</v>
      </c>
      <c r="AD807" s="1" t="s">
        <v>8216</v>
      </c>
      <c r="AE807" s="1" t="s">
        <v>8217</v>
      </c>
      <c r="AF807" s="1" t="s">
        <v>237</v>
      </c>
      <c r="AG807" s="1" t="s">
        <v>8217</v>
      </c>
      <c r="AH807" s="1" t="s">
        <v>238</v>
      </c>
      <c r="AI807" s="6">
        <v>90610.0</v>
      </c>
      <c r="AJ807" s="1" t="s">
        <v>63</v>
      </c>
      <c r="AK807" s="1" t="s">
        <v>8218</v>
      </c>
      <c r="AL807" s="1" t="s">
        <v>8219</v>
      </c>
      <c r="AM807" s="11" t="str">
        <f>VLOOKUP(N807,Sheet3!$B$4:$C$10,2,1)</f>
        <v>31-40</v>
      </c>
      <c r="AN807" s="12" t="str">
        <f>VLOOKUP(Z807,Sheet3!$F$4:$G$10,2,1)</f>
        <v>11-20</v>
      </c>
      <c r="AO807" s="5" t="str">
        <f>VLOOKUP(AA807,Sheet3!$I$3:$J$16,2,1)</f>
        <v>180000-200000</v>
      </c>
      <c r="AP807" s="5" t="str">
        <f>VLOOKUP(AB807,Sheet3!$L$4:$M$14,2,1)</f>
        <v>26% - 30%</v>
      </c>
    </row>
    <row r="808">
      <c r="A808" s="6">
        <v>942454.0</v>
      </c>
      <c r="B808" s="1" t="s">
        <v>125</v>
      </c>
      <c r="C808" s="1" t="s">
        <v>8220</v>
      </c>
      <c r="D808" s="1" t="s">
        <v>200</v>
      </c>
      <c r="E808" s="1" t="s">
        <v>8221</v>
      </c>
      <c r="F808" s="1" t="s">
        <v>70</v>
      </c>
      <c r="G808" s="1" t="s">
        <v>8222</v>
      </c>
      <c r="H808" s="1" t="s">
        <v>7398</v>
      </c>
      <c r="I808" s="1" t="s">
        <v>8223</v>
      </c>
      <c r="J808" s="1" t="s">
        <v>8224</v>
      </c>
      <c r="K808" s="1" t="s">
        <v>2394</v>
      </c>
      <c r="L808" s="9">
        <v>31502.0</v>
      </c>
      <c r="M808" s="8">
        <v>0.8148842592592592</v>
      </c>
      <c r="N808" s="6">
        <v>31.35</v>
      </c>
      <c r="O808" s="6">
        <v>81.0</v>
      </c>
      <c r="P808" s="9">
        <v>40628.0</v>
      </c>
      <c r="Q808" s="1" t="s">
        <v>96</v>
      </c>
      <c r="R808" s="1" t="s">
        <v>76</v>
      </c>
      <c r="S808" s="6">
        <v>2011.0</v>
      </c>
      <c r="T808" s="6">
        <v>3.0</v>
      </c>
      <c r="U808" s="1" t="s">
        <v>97</v>
      </c>
      <c r="V808" s="1" t="s">
        <v>98</v>
      </c>
      <c r="W808" s="6">
        <v>26.0</v>
      </c>
      <c r="X808" s="1" t="s">
        <v>56</v>
      </c>
      <c r="Y808" s="1" t="s">
        <v>57</v>
      </c>
      <c r="Z808" s="6">
        <v>6.35</v>
      </c>
      <c r="AA808" s="6">
        <v>187192.0</v>
      </c>
      <c r="AB808" s="10">
        <v>0.01</v>
      </c>
      <c r="AC808" s="1" t="s">
        <v>8225</v>
      </c>
      <c r="AD808" s="1" t="s">
        <v>8226</v>
      </c>
      <c r="AE808" s="1" t="s">
        <v>8227</v>
      </c>
      <c r="AF808" s="1" t="s">
        <v>1424</v>
      </c>
      <c r="AG808" s="1" t="s">
        <v>8227</v>
      </c>
      <c r="AH808" s="1" t="s">
        <v>284</v>
      </c>
      <c r="AI808" s="6">
        <v>52241.0</v>
      </c>
      <c r="AJ808" s="1" t="s">
        <v>86</v>
      </c>
      <c r="AK808" s="1" t="s">
        <v>8228</v>
      </c>
      <c r="AL808" s="1" t="s">
        <v>8229</v>
      </c>
      <c r="AM808" s="11" t="str">
        <f>VLOOKUP(N808,Sheet3!$B$4:$C$10,2,1)</f>
        <v>31-40</v>
      </c>
      <c r="AN808" s="12" t="str">
        <f>VLOOKUP(Z808,Sheet3!$F$4:$G$10,2,1)</f>
        <v>5-10</v>
      </c>
      <c r="AO808" s="5" t="str">
        <f>VLOOKUP(AA808,Sheet3!$I$3:$J$16,2,1)</f>
        <v>180000-200000</v>
      </c>
      <c r="AP808" s="5" t="str">
        <f>VLOOKUP(AB808,Sheet3!$L$4:$M$14,2,1)</f>
        <v>&lt; 5%</v>
      </c>
    </row>
    <row r="809">
      <c r="A809" s="6">
        <v>228229.0</v>
      </c>
      <c r="B809" s="1" t="s">
        <v>109</v>
      </c>
      <c r="C809" s="1" t="s">
        <v>8230</v>
      </c>
      <c r="D809" s="1" t="s">
        <v>242</v>
      </c>
      <c r="E809" s="1" t="s">
        <v>8231</v>
      </c>
      <c r="F809" s="1" t="s">
        <v>46</v>
      </c>
      <c r="G809" s="1" t="s">
        <v>8232</v>
      </c>
      <c r="H809" s="1" t="s">
        <v>7398</v>
      </c>
      <c r="I809" s="1" t="s">
        <v>8233</v>
      </c>
      <c r="J809" s="1" t="s">
        <v>8234</v>
      </c>
      <c r="K809" s="1" t="s">
        <v>5960</v>
      </c>
      <c r="L809" s="9">
        <v>27414.0</v>
      </c>
      <c r="M809" s="8">
        <v>0.06363425925925927</v>
      </c>
      <c r="N809" s="6">
        <v>42.55</v>
      </c>
      <c r="O809" s="6">
        <v>40.0</v>
      </c>
      <c r="P809" s="9">
        <v>40205.0</v>
      </c>
      <c r="Q809" s="1" t="s">
        <v>96</v>
      </c>
      <c r="R809" s="1" t="s">
        <v>76</v>
      </c>
      <c r="S809" s="6">
        <v>2010.0</v>
      </c>
      <c r="T809" s="6">
        <v>1.0</v>
      </c>
      <c r="U809" s="1" t="s">
        <v>276</v>
      </c>
      <c r="V809" s="1" t="s">
        <v>277</v>
      </c>
      <c r="W809" s="6">
        <v>27.0</v>
      </c>
      <c r="X809" s="1" t="s">
        <v>278</v>
      </c>
      <c r="Y809" s="1" t="s">
        <v>279</v>
      </c>
      <c r="Z809" s="6">
        <v>7.5</v>
      </c>
      <c r="AA809" s="6">
        <v>59681.0</v>
      </c>
      <c r="AB809" s="10">
        <v>0.02</v>
      </c>
      <c r="AC809" s="1" t="s">
        <v>8235</v>
      </c>
      <c r="AD809" s="1" t="s">
        <v>8236</v>
      </c>
      <c r="AE809" s="1" t="s">
        <v>1055</v>
      </c>
      <c r="AF809" s="1" t="s">
        <v>1056</v>
      </c>
      <c r="AG809" s="1" t="s">
        <v>1055</v>
      </c>
      <c r="AH809" s="1" t="s">
        <v>488</v>
      </c>
      <c r="AI809" s="6">
        <v>33419.0</v>
      </c>
      <c r="AJ809" s="1" t="s">
        <v>106</v>
      </c>
      <c r="AK809" s="1" t="s">
        <v>8237</v>
      </c>
      <c r="AL809" s="1" t="s">
        <v>8238</v>
      </c>
      <c r="AM809" s="11" t="str">
        <f>VLOOKUP(N809,Sheet3!$B$4:$C$10,2,1)</f>
        <v>41-50</v>
      </c>
      <c r="AN809" s="12" t="str">
        <f>VLOOKUP(Z809,Sheet3!$F$4:$G$10,2,1)</f>
        <v>5-10</v>
      </c>
      <c r="AO809" s="5" t="str">
        <f>VLOOKUP(AA809,Sheet3!$I$3:$J$16,2,1)</f>
        <v>40000-60000</v>
      </c>
      <c r="AP809" s="5" t="str">
        <f>VLOOKUP(AB809,Sheet3!$L$4:$M$14,2,1)</f>
        <v>&lt; 5%</v>
      </c>
    </row>
    <row r="810">
      <c r="A810" s="6">
        <v>375190.0</v>
      </c>
      <c r="B810" s="1" t="s">
        <v>66</v>
      </c>
      <c r="C810" s="1" t="s">
        <v>8239</v>
      </c>
      <c r="D810" s="1" t="s">
        <v>403</v>
      </c>
      <c r="E810" s="1" t="s">
        <v>8240</v>
      </c>
      <c r="F810" s="1" t="s">
        <v>70</v>
      </c>
      <c r="G810" s="1" t="s">
        <v>8241</v>
      </c>
      <c r="H810" s="1" t="s">
        <v>7398</v>
      </c>
      <c r="I810" s="1" t="s">
        <v>8242</v>
      </c>
      <c r="J810" s="1" t="s">
        <v>8243</v>
      </c>
      <c r="K810" s="1" t="s">
        <v>2225</v>
      </c>
      <c r="L810" s="9">
        <v>29120.0</v>
      </c>
      <c r="M810" s="8">
        <v>0.4778703703703704</v>
      </c>
      <c r="N810" s="6">
        <v>37.87</v>
      </c>
      <c r="O810" s="6">
        <v>54.0</v>
      </c>
      <c r="P810" s="9">
        <v>37851.0</v>
      </c>
      <c r="Q810" s="1" t="s">
        <v>308</v>
      </c>
      <c r="R810" s="1" t="s">
        <v>53</v>
      </c>
      <c r="S810" s="6">
        <v>2003.0</v>
      </c>
      <c r="T810" s="6">
        <v>8.0</v>
      </c>
      <c r="U810" s="1" t="s">
        <v>433</v>
      </c>
      <c r="V810" s="1" t="s">
        <v>434</v>
      </c>
      <c r="W810" s="6">
        <v>18.0</v>
      </c>
      <c r="X810" s="1" t="s">
        <v>99</v>
      </c>
      <c r="Y810" s="1" t="s">
        <v>100</v>
      </c>
      <c r="Z810" s="6">
        <v>13.95</v>
      </c>
      <c r="AA810" s="6">
        <v>117985.0</v>
      </c>
      <c r="AB810" s="10">
        <v>0.3</v>
      </c>
      <c r="AC810" s="1" t="s">
        <v>8244</v>
      </c>
      <c r="AD810" s="1" t="s">
        <v>8245</v>
      </c>
      <c r="AE810" s="1" t="s">
        <v>8246</v>
      </c>
      <c r="AF810" s="1" t="s">
        <v>2633</v>
      </c>
      <c r="AG810" s="1" t="s">
        <v>8246</v>
      </c>
      <c r="AH810" s="1" t="s">
        <v>811</v>
      </c>
      <c r="AI810" s="6">
        <v>38642.0</v>
      </c>
      <c r="AJ810" s="1" t="s">
        <v>106</v>
      </c>
      <c r="AK810" s="1" t="s">
        <v>8247</v>
      </c>
      <c r="AL810" s="1" t="s">
        <v>8248</v>
      </c>
      <c r="AM810" s="11" t="str">
        <f>VLOOKUP(N810,Sheet3!$B$4:$C$10,2,1)</f>
        <v>31-40</v>
      </c>
      <c r="AN810" s="12" t="str">
        <f>VLOOKUP(Z810,Sheet3!$F$4:$G$10,2,1)</f>
        <v>11-20</v>
      </c>
      <c r="AO810" s="5" t="str">
        <f>VLOOKUP(AA810,Sheet3!$I$3:$J$16,2,1)</f>
        <v>100000-120000</v>
      </c>
      <c r="AP810" s="5" t="str">
        <f>VLOOKUP(AB810,Sheet3!$L$4:$M$14,2,1)</f>
        <v>26% - 30%</v>
      </c>
    </row>
    <row r="811">
      <c r="A811" s="6">
        <v>532560.0</v>
      </c>
      <c r="B811" s="1" t="s">
        <v>42</v>
      </c>
      <c r="C811" s="1" t="s">
        <v>5056</v>
      </c>
      <c r="D811" s="1" t="s">
        <v>416</v>
      </c>
      <c r="E811" s="1" t="s">
        <v>615</v>
      </c>
      <c r="F811" s="1" t="s">
        <v>46</v>
      </c>
      <c r="G811" s="1" t="s">
        <v>8249</v>
      </c>
      <c r="H811" s="1" t="s">
        <v>7398</v>
      </c>
      <c r="I811" s="1" t="s">
        <v>8250</v>
      </c>
      <c r="J811" s="1" t="s">
        <v>8251</v>
      </c>
      <c r="K811" s="1" t="s">
        <v>1633</v>
      </c>
      <c r="L811" s="14">
        <v>27948.0</v>
      </c>
      <c r="M811" s="8">
        <v>0.5055671296296296</v>
      </c>
      <c r="N811" s="6">
        <v>41.08</v>
      </c>
      <c r="O811" s="6">
        <v>52.0</v>
      </c>
      <c r="P811" s="14">
        <v>40005.0</v>
      </c>
      <c r="Q811" s="1" t="s">
        <v>308</v>
      </c>
      <c r="R811" s="1" t="s">
        <v>53</v>
      </c>
      <c r="S811" s="6">
        <v>2009.0</v>
      </c>
      <c r="T811" s="6">
        <v>7.0</v>
      </c>
      <c r="U811" s="1" t="s">
        <v>366</v>
      </c>
      <c r="V811" s="1" t="s">
        <v>367</v>
      </c>
      <c r="W811" s="6">
        <v>11.0</v>
      </c>
      <c r="X811" s="1" t="s">
        <v>56</v>
      </c>
      <c r="Y811" s="1" t="s">
        <v>57</v>
      </c>
      <c r="Z811" s="6">
        <v>8.05</v>
      </c>
      <c r="AA811" s="6">
        <v>105760.0</v>
      </c>
      <c r="AB811" s="10">
        <v>0.09</v>
      </c>
      <c r="AC811" s="1" t="s">
        <v>8252</v>
      </c>
      <c r="AD811" s="1" t="s">
        <v>8253</v>
      </c>
      <c r="AE811" s="1" t="s">
        <v>8254</v>
      </c>
      <c r="AF811" s="1" t="s">
        <v>8255</v>
      </c>
      <c r="AG811" s="1" t="s">
        <v>8254</v>
      </c>
      <c r="AH811" s="1" t="s">
        <v>893</v>
      </c>
      <c r="AI811" s="6">
        <v>28564.0</v>
      </c>
      <c r="AJ811" s="1" t="s">
        <v>106</v>
      </c>
      <c r="AK811" s="1" t="s">
        <v>8256</v>
      </c>
      <c r="AL811" s="1" t="s">
        <v>8257</v>
      </c>
      <c r="AM811" s="11" t="str">
        <f>VLOOKUP(N811,Sheet3!$B$4:$C$10,2,1)</f>
        <v>41-50</v>
      </c>
      <c r="AN811" s="12" t="str">
        <f>VLOOKUP(Z811,Sheet3!$F$4:$G$10,2,1)</f>
        <v>5-10</v>
      </c>
      <c r="AO811" s="5" t="str">
        <f>VLOOKUP(AA811,Sheet3!$I$3:$J$16,2,1)</f>
        <v>100000-120000</v>
      </c>
      <c r="AP811" s="5" t="str">
        <f>VLOOKUP(AB811,Sheet3!$L$4:$M$14,2,1)</f>
        <v>5% - 10%</v>
      </c>
    </row>
    <row r="812">
      <c r="A812" s="6">
        <v>210135.0</v>
      </c>
      <c r="B812" s="1" t="s">
        <v>42</v>
      </c>
      <c r="C812" s="1" t="s">
        <v>6061</v>
      </c>
      <c r="D812" s="1" t="s">
        <v>288</v>
      </c>
      <c r="E812" s="1" t="s">
        <v>760</v>
      </c>
      <c r="F812" s="1" t="s">
        <v>46</v>
      </c>
      <c r="G812" s="1" t="s">
        <v>8258</v>
      </c>
      <c r="H812" s="1" t="s">
        <v>7398</v>
      </c>
      <c r="I812" s="1" t="s">
        <v>8259</v>
      </c>
      <c r="J812" s="1" t="s">
        <v>8260</v>
      </c>
      <c r="K812" s="1" t="s">
        <v>2035</v>
      </c>
      <c r="L812" s="9">
        <v>32375.0</v>
      </c>
      <c r="M812" s="8">
        <v>0.9975694444444444</v>
      </c>
      <c r="N812" s="6">
        <v>28.96</v>
      </c>
      <c r="O812" s="6">
        <v>57.0</v>
      </c>
      <c r="P812" s="9">
        <v>41567.0</v>
      </c>
      <c r="Q812" s="1" t="s">
        <v>52</v>
      </c>
      <c r="R812" s="1" t="s">
        <v>53</v>
      </c>
      <c r="S812" s="6">
        <v>2013.0</v>
      </c>
      <c r="T812" s="6">
        <v>10.0</v>
      </c>
      <c r="U812" s="1" t="s">
        <v>133</v>
      </c>
      <c r="V812" s="1" t="s">
        <v>134</v>
      </c>
      <c r="W812" s="6">
        <v>20.0</v>
      </c>
      <c r="X812" s="1" t="s">
        <v>534</v>
      </c>
      <c r="Y812" s="1" t="s">
        <v>535</v>
      </c>
      <c r="Z812" s="6">
        <v>3.77</v>
      </c>
      <c r="AA812" s="6">
        <v>164379.0</v>
      </c>
      <c r="AB812" s="10">
        <v>0.11</v>
      </c>
      <c r="AC812" s="1" t="s">
        <v>8261</v>
      </c>
      <c r="AD812" s="1" t="s">
        <v>8262</v>
      </c>
      <c r="AE812" s="1" t="s">
        <v>8263</v>
      </c>
      <c r="AF812" s="1" t="s">
        <v>293</v>
      </c>
      <c r="AG812" s="1" t="s">
        <v>8263</v>
      </c>
      <c r="AH812" s="1" t="s">
        <v>1561</v>
      </c>
      <c r="AI812" s="6">
        <v>54301.0</v>
      </c>
      <c r="AJ812" s="1" t="s">
        <v>86</v>
      </c>
      <c r="AK812" s="1" t="s">
        <v>8264</v>
      </c>
      <c r="AL812" s="1" t="s">
        <v>8265</v>
      </c>
      <c r="AM812" s="11" t="str">
        <f>VLOOKUP(N812,Sheet3!$B$4:$C$10,2,1)</f>
        <v>21-30</v>
      </c>
      <c r="AN812" s="13" t="str">
        <f>VLOOKUP(Z812,Sheet3!$F$4:$G$10,2,1)</f>
        <v>&lt; 5</v>
      </c>
      <c r="AO812" s="5" t="str">
        <f>VLOOKUP(AA812,Sheet3!$I$3:$J$16,2,1)</f>
        <v>160000-180000</v>
      </c>
      <c r="AP812" s="5" t="str">
        <f>VLOOKUP(AB812,Sheet3!$L$4:$M$14,2,1)</f>
        <v>11% - 15%</v>
      </c>
    </row>
    <row r="813">
      <c r="A813" s="6">
        <v>228355.0</v>
      </c>
      <c r="B813" s="1" t="s">
        <v>255</v>
      </c>
      <c r="C813" s="1" t="s">
        <v>8266</v>
      </c>
      <c r="D813" s="1" t="s">
        <v>683</v>
      </c>
      <c r="E813" s="1" t="s">
        <v>2056</v>
      </c>
      <c r="F813" s="1" t="s">
        <v>70</v>
      </c>
      <c r="G813" s="1" t="s">
        <v>8267</v>
      </c>
      <c r="H813" s="1" t="s">
        <v>7398</v>
      </c>
      <c r="I813" s="1" t="s">
        <v>8268</v>
      </c>
      <c r="J813" s="1" t="s">
        <v>8269</v>
      </c>
      <c r="K813" s="1" t="s">
        <v>6382</v>
      </c>
      <c r="L813" s="9">
        <v>29051.0</v>
      </c>
      <c r="M813" s="8">
        <v>0.9719097222222223</v>
      </c>
      <c r="N813" s="6">
        <v>38.06</v>
      </c>
      <c r="O813" s="6">
        <v>80.0</v>
      </c>
      <c r="P813" s="9">
        <v>38033.0</v>
      </c>
      <c r="Q813" s="1" t="s">
        <v>96</v>
      </c>
      <c r="R813" s="1" t="s">
        <v>76</v>
      </c>
      <c r="S813" s="6">
        <v>2004.0</v>
      </c>
      <c r="T813" s="6">
        <v>2.0</v>
      </c>
      <c r="U813" s="1" t="s">
        <v>117</v>
      </c>
      <c r="V813" s="1" t="s">
        <v>118</v>
      </c>
      <c r="W813" s="6">
        <v>16.0</v>
      </c>
      <c r="X813" s="1" t="s">
        <v>99</v>
      </c>
      <c r="Y813" s="1" t="s">
        <v>100</v>
      </c>
      <c r="Z813" s="6">
        <v>13.45</v>
      </c>
      <c r="AA813" s="6">
        <v>152692.0</v>
      </c>
      <c r="AB813" s="10">
        <v>0.2</v>
      </c>
      <c r="AC813" s="1" t="s">
        <v>8270</v>
      </c>
      <c r="AD813" s="1" t="s">
        <v>8271</v>
      </c>
      <c r="AE813" s="1" t="s">
        <v>8272</v>
      </c>
      <c r="AF813" s="1" t="s">
        <v>6734</v>
      </c>
      <c r="AG813" s="1" t="s">
        <v>8272</v>
      </c>
      <c r="AH813" s="1" t="s">
        <v>1561</v>
      </c>
      <c r="AI813" s="6">
        <v>54839.0</v>
      </c>
      <c r="AJ813" s="1" t="s">
        <v>86</v>
      </c>
      <c r="AK813" s="1" t="s">
        <v>8273</v>
      </c>
      <c r="AL813" s="1" t="s">
        <v>8274</v>
      </c>
      <c r="AM813" s="11" t="str">
        <f>VLOOKUP(N813,Sheet3!$B$4:$C$10,2,1)</f>
        <v>31-40</v>
      </c>
      <c r="AN813" s="12" t="str">
        <f>VLOOKUP(Z813,Sheet3!$F$4:$G$10,2,1)</f>
        <v>11-20</v>
      </c>
      <c r="AO813" s="5" t="str">
        <f>VLOOKUP(AA813,Sheet3!$I$3:$J$16,2,1)</f>
        <v>140000-160000</v>
      </c>
      <c r="AP813" s="5" t="str">
        <f>VLOOKUP(AB813,Sheet3!$L$4:$M$14,2,1)</f>
        <v>16% - 20%</v>
      </c>
    </row>
    <row r="814">
      <c r="A814" s="6">
        <v>965308.0</v>
      </c>
      <c r="B814" s="1" t="s">
        <v>109</v>
      </c>
      <c r="C814" s="1" t="s">
        <v>8275</v>
      </c>
      <c r="D814" s="1" t="s">
        <v>389</v>
      </c>
      <c r="E814" s="1" t="s">
        <v>1728</v>
      </c>
      <c r="F814" s="1" t="s">
        <v>46</v>
      </c>
      <c r="G814" s="1" t="s">
        <v>8276</v>
      </c>
      <c r="H814" s="1" t="s">
        <v>7398</v>
      </c>
      <c r="I814" s="1" t="s">
        <v>8277</v>
      </c>
      <c r="J814" s="1" t="s">
        <v>8278</v>
      </c>
      <c r="K814" s="1" t="s">
        <v>2347</v>
      </c>
      <c r="L814" s="9">
        <v>30635.0</v>
      </c>
      <c r="M814" s="8">
        <v>0.49472222222222223</v>
      </c>
      <c r="N814" s="6">
        <v>33.72</v>
      </c>
      <c r="O814" s="6">
        <v>55.0</v>
      </c>
      <c r="P814" s="9">
        <v>42931.0</v>
      </c>
      <c r="Q814" s="1" t="s">
        <v>308</v>
      </c>
      <c r="R814" s="1" t="s">
        <v>53</v>
      </c>
      <c r="S814" s="6">
        <v>2017.0</v>
      </c>
      <c r="T814" s="6">
        <v>7.0</v>
      </c>
      <c r="U814" s="1" t="s">
        <v>366</v>
      </c>
      <c r="V814" s="1" t="s">
        <v>367</v>
      </c>
      <c r="W814" s="6">
        <v>15.0</v>
      </c>
      <c r="X814" s="1" t="s">
        <v>56</v>
      </c>
      <c r="Y814" s="1" t="s">
        <v>57</v>
      </c>
      <c r="Z814" s="6">
        <v>0.04</v>
      </c>
      <c r="AA814" s="6">
        <v>125241.0</v>
      </c>
      <c r="AB814" s="10">
        <v>0.0</v>
      </c>
      <c r="AC814" s="1" t="s">
        <v>8279</v>
      </c>
      <c r="AD814" s="1" t="s">
        <v>8280</v>
      </c>
      <c r="AE814" s="1" t="s">
        <v>8281</v>
      </c>
      <c r="AF814" s="1" t="s">
        <v>8282</v>
      </c>
      <c r="AG814" s="1" t="s">
        <v>8281</v>
      </c>
      <c r="AH814" s="1" t="s">
        <v>105</v>
      </c>
      <c r="AI814" s="6">
        <v>40006.0</v>
      </c>
      <c r="AJ814" s="1" t="s">
        <v>106</v>
      </c>
      <c r="AK814" s="1" t="s">
        <v>8283</v>
      </c>
      <c r="AL814" s="1" t="s">
        <v>8284</v>
      </c>
      <c r="AM814" s="11" t="str">
        <f>VLOOKUP(N814,Sheet3!$B$4:$C$10,2,1)</f>
        <v>31-40</v>
      </c>
      <c r="AN814" s="13" t="str">
        <f>VLOOKUP(Z814,Sheet3!$F$4:$G$10,2,1)</f>
        <v>&lt; 5</v>
      </c>
      <c r="AO814" s="5" t="str">
        <f>VLOOKUP(AA814,Sheet3!$I$3:$J$16,2,1)</f>
        <v>120000-140000</v>
      </c>
      <c r="AP814" s="5" t="str">
        <f>VLOOKUP(AB814,Sheet3!$L$4:$M$14,2,1)</f>
        <v>&lt; 5%</v>
      </c>
    </row>
    <row r="815">
      <c r="A815" s="6">
        <v>768500.0</v>
      </c>
      <c r="B815" s="1" t="s">
        <v>42</v>
      </c>
      <c r="C815" s="1" t="s">
        <v>2202</v>
      </c>
      <c r="D815" s="1" t="s">
        <v>1300</v>
      </c>
      <c r="E815" s="1" t="s">
        <v>8285</v>
      </c>
      <c r="F815" s="1" t="s">
        <v>46</v>
      </c>
      <c r="G815" s="1" t="s">
        <v>8286</v>
      </c>
      <c r="H815" s="1" t="s">
        <v>7398</v>
      </c>
      <c r="I815" s="1" t="s">
        <v>8287</v>
      </c>
      <c r="J815" s="1" t="s">
        <v>8288</v>
      </c>
      <c r="K815" s="1" t="s">
        <v>779</v>
      </c>
      <c r="L815" s="9">
        <v>22241.0</v>
      </c>
      <c r="M815" s="8">
        <v>0.955775462962963</v>
      </c>
      <c r="N815" s="6">
        <v>56.72</v>
      </c>
      <c r="O815" s="6">
        <v>60.0</v>
      </c>
      <c r="P815" s="9">
        <v>31068.0</v>
      </c>
      <c r="Q815" s="1" t="s">
        <v>96</v>
      </c>
      <c r="R815" s="1" t="s">
        <v>76</v>
      </c>
      <c r="S815" s="6">
        <v>1985.0</v>
      </c>
      <c r="T815" s="6">
        <v>1.0</v>
      </c>
      <c r="U815" s="1" t="s">
        <v>276</v>
      </c>
      <c r="V815" s="1" t="s">
        <v>277</v>
      </c>
      <c r="W815" s="6">
        <v>21.0</v>
      </c>
      <c r="X815" s="1" t="s">
        <v>99</v>
      </c>
      <c r="Y815" s="1" t="s">
        <v>100</v>
      </c>
      <c r="Z815" s="6">
        <v>32.54</v>
      </c>
      <c r="AA815" s="6">
        <v>65123.0</v>
      </c>
      <c r="AB815" s="10">
        <v>0.09</v>
      </c>
      <c r="AC815" s="1" t="s">
        <v>8289</v>
      </c>
      <c r="AD815" s="1" t="s">
        <v>8290</v>
      </c>
      <c r="AE815" s="1" t="s">
        <v>8291</v>
      </c>
      <c r="AF815" s="1" t="s">
        <v>3214</v>
      </c>
      <c r="AG815" s="1" t="s">
        <v>8291</v>
      </c>
      <c r="AH815" s="1" t="s">
        <v>563</v>
      </c>
      <c r="AI815" s="6">
        <v>25519.0</v>
      </c>
      <c r="AJ815" s="1" t="s">
        <v>106</v>
      </c>
      <c r="AK815" s="1" t="s">
        <v>8292</v>
      </c>
      <c r="AL815" s="1" t="s">
        <v>8293</v>
      </c>
      <c r="AM815" s="11" t="str">
        <f>VLOOKUP(N815,Sheet3!$B$4:$C$10,2,1)</f>
        <v>51-60</v>
      </c>
      <c r="AN815" s="13" t="str">
        <f>VLOOKUP(Z815,Sheet3!$F$4:$G$10,2,1)</f>
        <v>31-40</v>
      </c>
      <c r="AO815" s="5" t="str">
        <f>VLOOKUP(AA815,Sheet3!$I$3:$J$16,2,1)</f>
        <v>60000-80000</v>
      </c>
      <c r="AP815" s="5" t="str">
        <f>VLOOKUP(AB815,Sheet3!$L$4:$M$14,2,1)</f>
        <v>5% - 10%</v>
      </c>
    </row>
    <row r="816">
      <c r="A816" s="6">
        <v>816768.0</v>
      </c>
      <c r="B816" s="1" t="s">
        <v>255</v>
      </c>
      <c r="C816" s="1" t="s">
        <v>1193</v>
      </c>
      <c r="D816" s="1" t="s">
        <v>334</v>
      </c>
      <c r="E816" s="1" t="s">
        <v>1473</v>
      </c>
      <c r="F816" s="1" t="s">
        <v>70</v>
      </c>
      <c r="G816" s="1" t="s">
        <v>8294</v>
      </c>
      <c r="H816" s="1" t="s">
        <v>7398</v>
      </c>
      <c r="I816" s="1" t="s">
        <v>8295</v>
      </c>
      <c r="J816" s="1" t="s">
        <v>8296</v>
      </c>
      <c r="K816" s="1" t="s">
        <v>3282</v>
      </c>
      <c r="L816" s="9">
        <v>34749.0</v>
      </c>
      <c r="M816" s="8">
        <v>0.8315046296296297</v>
      </c>
      <c r="N816" s="6">
        <v>22.45</v>
      </c>
      <c r="O816" s="6">
        <v>90.0</v>
      </c>
      <c r="P816" s="14">
        <v>42739.0</v>
      </c>
      <c r="Q816" s="1" t="s">
        <v>96</v>
      </c>
      <c r="R816" s="1" t="s">
        <v>76</v>
      </c>
      <c r="S816" s="6">
        <v>2017.0</v>
      </c>
      <c r="T816" s="6">
        <v>1.0</v>
      </c>
      <c r="U816" s="1" t="s">
        <v>276</v>
      </c>
      <c r="V816" s="1" t="s">
        <v>277</v>
      </c>
      <c r="W816" s="6">
        <v>4.0</v>
      </c>
      <c r="X816" s="1" t="s">
        <v>278</v>
      </c>
      <c r="Y816" s="1" t="s">
        <v>279</v>
      </c>
      <c r="Z816" s="6">
        <v>0.56</v>
      </c>
      <c r="AA816" s="6">
        <v>62888.0</v>
      </c>
      <c r="AB816" s="10">
        <v>0.15</v>
      </c>
      <c r="AC816" s="1" t="s">
        <v>8297</v>
      </c>
      <c r="AD816" s="1" t="s">
        <v>8298</v>
      </c>
      <c r="AE816" s="1" t="s">
        <v>1023</v>
      </c>
      <c r="AF816" s="1" t="s">
        <v>1756</v>
      </c>
      <c r="AG816" s="1" t="s">
        <v>1023</v>
      </c>
      <c r="AH816" s="1" t="s">
        <v>169</v>
      </c>
      <c r="AI816" s="6">
        <v>75976.0</v>
      </c>
      <c r="AJ816" s="1" t="s">
        <v>106</v>
      </c>
      <c r="AK816" s="1" t="s">
        <v>8299</v>
      </c>
      <c r="AL816" s="1" t="s">
        <v>8300</v>
      </c>
      <c r="AM816" s="11" t="str">
        <f>VLOOKUP(N816,Sheet3!$B$4:$C$10,2,1)</f>
        <v>21-30</v>
      </c>
      <c r="AN816" s="13" t="str">
        <f>VLOOKUP(Z816,Sheet3!$F$4:$G$10,2,1)</f>
        <v>&lt; 5</v>
      </c>
      <c r="AO816" s="5" t="str">
        <f>VLOOKUP(AA816,Sheet3!$I$3:$J$16,2,1)</f>
        <v>60000-80000</v>
      </c>
      <c r="AP816" s="5" t="str">
        <f>VLOOKUP(AB816,Sheet3!$L$4:$M$14,2,1)</f>
        <v>11% - 15%</v>
      </c>
    </row>
    <row r="817">
      <c r="A817" s="6">
        <v>909541.0</v>
      </c>
      <c r="B817" s="1" t="s">
        <v>66</v>
      </c>
      <c r="C817" s="1" t="s">
        <v>8301</v>
      </c>
      <c r="D817" s="1" t="s">
        <v>334</v>
      </c>
      <c r="E817" s="1" t="s">
        <v>6438</v>
      </c>
      <c r="F817" s="1" t="s">
        <v>70</v>
      </c>
      <c r="G817" s="1" t="s">
        <v>8302</v>
      </c>
      <c r="H817" s="1" t="s">
        <v>7398</v>
      </c>
      <c r="I817" s="1" t="s">
        <v>8303</v>
      </c>
      <c r="J817" s="1" t="s">
        <v>8304</v>
      </c>
      <c r="K817" s="1" t="s">
        <v>444</v>
      </c>
      <c r="L817" s="9">
        <v>21515.0</v>
      </c>
      <c r="M817" s="8">
        <v>0.2333912037037037</v>
      </c>
      <c r="N817" s="6">
        <v>58.71</v>
      </c>
      <c r="O817" s="6">
        <v>64.0</v>
      </c>
      <c r="P817" s="9">
        <v>30487.0</v>
      </c>
      <c r="Q817" s="1" t="s">
        <v>75</v>
      </c>
      <c r="R817" s="1" t="s">
        <v>76</v>
      </c>
      <c r="S817" s="6">
        <v>1983.0</v>
      </c>
      <c r="T817" s="6">
        <v>6.0</v>
      </c>
      <c r="U817" s="1" t="s">
        <v>324</v>
      </c>
      <c r="V817" s="1" t="s">
        <v>325</v>
      </c>
      <c r="W817" s="6">
        <v>20.0</v>
      </c>
      <c r="X817" s="1" t="s">
        <v>99</v>
      </c>
      <c r="Y817" s="1" t="s">
        <v>100</v>
      </c>
      <c r="Z817" s="6">
        <v>34.13</v>
      </c>
      <c r="AA817" s="6">
        <v>47356.0</v>
      </c>
      <c r="AB817" s="10">
        <v>0.06</v>
      </c>
      <c r="AC817" s="1" t="s">
        <v>8305</v>
      </c>
      <c r="AD817" s="1" t="s">
        <v>8306</v>
      </c>
      <c r="AE817" s="1" t="s">
        <v>8307</v>
      </c>
      <c r="AF817" s="1" t="s">
        <v>8308</v>
      </c>
      <c r="AG817" s="1" t="s">
        <v>8307</v>
      </c>
      <c r="AH817" s="1" t="s">
        <v>906</v>
      </c>
      <c r="AI817" s="6">
        <v>8223.0</v>
      </c>
      <c r="AJ817" s="1" t="s">
        <v>224</v>
      </c>
      <c r="AK817" s="1" t="s">
        <v>8309</v>
      </c>
      <c r="AL817" s="1" t="s">
        <v>8310</v>
      </c>
      <c r="AM817" s="11" t="str">
        <f>VLOOKUP(N817,Sheet3!$B$4:$C$10,2,1)</f>
        <v>51-60</v>
      </c>
      <c r="AN817" s="13" t="str">
        <f>VLOOKUP(Z817,Sheet3!$F$4:$G$10,2,1)</f>
        <v>31-40</v>
      </c>
      <c r="AO817" s="5" t="str">
        <f>VLOOKUP(AA817,Sheet3!$I$3:$J$16,2,1)</f>
        <v>40000-60000</v>
      </c>
      <c r="AP817" s="5" t="str">
        <f>VLOOKUP(AB817,Sheet3!$L$4:$M$14,2,1)</f>
        <v>5% - 10%</v>
      </c>
    </row>
    <row r="818">
      <c r="A818" s="6">
        <v>529604.0</v>
      </c>
      <c r="B818" s="1" t="s">
        <v>66</v>
      </c>
      <c r="C818" s="1" t="s">
        <v>8311</v>
      </c>
      <c r="D818" s="1" t="s">
        <v>416</v>
      </c>
      <c r="E818" s="1" t="s">
        <v>8098</v>
      </c>
      <c r="F818" s="1" t="s">
        <v>70</v>
      </c>
      <c r="G818" s="1" t="s">
        <v>8312</v>
      </c>
      <c r="H818" s="1" t="s">
        <v>7398</v>
      </c>
      <c r="I818" s="1" t="s">
        <v>8313</v>
      </c>
      <c r="J818" s="1" t="s">
        <v>8314</v>
      </c>
      <c r="K818" s="1" t="s">
        <v>2131</v>
      </c>
      <c r="L818" s="14">
        <v>30109.0</v>
      </c>
      <c r="M818" s="8">
        <v>0.4971990740740741</v>
      </c>
      <c r="N818" s="6">
        <v>35.16</v>
      </c>
      <c r="O818" s="6">
        <v>81.0</v>
      </c>
      <c r="P818" s="14">
        <v>41737.0</v>
      </c>
      <c r="Q818" s="1" t="s">
        <v>75</v>
      </c>
      <c r="R818" s="1" t="s">
        <v>76</v>
      </c>
      <c r="S818" s="6">
        <v>2014.0</v>
      </c>
      <c r="T818" s="6">
        <v>4.0</v>
      </c>
      <c r="U818" s="1" t="s">
        <v>77</v>
      </c>
      <c r="V818" s="1" t="s">
        <v>78</v>
      </c>
      <c r="W818" s="6">
        <v>8.0</v>
      </c>
      <c r="X818" s="1" t="s">
        <v>79</v>
      </c>
      <c r="Y818" s="1" t="s">
        <v>80</v>
      </c>
      <c r="Z818" s="6">
        <v>3.31</v>
      </c>
      <c r="AA818" s="6">
        <v>110662.0</v>
      </c>
      <c r="AB818" s="10">
        <v>0.25</v>
      </c>
      <c r="AC818" s="1" t="s">
        <v>8315</v>
      </c>
      <c r="AD818" s="1" t="s">
        <v>8316</v>
      </c>
      <c r="AE818" s="1" t="s">
        <v>8317</v>
      </c>
      <c r="AF818" s="1" t="s">
        <v>3960</v>
      </c>
      <c r="AG818" s="1" t="s">
        <v>8317</v>
      </c>
      <c r="AH818" s="1" t="s">
        <v>122</v>
      </c>
      <c r="AI818" s="6">
        <v>46765.0</v>
      </c>
      <c r="AJ818" s="1" t="s">
        <v>86</v>
      </c>
      <c r="AK818" s="1" t="s">
        <v>8318</v>
      </c>
      <c r="AL818" s="1" t="s">
        <v>8319</v>
      </c>
      <c r="AM818" s="11" t="str">
        <f>VLOOKUP(N818,Sheet3!$B$4:$C$10,2,1)</f>
        <v>31-40</v>
      </c>
      <c r="AN818" s="13" t="str">
        <f>VLOOKUP(Z818,Sheet3!$F$4:$G$10,2,1)</f>
        <v>&lt; 5</v>
      </c>
      <c r="AO818" s="5" t="str">
        <f>VLOOKUP(AA818,Sheet3!$I$3:$J$16,2,1)</f>
        <v>100000-120000</v>
      </c>
      <c r="AP818" s="5" t="str">
        <f>VLOOKUP(AB818,Sheet3!$L$4:$M$14,2,1)</f>
        <v>21% - 25%</v>
      </c>
    </row>
    <row r="819">
      <c r="A819" s="6">
        <v>140932.0</v>
      </c>
      <c r="B819" s="1" t="s">
        <v>66</v>
      </c>
      <c r="C819" s="1" t="s">
        <v>682</v>
      </c>
      <c r="D819" s="1" t="s">
        <v>173</v>
      </c>
      <c r="E819" s="1" t="s">
        <v>7954</v>
      </c>
      <c r="F819" s="1" t="s">
        <v>70</v>
      </c>
      <c r="G819" s="1" t="s">
        <v>8320</v>
      </c>
      <c r="H819" s="1" t="s">
        <v>7398</v>
      </c>
      <c r="I819" s="1" t="s">
        <v>8321</v>
      </c>
      <c r="J819" s="1" t="s">
        <v>8322</v>
      </c>
      <c r="K819" s="1" t="s">
        <v>4349</v>
      </c>
      <c r="L819" s="9">
        <v>25313.0</v>
      </c>
      <c r="M819" s="8">
        <v>0.8737962962962963</v>
      </c>
      <c r="N819" s="6">
        <v>48.3</v>
      </c>
      <c r="O819" s="6">
        <v>60.0</v>
      </c>
      <c r="P819" s="9">
        <v>36667.0</v>
      </c>
      <c r="Q819" s="1" t="s">
        <v>75</v>
      </c>
      <c r="R819" s="1" t="s">
        <v>76</v>
      </c>
      <c r="S819" s="6">
        <v>2000.0</v>
      </c>
      <c r="T819" s="6">
        <v>5.0</v>
      </c>
      <c r="U819" s="1" t="s">
        <v>294</v>
      </c>
      <c r="V819" s="1" t="s">
        <v>294</v>
      </c>
      <c r="W819" s="6">
        <v>21.0</v>
      </c>
      <c r="X819" s="1" t="s">
        <v>534</v>
      </c>
      <c r="Y819" s="1" t="s">
        <v>535</v>
      </c>
      <c r="Z819" s="6">
        <v>17.2</v>
      </c>
      <c r="AA819" s="6">
        <v>180618.0</v>
      </c>
      <c r="AB819" s="10">
        <v>0.17</v>
      </c>
      <c r="AC819" s="1" t="s">
        <v>8323</v>
      </c>
      <c r="AD819" s="1" t="s">
        <v>8324</v>
      </c>
      <c r="AE819" s="1" t="s">
        <v>8325</v>
      </c>
      <c r="AF819" s="1" t="s">
        <v>7767</v>
      </c>
      <c r="AG819" s="1" t="s">
        <v>8325</v>
      </c>
      <c r="AH819" s="1" t="s">
        <v>385</v>
      </c>
      <c r="AI819" s="6">
        <v>99157.0</v>
      </c>
      <c r="AJ819" s="1" t="s">
        <v>63</v>
      </c>
      <c r="AK819" s="1" t="s">
        <v>8326</v>
      </c>
      <c r="AL819" s="1" t="s">
        <v>8327</v>
      </c>
      <c r="AM819" s="11" t="str">
        <f>VLOOKUP(N819,Sheet3!$B$4:$C$10,2,1)</f>
        <v>41-50</v>
      </c>
      <c r="AN819" s="12" t="str">
        <f>VLOOKUP(Z819,Sheet3!$F$4:$G$10,2,1)</f>
        <v>11-20</v>
      </c>
      <c r="AO819" s="5" t="str">
        <f>VLOOKUP(AA819,Sheet3!$I$3:$J$16,2,1)</f>
        <v>180000-200000</v>
      </c>
      <c r="AP819" s="5" t="str">
        <f>VLOOKUP(AB819,Sheet3!$L$4:$M$14,2,1)</f>
        <v>16% - 20%</v>
      </c>
    </row>
    <row r="820">
      <c r="A820" s="6">
        <v>725731.0</v>
      </c>
      <c r="B820" s="1" t="s">
        <v>109</v>
      </c>
      <c r="C820" s="1" t="s">
        <v>5542</v>
      </c>
      <c r="D820" s="1" t="s">
        <v>1663</v>
      </c>
      <c r="E820" s="1" t="s">
        <v>1237</v>
      </c>
      <c r="F820" s="1" t="s">
        <v>46</v>
      </c>
      <c r="G820" s="1" t="s">
        <v>8328</v>
      </c>
      <c r="H820" s="1" t="s">
        <v>7398</v>
      </c>
      <c r="I820" s="1" t="s">
        <v>8329</v>
      </c>
      <c r="J820" s="1" t="s">
        <v>8330</v>
      </c>
      <c r="K820" s="1" t="s">
        <v>5632</v>
      </c>
      <c r="L820" s="9">
        <v>32931.0</v>
      </c>
      <c r="M820" s="8">
        <v>0.42996527777777777</v>
      </c>
      <c r="N820" s="6">
        <v>27.43</v>
      </c>
      <c r="O820" s="6">
        <v>54.0</v>
      </c>
      <c r="P820" s="9">
        <v>41419.0</v>
      </c>
      <c r="Q820" s="1" t="s">
        <v>75</v>
      </c>
      <c r="R820" s="1" t="s">
        <v>76</v>
      </c>
      <c r="S820" s="6">
        <v>2013.0</v>
      </c>
      <c r="T820" s="6">
        <v>5.0</v>
      </c>
      <c r="U820" s="1" t="s">
        <v>294</v>
      </c>
      <c r="V820" s="1" t="s">
        <v>294</v>
      </c>
      <c r="W820" s="6">
        <v>25.0</v>
      </c>
      <c r="X820" s="1" t="s">
        <v>56</v>
      </c>
      <c r="Y820" s="1" t="s">
        <v>57</v>
      </c>
      <c r="Z820" s="6">
        <v>4.18</v>
      </c>
      <c r="AA820" s="6">
        <v>181131.0</v>
      </c>
      <c r="AB820" s="10">
        <v>0.21</v>
      </c>
      <c r="AC820" s="1" t="s">
        <v>8331</v>
      </c>
      <c r="AD820" s="1" t="s">
        <v>8332</v>
      </c>
      <c r="AE820" s="1" t="s">
        <v>8333</v>
      </c>
      <c r="AF820" s="1" t="s">
        <v>4322</v>
      </c>
      <c r="AG820" s="1" t="s">
        <v>8333</v>
      </c>
      <c r="AH820" s="1" t="s">
        <v>399</v>
      </c>
      <c r="AI820" s="6">
        <v>70662.0</v>
      </c>
      <c r="AJ820" s="1" t="s">
        <v>106</v>
      </c>
      <c r="AK820" s="1" t="s">
        <v>8334</v>
      </c>
      <c r="AL820" s="1" t="s">
        <v>8335</v>
      </c>
      <c r="AM820" s="11" t="str">
        <f>VLOOKUP(N820,Sheet3!$B$4:$C$10,2,1)</f>
        <v>21-30</v>
      </c>
      <c r="AN820" s="13" t="str">
        <f>VLOOKUP(Z820,Sheet3!$F$4:$G$10,2,1)</f>
        <v>&lt; 5</v>
      </c>
      <c r="AO820" s="5" t="str">
        <f>VLOOKUP(AA820,Sheet3!$I$3:$J$16,2,1)</f>
        <v>180000-200000</v>
      </c>
      <c r="AP820" s="5" t="str">
        <f>VLOOKUP(AB820,Sheet3!$L$4:$M$14,2,1)</f>
        <v>21% - 25%</v>
      </c>
    </row>
    <row r="821">
      <c r="A821" s="6">
        <v>214985.0</v>
      </c>
      <c r="B821" s="1" t="s">
        <v>109</v>
      </c>
      <c r="C821" s="1" t="s">
        <v>1628</v>
      </c>
      <c r="D821" s="1" t="s">
        <v>127</v>
      </c>
      <c r="E821" s="1" t="s">
        <v>8336</v>
      </c>
      <c r="F821" s="1" t="s">
        <v>46</v>
      </c>
      <c r="G821" s="1" t="s">
        <v>8337</v>
      </c>
      <c r="H821" s="1" t="s">
        <v>7398</v>
      </c>
      <c r="I821" s="1" t="s">
        <v>8338</v>
      </c>
      <c r="J821" s="1" t="s">
        <v>8339</v>
      </c>
      <c r="K821" s="1" t="s">
        <v>5107</v>
      </c>
      <c r="L821" s="14">
        <v>24748.0</v>
      </c>
      <c r="M821" s="8">
        <v>0.0359375</v>
      </c>
      <c r="N821" s="6">
        <v>49.85</v>
      </c>
      <c r="O821" s="6">
        <v>54.0</v>
      </c>
      <c r="P821" s="14">
        <v>38729.0</v>
      </c>
      <c r="Q821" s="1" t="s">
        <v>96</v>
      </c>
      <c r="R821" s="1" t="s">
        <v>76</v>
      </c>
      <c r="S821" s="6">
        <v>2006.0</v>
      </c>
      <c r="T821" s="6">
        <v>1.0</v>
      </c>
      <c r="U821" s="1" t="s">
        <v>276</v>
      </c>
      <c r="V821" s="1" t="s">
        <v>277</v>
      </c>
      <c r="W821" s="6">
        <v>12.0</v>
      </c>
      <c r="X821" s="1" t="s">
        <v>150</v>
      </c>
      <c r="Y821" s="1" t="s">
        <v>151</v>
      </c>
      <c r="Z821" s="6">
        <v>11.55</v>
      </c>
      <c r="AA821" s="6">
        <v>98449.0</v>
      </c>
      <c r="AB821" s="10">
        <v>0.22</v>
      </c>
      <c r="AC821" s="1" t="s">
        <v>8340</v>
      </c>
      <c r="AD821" s="1" t="s">
        <v>8341</v>
      </c>
      <c r="AE821" s="1" t="s">
        <v>8342</v>
      </c>
      <c r="AF821" s="1" t="s">
        <v>2298</v>
      </c>
      <c r="AG821" s="1" t="s">
        <v>8342</v>
      </c>
      <c r="AH821" s="1" t="s">
        <v>857</v>
      </c>
      <c r="AI821" s="6">
        <v>64474.0</v>
      </c>
      <c r="AJ821" s="1" t="s">
        <v>86</v>
      </c>
      <c r="AK821" s="1" t="s">
        <v>8343</v>
      </c>
      <c r="AL821" s="1" t="s">
        <v>8344</v>
      </c>
      <c r="AM821" s="11" t="str">
        <f>VLOOKUP(N821,Sheet3!$B$4:$C$10,2,1)</f>
        <v>41-50</v>
      </c>
      <c r="AN821" s="12" t="str">
        <f>VLOOKUP(Z821,Sheet3!$F$4:$G$10,2,1)</f>
        <v>11-20</v>
      </c>
      <c r="AO821" s="5" t="str">
        <f>VLOOKUP(AA821,Sheet3!$I$3:$J$16,2,1)</f>
        <v>80000-100000</v>
      </c>
      <c r="AP821" s="5" t="str">
        <f>VLOOKUP(AB821,Sheet3!$L$4:$M$14,2,1)</f>
        <v>21% - 25%</v>
      </c>
    </row>
    <row r="822">
      <c r="A822" s="6">
        <v>405156.0</v>
      </c>
      <c r="B822" s="1" t="s">
        <v>66</v>
      </c>
      <c r="C822" s="1" t="s">
        <v>8345</v>
      </c>
      <c r="D822" s="1" t="s">
        <v>257</v>
      </c>
      <c r="E822" s="1" t="s">
        <v>2141</v>
      </c>
      <c r="F822" s="1" t="s">
        <v>70</v>
      </c>
      <c r="G822" s="1" t="s">
        <v>8346</v>
      </c>
      <c r="H822" s="1" t="s">
        <v>7398</v>
      </c>
      <c r="I822" s="1" t="s">
        <v>8347</v>
      </c>
      <c r="J822" s="1" t="s">
        <v>8348</v>
      </c>
      <c r="K822" s="1" t="s">
        <v>8349</v>
      </c>
      <c r="L822" s="9">
        <v>21962.0</v>
      </c>
      <c r="M822" s="8">
        <v>0.012164351851851852</v>
      </c>
      <c r="N822" s="6">
        <v>57.48</v>
      </c>
      <c r="O822" s="6">
        <v>64.0</v>
      </c>
      <c r="P822" s="7">
        <v>31726.0</v>
      </c>
      <c r="Q822" s="1" t="s">
        <v>52</v>
      </c>
      <c r="R822" s="1" t="s">
        <v>53</v>
      </c>
      <c r="S822" s="6">
        <v>1986.0</v>
      </c>
      <c r="T822" s="6">
        <v>11.0</v>
      </c>
      <c r="U822" s="1" t="s">
        <v>148</v>
      </c>
      <c r="V822" s="1" t="s">
        <v>149</v>
      </c>
      <c r="W822" s="6">
        <v>10.0</v>
      </c>
      <c r="X822" s="1" t="s">
        <v>99</v>
      </c>
      <c r="Y822" s="1" t="s">
        <v>100</v>
      </c>
      <c r="Z822" s="6">
        <v>30.73</v>
      </c>
      <c r="AA822" s="6">
        <v>59921.0</v>
      </c>
      <c r="AB822" s="10">
        <v>0.03</v>
      </c>
      <c r="AC822" s="1" t="s">
        <v>8350</v>
      </c>
      <c r="AD822" s="1" t="s">
        <v>8351</v>
      </c>
      <c r="AE822" s="1" t="s">
        <v>8352</v>
      </c>
      <c r="AF822" s="1" t="s">
        <v>8352</v>
      </c>
      <c r="AG822" s="1" t="s">
        <v>8352</v>
      </c>
      <c r="AH822" s="1" t="s">
        <v>399</v>
      </c>
      <c r="AI822" s="6">
        <v>71059.0</v>
      </c>
      <c r="AJ822" s="1" t="s">
        <v>106</v>
      </c>
      <c r="AK822" s="1" t="s">
        <v>8353</v>
      </c>
      <c r="AL822" s="1" t="s">
        <v>8354</v>
      </c>
      <c r="AM822" s="11" t="str">
        <f>VLOOKUP(N822,Sheet3!$B$4:$C$10,2,1)</f>
        <v>51-60</v>
      </c>
      <c r="AN822" s="13" t="str">
        <f>VLOOKUP(Z822,Sheet3!$F$4:$G$10,2,1)</f>
        <v>21-30</v>
      </c>
      <c r="AO822" s="5" t="str">
        <f>VLOOKUP(AA822,Sheet3!$I$3:$J$16,2,1)</f>
        <v>40000-60000</v>
      </c>
      <c r="AP822" s="5" t="str">
        <f>VLOOKUP(AB822,Sheet3!$L$4:$M$14,2,1)</f>
        <v>&lt; 5%</v>
      </c>
    </row>
    <row r="823">
      <c r="A823" s="6">
        <v>249736.0</v>
      </c>
      <c r="B823" s="1" t="s">
        <v>125</v>
      </c>
      <c r="C823" s="1" t="s">
        <v>8355</v>
      </c>
      <c r="D823" s="1" t="s">
        <v>554</v>
      </c>
      <c r="E823" s="1" t="s">
        <v>779</v>
      </c>
      <c r="F823" s="1" t="s">
        <v>46</v>
      </c>
      <c r="G823" s="1" t="s">
        <v>8356</v>
      </c>
      <c r="H823" s="1" t="s">
        <v>7398</v>
      </c>
      <c r="I823" s="1" t="s">
        <v>8357</v>
      </c>
      <c r="J823" s="1" t="s">
        <v>8358</v>
      </c>
      <c r="K823" s="1" t="s">
        <v>2402</v>
      </c>
      <c r="L823" s="9">
        <v>29634.0</v>
      </c>
      <c r="M823" s="8">
        <v>0.08674768518518519</v>
      </c>
      <c r="N823" s="6">
        <v>36.47</v>
      </c>
      <c r="O823" s="6">
        <v>57.0</v>
      </c>
      <c r="P823" s="9">
        <v>40282.0</v>
      </c>
      <c r="Q823" s="1" t="s">
        <v>75</v>
      </c>
      <c r="R823" s="1" t="s">
        <v>76</v>
      </c>
      <c r="S823" s="6">
        <v>2010.0</v>
      </c>
      <c r="T823" s="6">
        <v>4.0</v>
      </c>
      <c r="U823" s="1" t="s">
        <v>77</v>
      </c>
      <c r="V823" s="1" t="s">
        <v>78</v>
      </c>
      <c r="W823" s="6">
        <v>14.0</v>
      </c>
      <c r="X823" s="1" t="s">
        <v>278</v>
      </c>
      <c r="Y823" s="1" t="s">
        <v>279</v>
      </c>
      <c r="Z823" s="6">
        <v>7.29</v>
      </c>
      <c r="AA823" s="6">
        <v>65222.0</v>
      </c>
      <c r="AB823" s="10">
        <v>0.14</v>
      </c>
      <c r="AC823" s="1" t="s">
        <v>8359</v>
      </c>
      <c r="AD823" s="1" t="s">
        <v>8360</v>
      </c>
      <c r="AE823" s="1" t="s">
        <v>2273</v>
      </c>
      <c r="AF823" s="1" t="s">
        <v>2741</v>
      </c>
      <c r="AG823" s="1" t="s">
        <v>2273</v>
      </c>
      <c r="AH823" s="1" t="s">
        <v>252</v>
      </c>
      <c r="AI823" s="6">
        <v>97033.0</v>
      </c>
      <c r="AJ823" s="1" t="s">
        <v>63</v>
      </c>
      <c r="AK823" s="1" t="s">
        <v>8361</v>
      </c>
      <c r="AL823" s="1" t="s">
        <v>8362</v>
      </c>
      <c r="AM823" s="11" t="str">
        <f>VLOOKUP(N823,Sheet3!$B$4:$C$10,2,1)</f>
        <v>31-40</v>
      </c>
      <c r="AN823" s="12" t="str">
        <f>VLOOKUP(Z823,Sheet3!$F$4:$G$10,2,1)</f>
        <v>5-10</v>
      </c>
      <c r="AO823" s="5" t="str">
        <f>VLOOKUP(AA823,Sheet3!$I$3:$J$16,2,1)</f>
        <v>60000-80000</v>
      </c>
      <c r="AP823" s="5" t="str">
        <f>VLOOKUP(AB823,Sheet3!$L$4:$M$14,2,1)</f>
        <v>11% - 15%</v>
      </c>
    </row>
    <row r="824">
      <c r="A824" s="6">
        <v>526273.0</v>
      </c>
      <c r="B824" s="1" t="s">
        <v>66</v>
      </c>
      <c r="C824" s="1" t="s">
        <v>8363</v>
      </c>
      <c r="D824" s="1" t="s">
        <v>70</v>
      </c>
      <c r="E824" s="1" t="s">
        <v>1289</v>
      </c>
      <c r="F824" s="1" t="s">
        <v>70</v>
      </c>
      <c r="G824" s="1" t="s">
        <v>8364</v>
      </c>
      <c r="H824" s="1" t="s">
        <v>7398</v>
      </c>
      <c r="I824" s="1" t="s">
        <v>8365</v>
      </c>
      <c r="J824" s="1" t="s">
        <v>8366</v>
      </c>
      <c r="K824" s="1" t="s">
        <v>2363</v>
      </c>
      <c r="L824" s="14">
        <v>30350.0</v>
      </c>
      <c r="M824" s="8">
        <v>0.4273263888888889</v>
      </c>
      <c r="N824" s="6">
        <v>34.5</v>
      </c>
      <c r="O824" s="6">
        <v>80.0</v>
      </c>
      <c r="P824" s="14">
        <v>40550.0</v>
      </c>
      <c r="Q824" s="1" t="s">
        <v>96</v>
      </c>
      <c r="R824" s="1" t="s">
        <v>76</v>
      </c>
      <c r="S824" s="6">
        <v>2011.0</v>
      </c>
      <c r="T824" s="6">
        <v>1.0</v>
      </c>
      <c r="U824" s="1" t="s">
        <v>276</v>
      </c>
      <c r="V824" s="1" t="s">
        <v>277</v>
      </c>
      <c r="W824" s="6">
        <v>7.0</v>
      </c>
      <c r="X824" s="1" t="s">
        <v>263</v>
      </c>
      <c r="Y824" s="1" t="s">
        <v>264</v>
      </c>
      <c r="Z824" s="6">
        <v>6.56</v>
      </c>
      <c r="AA824" s="6">
        <v>90170.0</v>
      </c>
      <c r="AB824" s="10">
        <v>0.0</v>
      </c>
      <c r="AC824" s="1" t="s">
        <v>8367</v>
      </c>
      <c r="AD824" s="1" t="s">
        <v>8368</v>
      </c>
      <c r="AE824" s="1" t="s">
        <v>1759</v>
      </c>
      <c r="AF824" s="1" t="s">
        <v>3343</v>
      </c>
      <c r="AG824" s="1" t="s">
        <v>1759</v>
      </c>
      <c r="AH824" s="1" t="s">
        <v>223</v>
      </c>
      <c r="AI824" s="6">
        <v>15642.0</v>
      </c>
      <c r="AJ824" s="1" t="s">
        <v>224</v>
      </c>
      <c r="AK824" s="1" t="s">
        <v>8369</v>
      </c>
      <c r="AL824" s="1" t="s">
        <v>8370</v>
      </c>
      <c r="AM824" s="11" t="str">
        <f>VLOOKUP(N824,Sheet3!$B$4:$C$10,2,1)</f>
        <v>31-40</v>
      </c>
      <c r="AN824" s="12" t="str">
        <f>VLOOKUP(Z824,Sheet3!$F$4:$G$10,2,1)</f>
        <v>5-10</v>
      </c>
      <c r="AO824" s="5" t="str">
        <f>VLOOKUP(AA824,Sheet3!$I$3:$J$16,2,1)</f>
        <v>80000-100000</v>
      </c>
      <c r="AP824" s="5" t="str">
        <f>VLOOKUP(AB824,Sheet3!$L$4:$M$14,2,1)</f>
        <v>&lt; 5%</v>
      </c>
    </row>
    <row r="825">
      <c r="A825" s="6">
        <v>654723.0</v>
      </c>
      <c r="B825" s="1" t="s">
        <v>66</v>
      </c>
      <c r="C825" s="1" t="s">
        <v>657</v>
      </c>
      <c r="D825" s="1" t="s">
        <v>288</v>
      </c>
      <c r="E825" s="1" t="s">
        <v>187</v>
      </c>
      <c r="F825" s="1" t="s">
        <v>70</v>
      </c>
      <c r="G825" s="1" t="s">
        <v>8371</v>
      </c>
      <c r="H825" s="1" t="s">
        <v>7398</v>
      </c>
      <c r="I825" s="1" t="s">
        <v>8372</v>
      </c>
      <c r="J825" s="1" t="s">
        <v>8373</v>
      </c>
      <c r="K825" s="1" t="s">
        <v>2434</v>
      </c>
      <c r="L825" s="14">
        <v>26885.0</v>
      </c>
      <c r="M825" s="8">
        <v>0.1598263888888889</v>
      </c>
      <c r="N825" s="6">
        <v>44.0</v>
      </c>
      <c r="O825" s="6">
        <v>80.0</v>
      </c>
      <c r="P825" s="14">
        <v>40645.0</v>
      </c>
      <c r="Q825" s="1" t="s">
        <v>75</v>
      </c>
      <c r="R825" s="1" t="s">
        <v>76</v>
      </c>
      <c r="S825" s="6">
        <v>2011.0</v>
      </c>
      <c r="T825" s="6">
        <v>4.0</v>
      </c>
      <c r="U825" s="1" t="s">
        <v>77</v>
      </c>
      <c r="V825" s="1" t="s">
        <v>78</v>
      </c>
      <c r="W825" s="6">
        <v>12.0</v>
      </c>
      <c r="X825" s="1" t="s">
        <v>79</v>
      </c>
      <c r="Y825" s="1" t="s">
        <v>80</v>
      </c>
      <c r="Z825" s="6">
        <v>6.3</v>
      </c>
      <c r="AA825" s="6">
        <v>122778.0</v>
      </c>
      <c r="AB825" s="10">
        <v>0.29</v>
      </c>
      <c r="AC825" s="1" t="s">
        <v>8374</v>
      </c>
      <c r="AD825" s="1" t="s">
        <v>8375</v>
      </c>
      <c r="AE825" s="1" t="s">
        <v>8376</v>
      </c>
      <c r="AF825" s="1" t="s">
        <v>1165</v>
      </c>
      <c r="AG825" s="1" t="s">
        <v>8376</v>
      </c>
      <c r="AH825" s="1" t="s">
        <v>974</v>
      </c>
      <c r="AI825" s="6">
        <v>43517.0</v>
      </c>
      <c r="AJ825" s="1" t="s">
        <v>86</v>
      </c>
      <c r="AK825" s="1" t="s">
        <v>8377</v>
      </c>
      <c r="AL825" s="1" t="s">
        <v>8378</v>
      </c>
      <c r="AM825" s="11" t="str">
        <f>VLOOKUP(N825,Sheet3!$B$4:$C$10,2,1)</f>
        <v>41-50</v>
      </c>
      <c r="AN825" s="12" t="str">
        <f>VLOOKUP(Z825,Sheet3!$F$4:$G$10,2,1)</f>
        <v>5-10</v>
      </c>
      <c r="AO825" s="5" t="str">
        <f>VLOOKUP(AA825,Sheet3!$I$3:$J$16,2,1)</f>
        <v>120000-140000</v>
      </c>
      <c r="AP825" s="5" t="str">
        <f>VLOOKUP(AB825,Sheet3!$L$4:$M$14,2,1)</f>
        <v>26% - 30%</v>
      </c>
    </row>
    <row r="826">
      <c r="A826" s="6">
        <v>672964.0</v>
      </c>
      <c r="B826" s="1" t="s">
        <v>109</v>
      </c>
      <c r="C826" s="1" t="s">
        <v>5784</v>
      </c>
      <c r="D826" s="1" t="s">
        <v>416</v>
      </c>
      <c r="E826" s="1" t="s">
        <v>1963</v>
      </c>
      <c r="F826" s="1" t="s">
        <v>46</v>
      </c>
      <c r="G826" s="1" t="s">
        <v>8379</v>
      </c>
      <c r="H826" s="1" t="s">
        <v>7398</v>
      </c>
      <c r="I826" s="1" t="s">
        <v>8380</v>
      </c>
      <c r="J826" s="1" t="s">
        <v>8381</v>
      </c>
      <c r="K826" s="1" t="s">
        <v>95</v>
      </c>
      <c r="L826" s="9">
        <v>27527.0</v>
      </c>
      <c r="M826" s="8">
        <v>0.5883101851851852</v>
      </c>
      <c r="N826" s="6">
        <v>42.24</v>
      </c>
      <c r="O826" s="6">
        <v>57.0</v>
      </c>
      <c r="P826" s="9">
        <v>36548.0</v>
      </c>
      <c r="Q826" s="1" t="s">
        <v>96</v>
      </c>
      <c r="R826" s="1" t="s">
        <v>76</v>
      </c>
      <c r="S826" s="6">
        <v>2000.0</v>
      </c>
      <c r="T826" s="6">
        <v>1.0</v>
      </c>
      <c r="U826" s="1" t="s">
        <v>276</v>
      </c>
      <c r="V826" s="1" t="s">
        <v>277</v>
      </c>
      <c r="W826" s="6">
        <v>23.0</v>
      </c>
      <c r="X826" s="1" t="s">
        <v>534</v>
      </c>
      <c r="Y826" s="1" t="s">
        <v>535</v>
      </c>
      <c r="Z826" s="6">
        <v>17.52</v>
      </c>
      <c r="AA826" s="6">
        <v>132600.0</v>
      </c>
      <c r="AB826" s="10">
        <v>0.03</v>
      </c>
      <c r="AC826" s="1" t="s">
        <v>8382</v>
      </c>
      <c r="AD826" s="1" t="s">
        <v>8383</v>
      </c>
      <c r="AE826" s="1" t="s">
        <v>8384</v>
      </c>
      <c r="AF826" s="1" t="s">
        <v>8385</v>
      </c>
      <c r="AG826" s="1" t="s">
        <v>8384</v>
      </c>
      <c r="AH826" s="1" t="s">
        <v>1561</v>
      </c>
      <c r="AI826" s="6">
        <v>53183.0</v>
      </c>
      <c r="AJ826" s="1" t="s">
        <v>86</v>
      </c>
      <c r="AK826" s="1" t="s">
        <v>8386</v>
      </c>
      <c r="AL826" s="1" t="s">
        <v>8387</v>
      </c>
      <c r="AM826" s="11" t="str">
        <f>VLOOKUP(N826,Sheet3!$B$4:$C$10,2,1)</f>
        <v>41-50</v>
      </c>
      <c r="AN826" s="12" t="str">
        <f>VLOOKUP(Z826,Sheet3!$F$4:$G$10,2,1)</f>
        <v>11-20</v>
      </c>
      <c r="AO826" s="5" t="str">
        <f>VLOOKUP(AA826,Sheet3!$I$3:$J$16,2,1)</f>
        <v>120000-140000</v>
      </c>
      <c r="AP826" s="5" t="str">
        <f>VLOOKUP(AB826,Sheet3!$L$4:$M$14,2,1)</f>
        <v>&lt; 5%</v>
      </c>
    </row>
    <row r="827">
      <c r="A827" s="6">
        <v>240799.0</v>
      </c>
      <c r="B827" s="1" t="s">
        <v>42</v>
      </c>
      <c r="C827" s="1" t="s">
        <v>8388</v>
      </c>
      <c r="D827" s="1" t="s">
        <v>288</v>
      </c>
      <c r="E827" s="1" t="s">
        <v>1169</v>
      </c>
      <c r="F827" s="1" t="s">
        <v>46</v>
      </c>
      <c r="G827" s="1" t="s">
        <v>8389</v>
      </c>
      <c r="H827" s="1" t="s">
        <v>7398</v>
      </c>
      <c r="I827" s="1" t="s">
        <v>8390</v>
      </c>
      <c r="J827" s="1" t="s">
        <v>8391</v>
      </c>
      <c r="K827" s="1" t="s">
        <v>1500</v>
      </c>
      <c r="L827" s="9">
        <v>27899.0</v>
      </c>
      <c r="M827" s="8">
        <v>0.35606481481481483</v>
      </c>
      <c r="N827" s="6">
        <v>41.22</v>
      </c>
      <c r="O827" s="6">
        <v>50.0</v>
      </c>
      <c r="P827" s="9">
        <v>40018.0</v>
      </c>
      <c r="Q827" s="1" t="s">
        <v>308</v>
      </c>
      <c r="R827" s="1" t="s">
        <v>53</v>
      </c>
      <c r="S827" s="6">
        <v>2009.0</v>
      </c>
      <c r="T827" s="6">
        <v>7.0</v>
      </c>
      <c r="U827" s="1" t="s">
        <v>366</v>
      </c>
      <c r="V827" s="1" t="s">
        <v>367</v>
      </c>
      <c r="W827" s="6">
        <v>24.0</v>
      </c>
      <c r="X827" s="1" t="s">
        <v>263</v>
      </c>
      <c r="Y827" s="1" t="s">
        <v>264</v>
      </c>
      <c r="Z827" s="6">
        <v>8.02</v>
      </c>
      <c r="AA827" s="6">
        <v>90196.0</v>
      </c>
      <c r="AB827" s="10">
        <v>0.15</v>
      </c>
      <c r="AC827" s="1" t="s">
        <v>8392</v>
      </c>
      <c r="AD827" s="1" t="s">
        <v>8393</v>
      </c>
      <c r="AE827" s="1" t="s">
        <v>8394</v>
      </c>
      <c r="AF827" s="1" t="s">
        <v>1903</v>
      </c>
      <c r="AG827" s="1" t="s">
        <v>8394</v>
      </c>
      <c r="AH827" s="1" t="s">
        <v>1079</v>
      </c>
      <c r="AI827" s="6">
        <v>83647.0</v>
      </c>
      <c r="AJ827" s="1" t="s">
        <v>63</v>
      </c>
      <c r="AK827" s="1" t="s">
        <v>8395</v>
      </c>
      <c r="AL827" s="1" t="s">
        <v>8396</v>
      </c>
      <c r="AM827" s="11" t="str">
        <f>VLOOKUP(N827,Sheet3!$B$4:$C$10,2,1)</f>
        <v>41-50</v>
      </c>
      <c r="AN827" s="12" t="str">
        <f>VLOOKUP(Z827,Sheet3!$F$4:$G$10,2,1)</f>
        <v>5-10</v>
      </c>
      <c r="AO827" s="5" t="str">
        <f>VLOOKUP(AA827,Sheet3!$I$3:$J$16,2,1)</f>
        <v>80000-100000</v>
      </c>
      <c r="AP827" s="5" t="str">
        <f>VLOOKUP(AB827,Sheet3!$L$4:$M$14,2,1)</f>
        <v>11% - 15%</v>
      </c>
    </row>
    <row r="828">
      <c r="A828" s="6">
        <v>169618.0</v>
      </c>
      <c r="B828" s="1" t="s">
        <v>255</v>
      </c>
      <c r="C828" s="1" t="s">
        <v>1718</v>
      </c>
      <c r="D828" s="1" t="s">
        <v>861</v>
      </c>
      <c r="E828" s="1" t="s">
        <v>6556</v>
      </c>
      <c r="F828" s="1" t="s">
        <v>70</v>
      </c>
      <c r="G828" s="1" t="s">
        <v>8397</v>
      </c>
      <c r="H828" s="1" t="s">
        <v>7398</v>
      </c>
      <c r="I828" s="1" t="s">
        <v>8398</v>
      </c>
      <c r="J828" s="1" t="s">
        <v>8399</v>
      </c>
      <c r="K828" s="1" t="s">
        <v>4238</v>
      </c>
      <c r="L828" s="9">
        <v>32432.0</v>
      </c>
      <c r="M828" s="8">
        <v>0.07703703703703704</v>
      </c>
      <c r="N828" s="6">
        <v>28.8</v>
      </c>
      <c r="O828" s="6">
        <v>54.0</v>
      </c>
      <c r="P828" s="9">
        <v>41409.0</v>
      </c>
      <c r="Q828" s="1" t="s">
        <v>75</v>
      </c>
      <c r="R828" s="1" t="s">
        <v>76</v>
      </c>
      <c r="S828" s="6">
        <v>2013.0</v>
      </c>
      <c r="T828" s="6">
        <v>5.0</v>
      </c>
      <c r="U828" s="1" t="s">
        <v>294</v>
      </c>
      <c r="V828" s="1" t="s">
        <v>294</v>
      </c>
      <c r="W828" s="6">
        <v>15.0</v>
      </c>
      <c r="X828" s="1" t="s">
        <v>278</v>
      </c>
      <c r="Y828" s="1" t="s">
        <v>279</v>
      </c>
      <c r="Z828" s="6">
        <v>4.21</v>
      </c>
      <c r="AA828" s="6">
        <v>126226.0</v>
      </c>
      <c r="AB828" s="10">
        <v>0.0</v>
      </c>
      <c r="AC828" s="1" t="s">
        <v>8400</v>
      </c>
      <c r="AD828" s="1" t="s">
        <v>8401</v>
      </c>
      <c r="AE828" s="1" t="s">
        <v>8402</v>
      </c>
      <c r="AF828" s="1" t="s">
        <v>2351</v>
      </c>
      <c r="AG828" s="1" t="s">
        <v>8402</v>
      </c>
      <c r="AH828" s="1" t="s">
        <v>740</v>
      </c>
      <c r="AI828" s="6">
        <v>2748.0</v>
      </c>
      <c r="AJ828" s="1" t="s">
        <v>224</v>
      </c>
      <c r="AK828" s="1" t="s">
        <v>8403</v>
      </c>
      <c r="AL828" s="1" t="s">
        <v>8404</v>
      </c>
      <c r="AM828" s="11" t="str">
        <f>VLOOKUP(N828,Sheet3!$B$4:$C$10,2,1)</f>
        <v>21-30</v>
      </c>
      <c r="AN828" s="13" t="str">
        <f>VLOOKUP(Z828,Sheet3!$F$4:$G$10,2,1)</f>
        <v>&lt; 5</v>
      </c>
      <c r="AO828" s="5" t="str">
        <f>VLOOKUP(AA828,Sheet3!$I$3:$J$16,2,1)</f>
        <v>120000-140000</v>
      </c>
      <c r="AP828" s="5" t="str">
        <f>VLOOKUP(AB828,Sheet3!$L$4:$M$14,2,1)</f>
        <v>&lt; 5%</v>
      </c>
    </row>
    <row r="829">
      <c r="A829" s="6">
        <v>430633.0</v>
      </c>
      <c r="B829" s="1" t="s">
        <v>89</v>
      </c>
      <c r="C829" s="1" t="s">
        <v>8405</v>
      </c>
      <c r="D829" s="1" t="s">
        <v>443</v>
      </c>
      <c r="E829" s="1" t="s">
        <v>4917</v>
      </c>
      <c r="F829" s="1" t="s">
        <v>46</v>
      </c>
      <c r="G829" s="1" t="s">
        <v>8406</v>
      </c>
      <c r="H829" s="1" t="s">
        <v>7398</v>
      </c>
      <c r="I829" s="1" t="s">
        <v>8407</v>
      </c>
      <c r="J829" s="1" t="s">
        <v>8408</v>
      </c>
      <c r="K829" s="1" t="s">
        <v>1237</v>
      </c>
      <c r="L829" s="9">
        <v>34077.0</v>
      </c>
      <c r="M829" s="8">
        <v>0.27706018518518516</v>
      </c>
      <c r="N829" s="6">
        <v>24.29</v>
      </c>
      <c r="O829" s="6">
        <v>59.0</v>
      </c>
      <c r="P829" s="14">
        <v>42557.0</v>
      </c>
      <c r="Q829" s="1" t="s">
        <v>308</v>
      </c>
      <c r="R829" s="1" t="s">
        <v>53</v>
      </c>
      <c r="S829" s="6">
        <v>2016.0</v>
      </c>
      <c r="T829" s="6">
        <v>7.0</v>
      </c>
      <c r="U829" s="1" t="s">
        <v>366</v>
      </c>
      <c r="V829" s="1" t="s">
        <v>367</v>
      </c>
      <c r="W829" s="6">
        <v>6.0</v>
      </c>
      <c r="X829" s="1" t="s">
        <v>278</v>
      </c>
      <c r="Y829" s="1" t="s">
        <v>279</v>
      </c>
      <c r="Z829" s="6">
        <v>1.06</v>
      </c>
      <c r="AA829" s="6">
        <v>41680.0</v>
      </c>
      <c r="AB829" s="10">
        <v>0.0</v>
      </c>
      <c r="AC829" s="1" t="s">
        <v>8409</v>
      </c>
      <c r="AD829" s="1" t="s">
        <v>8410</v>
      </c>
      <c r="AE829" s="1" t="s">
        <v>8411</v>
      </c>
      <c r="AF829" s="1" t="s">
        <v>8412</v>
      </c>
      <c r="AG829" s="1" t="s">
        <v>8411</v>
      </c>
      <c r="AH829" s="1" t="s">
        <v>1032</v>
      </c>
      <c r="AI829" s="6">
        <v>66431.0</v>
      </c>
      <c r="AJ829" s="1" t="s">
        <v>86</v>
      </c>
      <c r="AK829" s="1" t="s">
        <v>8413</v>
      </c>
      <c r="AL829" s="1" t="s">
        <v>8414</v>
      </c>
      <c r="AM829" s="11" t="str">
        <f>VLOOKUP(N829,Sheet3!$B$4:$C$10,2,1)</f>
        <v>21-30</v>
      </c>
      <c r="AN829" s="13" t="str">
        <f>VLOOKUP(Z829,Sheet3!$F$4:$G$10,2,1)</f>
        <v>&lt; 5</v>
      </c>
      <c r="AO829" s="5" t="str">
        <f>VLOOKUP(AA829,Sheet3!$I$3:$J$16,2,1)</f>
        <v>40000-60000</v>
      </c>
      <c r="AP829" s="5" t="str">
        <f>VLOOKUP(AB829,Sheet3!$L$4:$M$14,2,1)</f>
        <v>&lt; 5%</v>
      </c>
    </row>
    <row r="830">
      <c r="A830" s="6">
        <v>116286.0</v>
      </c>
      <c r="B830" s="1" t="s">
        <v>125</v>
      </c>
      <c r="C830" s="1" t="s">
        <v>8415</v>
      </c>
      <c r="D830" s="1" t="s">
        <v>318</v>
      </c>
      <c r="E830" s="1" t="s">
        <v>1821</v>
      </c>
      <c r="F830" s="1" t="s">
        <v>70</v>
      </c>
      <c r="G830" s="1" t="s">
        <v>8416</v>
      </c>
      <c r="H830" s="1" t="s">
        <v>7398</v>
      </c>
      <c r="I830" s="1" t="s">
        <v>8417</v>
      </c>
      <c r="J830" s="1" t="s">
        <v>8418</v>
      </c>
      <c r="K830" s="1" t="s">
        <v>1760</v>
      </c>
      <c r="L830" s="14">
        <v>30988.0</v>
      </c>
      <c r="M830" s="8">
        <v>0.23413194444444443</v>
      </c>
      <c r="N830" s="6">
        <v>32.76</v>
      </c>
      <c r="O830" s="6">
        <v>87.0</v>
      </c>
      <c r="P830" s="9">
        <v>41447.0</v>
      </c>
      <c r="Q830" s="1" t="s">
        <v>75</v>
      </c>
      <c r="R830" s="1" t="s">
        <v>76</v>
      </c>
      <c r="S830" s="6">
        <v>2013.0</v>
      </c>
      <c r="T830" s="6">
        <v>6.0</v>
      </c>
      <c r="U830" s="1" t="s">
        <v>324</v>
      </c>
      <c r="V830" s="1" t="s">
        <v>325</v>
      </c>
      <c r="W830" s="6">
        <v>22.0</v>
      </c>
      <c r="X830" s="1" t="s">
        <v>56</v>
      </c>
      <c r="Y830" s="1" t="s">
        <v>57</v>
      </c>
      <c r="Z830" s="6">
        <v>4.1</v>
      </c>
      <c r="AA830" s="6">
        <v>174683.0</v>
      </c>
      <c r="AB830" s="10">
        <v>0.06</v>
      </c>
      <c r="AC830" s="1" t="s">
        <v>8419</v>
      </c>
      <c r="AD830" s="1" t="s">
        <v>8420</v>
      </c>
      <c r="AE830" s="1" t="s">
        <v>8421</v>
      </c>
      <c r="AF830" s="1" t="s">
        <v>8422</v>
      </c>
      <c r="AG830" s="1" t="s">
        <v>8421</v>
      </c>
      <c r="AH830" s="1" t="s">
        <v>1561</v>
      </c>
      <c r="AI830" s="6">
        <v>54443.0</v>
      </c>
      <c r="AJ830" s="1" t="s">
        <v>86</v>
      </c>
      <c r="AK830" s="1" t="s">
        <v>8423</v>
      </c>
      <c r="AL830" s="1" t="s">
        <v>8424</v>
      </c>
      <c r="AM830" s="11" t="str">
        <f>VLOOKUP(N830,Sheet3!$B$4:$C$10,2,1)</f>
        <v>31-40</v>
      </c>
      <c r="AN830" s="13" t="str">
        <f>VLOOKUP(Z830,Sheet3!$F$4:$G$10,2,1)</f>
        <v>&lt; 5</v>
      </c>
      <c r="AO830" s="5" t="str">
        <f>VLOOKUP(AA830,Sheet3!$I$3:$J$16,2,1)</f>
        <v>160000-180000</v>
      </c>
      <c r="AP830" s="5" t="str">
        <f>VLOOKUP(AB830,Sheet3!$L$4:$M$14,2,1)</f>
        <v>5% - 10%</v>
      </c>
    </row>
    <row r="831">
      <c r="A831" s="6">
        <v>486573.0</v>
      </c>
      <c r="B831" s="1" t="s">
        <v>109</v>
      </c>
      <c r="C831" s="1" t="s">
        <v>4080</v>
      </c>
      <c r="D831" s="1" t="s">
        <v>68</v>
      </c>
      <c r="E831" s="1" t="s">
        <v>8425</v>
      </c>
      <c r="F831" s="1" t="s">
        <v>46</v>
      </c>
      <c r="G831" s="1" t="s">
        <v>8426</v>
      </c>
      <c r="H831" s="1" t="s">
        <v>7398</v>
      </c>
      <c r="I831" s="1" t="s">
        <v>8427</v>
      </c>
      <c r="J831" s="1" t="s">
        <v>8428</v>
      </c>
      <c r="K831" s="1" t="s">
        <v>8429</v>
      </c>
      <c r="L831" s="9">
        <v>34378.0</v>
      </c>
      <c r="M831" s="8">
        <v>0.8269328703703703</v>
      </c>
      <c r="N831" s="6">
        <v>23.47</v>
      </c>
      <c r="O831" s="6">
        <v>42.0</v>
      </c>
      <c r="P831" s="9">
        <v>42122.0</v>
      </c>
      <c r="Q831" s="1" t="s">
        <v>75</v>
      </c>
      <c r="R831" s="1" t="s">
        <v>76</v>
      </c>
      <c r="S831" s="6">
        <v>2015.0</v>
      </c>
      <c r="T831" s="6">
        <v>4.0</v>
      </c>
      <c r="U831" s="1" t="s">
        <v>77</v>
      </c>
      <c r="V831" s="1" t="s">
        <v>78</v>
      </c>
      <c r="W831" s="6">
        <v>28.0</v>
      </c>
      <c r="X831" s="1" t="s">
        <v>79</v>
      </c>
      <c r="Y831" s="1" t="s">
        <v>80</v>
      </c>
      <c r="Z831" s="6">
        <v>2.25</v>
      </c>
      <c r="AA831" s="6">
        <v>127580.0</v>
      </c>
      <c r="AB831" s="10">
        <v>0.28</v>
      </c>
      <c r="AC831" s="1" t="s">
        <v>8430</v>
      </c>
      <c r="AD831" s="1" t="s">
        <v>8431</v>
      </c>
      <c r="AE831" s="1" t="s">
        <v>8432</v>
      </c>
      <c r="AF831" s="1" t="s">
        <v>8433</v>
      </c>
      <c r="AG831" s="1" t="s">
        <v>8432</v>
      </c>
      <c r="AH831" s="1" t="s">
        <v>1605</v>
      </c>
      <c r="AI831" s="6">
        <v>58476.0</v>
      </c>
      <c r="AJ831" s="1" t="s">
        <v>86</v>
      </c>
      <c r="AK831" s="1" t="s">
        <v>8434</v>
      </c>
      <c r="AL831" s="1" t="s">
        <v>8435</v>
      </c>
      <c r="AM831" s="11" t="str">
        <f>VLOOKUP(N831,Sheet3!$B$4:$C$10,2,1)</f>
        <v>21-30</v>
      </c>
      <c r="AN831" s="13" t="str">
        <f>VLOOKUP(Z831,Sheet3!$F$4:$G$10,2,1)</f>
        <v>&lt; 5</v>
      </c>
      <c r="AO831" s="5" t="str">
        <f>VLOOKUP(AA831,Sheet3!$I$3:$J$16,2,1)</f>
        <v>120000-140000</v>
      </c>
      <c r="AP831" s="5" t="str">
        <f>VLOOKUP(AB831,Sheet3!$L$4:$M$14,2,1)</f>
        <v>26% - 30%</v>
      </c>
    </row>
    <row r="832">
      <c r="A832" s="6">
        <v>371751.0</v>
      </c>
      <c r="B832" s="1" t="s">
        <v>227</v>
      </c>
      <c r="C832" s="1" t="s">
        <v>5046</v>
      </c>
      <c r="D832" s="1" t="s">
        <v>529</v>
      </c>
      <c r="E832" s="1" t="s">
        <v>6778</v>
      </c>
      <c r="F832" s="1" t="s">
        <v>70</v>
      </c>
      <c r="G832" s="1" t="s">
        <v>8436</v>
      </c>
      <c r="H832" s="1" t="s">
        <v>7398</v>
      </c>
      <c r="I832" s="1" t="s">
        <v>8437</v>
      </c>
      <c r="J832" s="1" t="s">
        <v>8438</v>
      </c>
      <c r="K832" s="1" t="s">
        <v>7227</v>
      </c>
      <c r="L832" s="9">
        <v>25256.0</v>
      </c>
      <c r="M832" s="8">
        <v>0.8546527777777778</v>
      </c>
      <c r="N832" s="6">
        <v>48.46</v>
      </c>
      <c r="O832" s="6">
        <v>53.0</v>
      </c>
      <c r="P832" s="14">
        <v>39174.0</v>
      </c>
      <c r="Q832" s="1" t="s">
        <v>75</v>
      </c>
      <c r="R832" s="1" t="s">
        <v>76</v>
      </c>
      <c r="S832" s="6">
        <v>2007.0</v>
      </c>
      <c r="T832" s="6">
        <v>4.0</v>
      </c>
      <c r="U832" s="1" t="s">
        <v>77</v>
      </c>
      <c r="V832" s="1" t="s">
        <v>78</v>
      </c>
      <c r="W832" s="6">
        <v>2.0</v>
      </c>
      <c r="X832" s="1" t="s">
        <v>99</v>
      </c>
      <c r="Y832" s="1" t="s">
        <v>100</v>
      </c>
      <c r="Z832" s="6">
        <v>10.33</v>
      </c>
      <c r="AA832" s="6">
        <v>43176.0</v>
      </c>
      <c r="AB832" s="10">
        <v>0.28</v>
      </c>
      <c r="AC832" s="1" t="s">
        <v>8439</v>
      </c>
      <c r="AD832" s="1" t="s">
        <v>8440</v>
      </c>
      <c r="AE832" s="1" t="s">
        <v>8441</v>
      </c>
      <c r="AF832" s="1" t="s">
        <v>8441</v>
      </c>
      <c r="AG832" s="1" t="s">
        <v>8441</v>
      </c>
      <c r="AH832" s="1" t="s">
        <v>210</v>
      </c>
      <c r="AI832" s="6">
        <v>60487.0</v>
      </c>
      <c r="AJ832" s="1" t="s">
        <v>86</v>
      </c>
      <c r="AK832" s="1" t="s">
        <v>8442</v>
      </c>
      <c r="AL832" s="1" t="s">
        <v>8443</v>
      </c>
      <c r="AM832" s="11" t="str">
        <f>VLOOKUP(N832,Sheet3!$B$4:$C$10,2,1)</f>
        <v>41-50</v>
      </c>
      <c r="AN832" s="12" t="str">
        <f>VLOOKUP(Z832,Sheet3!$F$4:$G$10,2,1)</f>
        <v>5-10</v>
      </c>
      <c r="AO832" s="5" t="str">
        <f>VLOOKUP(AA832,Sheet3!$I$3:$J$16,2,1)</f>
        <v>40000-60000</v>
      </c>
      <c r="AP832" s="5" t="str">
        <f>VLOOKUP(AB832,Sheet3!$L$4:$M$14,2,1)</f>
        <v>26% - 30%</v>
      </c>
    </row>
    <row r="833">
      <c r="A833" s="6">
        <v>783654.0</v>
      </c>
      <c r="B833" s="1" t="s">
        <v>66</v>
      </c>
      <c r="C833" s="1" t="s">
        <v>2137</v>
      </c>
      <c r="D833" s="1" t="s">
        <v>554</v>
      </c>
      <c r="E833" s="1" t="s">
        <v>657</v>
      </c>
      <c r="F833" s="1" t="s">
        <v>70</v>
      </c>
      <c r="G833" s="1" t="s">
        <v>8444</v>
      </c>
      <c r="H833" s="1" t="s">
        <v>7398</v>
      </c>
      <c r="I833" s="1" t="s">
        <v>8445</v>
      </c>
      <c r="J833" s="1" t="s">
        <v>8446</v>
      </c>
      <c r="K833" s="1" t="s">
        <v>1473</v>
      </c>
      <c r="L833" s="9">
        <v>34904.0</v>
      </c>
      <c r="M833" s="8">
        <v>0.410625</v>
      </c>
      <c r="N833" s="6">
        <v>22.03</v>
      </c>
      <c r="O833" s="6">
        <v>81.0</v>
      </c>
      <c r="P833" s="9">
        <v>42704.0</v>
      </c>
      <c r="Q833" s="1" t="s">
        <v>52</v>
      </c>
      <c r="R833" s="1" t="s">
        <v>53</v>
      </c>
      <c r="S833" s="6">
        <v>2016.0</v>
      </c>
      <c r="T833" s="6">
        <v>11.0</v>
      </c>
      <c r="U833" s="1" t="s">
        <v>148</v>
      </c>
      <c r="V833" s="1" t="s">
        <v>149</v>
      </c>
      <c r="W833" s="6">
        <v>30.0</v>
      </c>
      <c r="X833" s="1" t="s">
        <v>278</v>
      </c>
      <c r="Y833" s="1" t="s">
        <v>279</v>
      </c>
      <c r="Z833" s="6">
        <v>0.66</v>
      </c>
      <c r="AA833" s="6">
        <v>83525.0</v>
      </c>
      <c r="AB833" s="10">
        <v>0.3</v>
      </c>
      <c r="AC833" s="1" t="s">
        <v>8447</v>
      </c>
      <c r="AD833" s="1" t="s">
        <v>8448</v>
      </c>
      <c r="AE833" s="1" t="s">
        <v>4341</v>
      </c>
      <c r="AF833" s="1" t="s">
        <v>8449</v>
      </c>
      <c r="AG833" s="1" t="s">
        <v>4341</v>
      </c>
      <c r="AH833" s="1" t="s">
        <v>385</v>
      </c>
      <c r="AI833" s="6">
        <v>98413.0</v>
      </c>
      <c r="AJ833" s="1" t="s">
        <v>63</v>
      </c>
      <c r="AK833" s="1" t="s">
        <v>8450</v>
      </c>
      <c r="AL833" s="1" t="s">
        <v>8451</v>
      </c>
      <c r="AM833" s="11" t="str">
        <f>VLOOKUP(N833,Sheet3!$B$4:$C$10,2,1)</f>
        <v>21-30</v>
      </c>
      <c r="AN833" s="13" t="str">
        <f>VLOOKUP(Z833,Sheet3!$F$4:$G$10,2,1)</f>
        <v>&lt; 5</v>
      </c>
      <c r="AO833" s="5" t="str">
        <f>VLOOKUP(AA833,Sheet3!$I$3:$J$16,2,1)</f>
        <v>80000-100000</v>
      </c>
      <c r="AP833" s="5" t="str">
        <f>VLOOKUP(AB833,Sheet3!$L$4:$M$14,2,1)</f>
        <v>26% - 30%</v>
      </c>
    </row>
    <row r="834">
      <c r="A834" s="6">
        <v>845635.0</v>
      </c>
      <c r="B834" s="1" t="s">
        <v>42</v>
      </c>
      <c r="C834" s="1" t="s">
        <v>8452</v>
      </c>
      <c r="D834" s="1" t="s">
        <v>389</v>
      </c>
      <c r="E834" s="1" t="s">
        <v>5734</v>
      </c>
      <c r="F834" s="1" t="s">
        <v>46</v>
      </c>
      <c r="G834" s="1" t="s">
        <v>8453</v>
      </c>
      <c r="H834" s="1" t="s">
        <v>7398</v>
      </c>
      <c r="I834" s="1" t="s">
        <v>8454</v>
      </c>
      <c r="J834" s="1" t="s">
        <v>8455</v>
      </c>
      <c r="K834" s="1" t="s">
        <v>8456</v>
      </c>
      <c r="L834" s="9">
        <v>29213.0</v>
      </c>
      <c r="M834" s="8">
        <v>0.8977777777777778</v>
      </c>
      <c r="N834" s="6">
        <v>37.62</v>
      </c>
      <c r="O834" s="6">
        <v>48.0</v>
      </c>
      <c r="P834" s="14">
        <v>41406.0</v>
      </c>
      <c r="Q834" s="1" t="s">
        <v>75</v>
      </c>
      <c r="R834" s="1" t="s">
        <v>76</v>
      </c>
      <c r="S834" s="6">
        <v>2013.0</v>
      </c>
      <c r="T834" s="6">
        <v>5.0</v>
      </c>
      <c r="U834" s="1" t="s">
        <v>294</v>
      </c>
      <c r="V834" s="1" t="s">
        <v>294</v>
      </c>
      <c r="W834" s="6">
        <v>12.0</v>
      </c>
      <c r="X834" s="1" t="s">
        <v>534</v>
      </c>
      <c r="Y834" s="1" t="s">
        <v>535</v>
      </c>
      <c r="Z834" s="6">
        <v>4.21</v>
      </c>
      <c r="AA834" s="6">
        <v>71063.0</v>
      </c>
      <c r="AB834" s="10">
        <v>0.15</v>
      </c>
      <c r="AC834" s="1" t="s">
        <v>8457</v>
      </c>
      <c r="AD834" s="1" t="s">
        <v>8458</v>
      </c>
      <c r="AE834" s="1" t="s">
        <v>2419</v>
      </c>
      <c r="AF834" s="1" t="s">
        <v>2419</v>
      </c>
      <c r="AG834" s="1" t="s">
        <v>2419</v>
      </c>
      <c r="AH834" s="1" t="s">
        <v>210</v>
      </c>
      <c r="AI834" s="6">
        <v>61615.0</v>
      </c>
      <c r="AJ834" s="1" t="s">
        <v>86</v>
      </c>
      <c r="AK834" s="1" t="s">
        <v>8459</v>
      </c>
      <c r="AL834" s="1" t="s">
        <v>8460</v>
      </c>
      <c r="AM834" s="11" t="str">
        <f>VLOOKUP(N834,Sheet3!$B$4:$C$10,2,1)</f>
        <v>31-40</v>
      </c>
      <c r="AN834" s="13" t="str">
        <f>VLOOKUP(Z834,Sheet3!$F$4:$G$10,2,1)</f>
        <v>&lt; 5</v>
      </c>
      <c r="AO834" s="5" t="str">
        <f>VLOOKUP(AA834,Sheet3!$I$3:$J$16,2,1)</f>
        <v>60000-80000</v>
      </c>
      <c r="AP834" s="5" t="str">
        <f>VLOOKUP(AB834,Sheet3!$L$4:$M$14,2,1)</f>
        <v>11% - 15%</v>
      </c>
    </row>
    <row r="835">
      <c r="A835" s="6">
        <v>266624.0</v>
      </c>
      <c r="B835" s="1" t="s">
        <v>66</v>
      </c>
      <c r="C835" s="1" t="s">
        <v>2401</v>
      </c>
      <c r="D835" s="1" t="s">
        <v>1300</v>
      </c>
      <c r="E835" s="1" t="s">
        <v>7227</v>
      </c>
      <c r="F835" s="1" t="s">
        <v>70</v>
      </c>
      <c r="G835" s="1" t="s">
        <v>8461</v>
      </c>
      <c r="H835" s="1" t="s">
        <v>7398</v>
      </c>
      <c r="I835" s="1" t="s">
        <v>8462</v>
      </c>
      <c r="J835" s="1" t="s">
        <v>8463</v>
      </c>
      <c r="K835" s="1" t="s">
        <v>1742</v>
      </c>
      <c r="L835" s="9">
        <v>35094.0</v>
      </c>
      <c r="M835" s="8">
        <v>0.3507986111111111</v>
      </c>
      <c r="N835" s="6">
        <v>21.51</v>
      </c>
      <c r="O835" s="6">
        <v>85.0</v>
      </c>
      <c r="P835" s="9">
        <v>42838.0</v>
      </c>
      <c r="Q835" s="1" t="s">
        <v>75</v>
      </c>
      <c r="R835" s="1" t="s">
        <v>76</v>
      </c>
      <c r="S835" s="6">
        <v>2017.0</v>
      </c>
      <c r="T835" s="6">
        <v>4.0</v>
      </c>
      <c r="U835" s="1" t="s">
        <v>77</v>
      </c>
      <c r="V835" s="1" t="s">
        <v>78</v>
      </c>
      <c r="W835" s="6">
        <v>13.0</v>
      </c>
      <c r="X835" s="1" t="s">
        <v>150</v>
      </c>
      <c r="Y835" s="1" t="s">
        <v>151</v>
      </c>
      <c r="Z835" s="6">
        <v>0.29</v>
      </c>
      <c r="AA835" s="6">
        <v>92696.0</v>
      </c>
      <c r="AB835" s="10">
        <v>0.22</v>
      </c>
      <c r="AC835" s="1" t="s">
        <v>8464</v>
      </c>
      <c r="AD835" s="1" t="s">
        <v>8465</v>
      </c>
      <c r="AE835" s="1" t="s">
        <v>8466</v>
      </c>
      <c r="AF835" s="1" t="s">
        <v>355</v>
      </c>
      <c r="AG835" s="1" t="s">
        <v>8466</v>
      </c>
      <c r="AH835" s="1" t="s">
        <v>811</v>
      </c>
      <c r="AI835" s="6">
        <v>39461.0</v>
      </c>
      <c r="AJ835" s="1" t="s">
        <v>106</v>
      </c>
      <c r="AK835" s="1" t="s">
        <v>8467</v>
      </c>
      <c r="AL835" s="1" t="s">
        <v>8468</v>
      </c>
      <c r="AM835" s="11" t="str">
        <f>VLOOKUP(N835,Sheet3!$B$4:$C$10,2,1)</f>
        <v>21-30</v>
      </c>
      <c r="AN835" s="13" t="str">
        <f>VLOOKUP(Z835,Sheet3!$F$4:$G$10,2,1)</f>
        <v>&lt; 5</v>
      </c>
      <c r="AO835" s="5" t="str">
        <f>VLOOKUP(AA835,Sheet3!$I$3:$J$16,2,1)</f>
        <v>80000-100000</v>
      </c>
      <c r="AP835" s="5" t="str">
        <f>VLOOKUP(AB835,Sheet3!$L$4:$M$14,2,1)</f>
        <v>21% - 25%</v>
      </c>
    </row>
    <row r="836">
      <c r="A836" s="6">
        <v>682855.0</v>
      </c>
      <c r="B836" s="1" t="s">
        <v>66</v>
      </c>
      <c r="C836" s="1" t="s">
        <v>5522</v>
      </c>
      <c r="D836" s="1" t="s">
        <v>186</v>
      </c>
      <c r="E836" s="1" t="s">
        <v>2767</v>
      </c>
      <c r="F836" s="1" t="s">
        <v>70</v>
      </c>
      <c r="G836" s="1" t="s">
        <v>8469</v>
      </c>
      <c r="H836" s="1" t="s">
        <v>7398</v>
      </c>
      <c r="I836" s="1" t="s">
        <v>8470</v>
      </c>
      <c r="J836" s="1" t="s">
        <v>8471</v>
      </c>
      <c r="K836" s="1" t="s">
        <v>8472</v>
      </c>
      <c r="L836" s="9">
        <v>25373.0</v>
      </c>
      <c r="M836" s="8">
        <v>0.2061689814814815</v>
      </c>
      <c r="N836" s="6">
        <v>48.14</v>
      </c>
      <c r="O836" s="6">
        <v>55.0</v>
      </c>
      <c r="P836" s="9">
        <v>33195.0</v>
      </c>
      <c r="Q836" s="1" t="s">
        <v>52</v>
      </c>
      <c r="R836" s="1" t="s">
        <v>53</v>
      </c>
      <c r="S836" s="6">
        <v>1990.0</v>
      </c>
      <c r="T836" s="6">
        <v>11.0</v>
      </c>
      <c r="U836" s="1" t="s">
        <v>148</v>
      </c>
      <c r="V836" s="1" t="s">
        <v>149</v>
      </c>
      <c r="W836" s="6">
        <v>18.0</v>
      </c>
      <c r="X836" s="1" t="s">
        <v>534</v>
      </c>
      <c r="Y836" s="1" t="s">
        <v>535</v>
      </c>
      <c r="Z836" s="6">
        <v>26.71</v>
      </c>
      <c r="AA836" s="6">
        <v>105054.0</v>
      </c>
      <c r="AB836" s="10">
        <v>0.28</v>
      </c>
      <c r="AC836" s="1" t="s">
        <v>8473</v>
      </c>
      <c r="AD836" s="1" t="s">
        <v>8474</v>
      </c>
      <c r="AE836" s="1" t="s">
        <v>8475</v>
      </c>
      <c r="AF836" s="1" t="s">
        <v>8476</v>
      </c>
      <c r="AG836" s="1" t="s">
        <v>8475</v>
      </c>
      <c r="AH836" s="1" t="s">
        <v>974</v>
      </c>
      <c r="AI836" s="6">
        <v>45658.0</v>
      </c>
      <c r="AJ836" s="1" t="s">
        <v>86</v>
      </c>
      <c r="AK836" s="1" t="s">
        <v>8477</v>
      </c>
      <c r="AL836" s="1" t="s">
        <v>8478</v>
      </c>
      <c r="AM836" s="11" t="str">
        <f>VLOOKUP(N836,Sheet3!$B$4:$C$10,2,1)</f>
        <v>41-50</v>
      </c>
      <c r="AN836" s="13" t="str">
        <f>VLOOKUP(Z836,Sheet3!$F$4:$G$10,2,1)</f>
        <v>21-30</v>
      </c>
      <c r="AO836" s="5" t="str">
        <f>VLOOKUP(AA836,Sheet3!$I$3:$J$16,2,1)</f>
        <v>100000-120000</v>
      </c>
      <c r="AP836" s="5" t="str">
        <f>VLOOKUP(AB836,Sheet3!$L$4:$M$14,2,1)</f>
        <v>26% - 30%</v>
      </c>
    </row>
    <row r="837">
      <c r="A837" s="6">
        <v>229899.0</v>
      </c>
      <c r="B837" s="1" t="s">
        <v>125</v>
      </c>
      <c r="C837" s="1" t="s">
        <v>8479</v>
      </c>
      <c r="D837" s="1" t="s">
        <v>861</v>
      </c>
      <c r="E837" s="1" t="s">
        <v>2661</v>
      </c>
      <c r="F837" s="1" t="s">
        <v>46</v>
      </c>
      <c r="G837" s="1" t="s">
        <v>8480</v>
      </c>
      <c r="H837" s="1" t="s">
        <v>7398</v>
      </c>
      <c r="I837" s="1" t="s">
        <v>8481</v>
      </c>
      <c r="J837" s="1" t="s">
        <v>8482</v>
      </c>
      <c r="K837" s="1" t="s">
        <v>5318</v>
      </c>
      <c r="L837" s="9">
        <v>21726.0</v>
      </c>
      <c r="M837" s="8">
        <v>0.13141203703703705</v>
      </c>
      <c r="N837" s="6">
        <v>58.13</v>
      </c>
      <c r="O837" s="6">
        <v>41.0</v>
      </c>
      <c r="P837" s="9">
        <v>41413.0</v>
      </c>
      <c r="Q837" s="1" t="s">
        <v>75</v>
      </c>
      <c r="R837" s="1" t="s">
        <v>76</v>
      </c>
      <c r="S837" s="6">
        <v>2013.0</v>
      </c>
      <c r="T837" s="6">
        <v>5.0</v>
      </c>
      <c r="U837" s="1" t="s">
        <v>294</v>
      </c>
      <c r="V837" s="1" t="s">
        <v>294</v>
      </c>
      <c r="W837" s="6">
        <v>19.0</v>
      </c>
      <c r="X837" s="1" t="s">
        <v>534</v>
      </c>
      <c r="Y837" s="1" t="s">
        <v>535</v>
      </c>
      <c r="Z837" s="6">
        <v>4.19</v>
      </c>
      <c r="AA837" s="6">
        <v>66212.0</v>
      </c>
      <c r="AB837" s="10">
        <v>0.04</v>
      </c>
      <c r="AC837" s="1" t="s">
        <v>8483</v>
      </c>
      <c r="AD837" s="1" t="s">
        <v>8484</v>
      </c>
      <c r="AE837" s="1" t="s">
        <v>8485</v>
      </c>
      <c r="AF837" s="1" t="s">
        <v>3548</v>
      </c>
      <c r="AG837" s="1" t="s">
        <v>8485</v>
      </c>
      <c r="AH837" s="1" t="s">
        <v>223</v>
      </c>
      <c r="AI837" s="6">
        <v>16353.0</v>
      </c>
      <c r="AJ837" s="1" t="s">
        <v>224</v>
      </c>
      <c r="AK837" s="1" t="s">
        <v>8486</v>
      </c>
      <c r="AL837" s="1" t="s">
        <v>8487</v>
      </c>
      <c r="AM837" s="11" t="str">
        <f>VLOOKUP(N837,Sheet3!$B$4:$C$10,2,1)</f>
        <v>51-60</v>
      </c>
      <c r="AN837" s="13" t="str">
        <f>VLOOKUP(Z837,Sheet3!$F$4:$G$10,2,1)</f>
        <v>&lt; 5</v>
      </c>
      <c r="AO837" s="5" t="str">
        <f>VLOOKUP(AA837,Sheet3!$I$3:$J$16,2,1)</f>
        <v>60000-80000</v>
      </c>
      <c r="AP837" s="5" t="str">
        <f>VLOOKUP(AB837,Sheet3!$L$4:$M$14,2,1)</f>
        <v>&lt; 5%</v>
      </c>
    </row>
    <row r="838">
      <c r="A838" s="6">
        <v>701561.0</v>
      </c>
      <c r="B838" s="1" t="s">
        <v>109</v>
      </c>
      <c r="C838" s="1" t="s">
        <v>8488</v>
      </c>
      <c r="D838" s="1" t="s">
        <v>360</v>
      </c>
      <c r="E838" s="1" t="s">
        <v>5798</v>
      </c>
      <c r="F838" s="1" t="s">
        <v>46</v>
      </c>
      <c r="G838" s="1" t="s">
        <v>8489</v>
      </c>
      <c r="H838" s="1" t="s">
        <v>7398</v>
      </c>
      <c r="I838" s="1" t="s">
        <v>8490</v>
      </c>
      <c r="J838" s="1" t="s">
        <v>8491</v>
      </c>
      <c r="K838" s="1" t="s">
        <v>1569</v>
      </c>
      <c r="L838" s="14">
        <v>24626.0</v>
      </c>
      <c r="M838" s="8">
        <v>0.46792824074074074</v>
      </c>
      <c r="N838" s="6">
        <v>50.19</v>
      </c>
      <c r="O838" s="6">
        <v>49.0</v>
      </c>
      <c r="P838" s="14">
        <v>37084.0</v>
      </c>
      <c r="Q838" s="1" t="s">
        <v>308</v>
      </c>
      <c r="R838" s="1" t="s">
        <v>53</v>
      </c>
      <c r="S838" s="6">
        <v>2001.0</v>
      </c>
      <c r="T838" s="6">
        <v>7.0</v>
      </c>
      <c r="U838" s="1" t="s">
        <v>366</v>
      </c>
      <c r="V838" s="1" t="s">
        <v>367</v>
      </c>
      <c r="W838" s="6">
        <v>12.0</v>
      </c>
      <c r="X838" s="1" t="s">
        <v>150</v>
      </c>
      <c r="Y838" s="1" t="s">
        <v>151</v>
      </c>
      <c r="Z838" s="6">
        <v>16.05</v>
      </c>
      <c r="AA838" s="6">
        <v>138040.0</v>
      </c>
      <c r="AB838" s="10">
        <v>0.25</v>
      </c>
      <c r="AC838" s="1" t="s">
        <v>8492</v>
      </c>
      <c r="AD838" s="1" t="s">
        <v>8493</v>
      </c>
      <c r="AE838" s="1" t="s">
        <v>8494</v>
      </c>
      <c r="AF838" s="1" t="s">
        <v>3528</v>
      </c>
      <c r="AG838" s="1" t="s">
        <v>8494</v>
      </c>
      <c r="AH838" s="1" t="s">
        <v>238</v>
      </c>
      <c r="AI838" s="6">
        <v>92586.0</v>
      </c>
      <c r="AJ838" s="1" t="s">
        <v>63</v>
      </c>
      <c r="AK838" s="1" t="s">
        <v>8495</v>
      </c>
      <c r="AL838" s="1" t="s">
        <v>8496</v>
      </c>
      <c r="AM838" s="11" t="str">
        <f>VLOOKUP(N838,Sheet3!$B$4:$C$10,2,1)</f>
        <v>41-50</v>
      </c>
      <c r="AN838" s="12" t="str">
        <f>VLOOKUP(Z838,Sheet3!$F$4:$G$10,2,1)</f>
        <v>11-20</v>
      </c>
      <c r="AO838" s="5" t="str">
        <f>VLOOKUP(AA838,Sheet3!$I$3:$J$16,2,1)</f>
        <v>120000-140000</v>
      </c>
      <c r="AP838" s="5" t="str">
        <f>VLOOKUP(AB838,Sheet3!$L$4:$M$14,2,1)</f>
        <v>21% - 25%</v>
      </c>
    </row>
    <row r="839">
      <c r="A839" s="6">
        <v>114862.0</v>
      </c>
      <c r="B839" s="1" t="s">
        <v>109</v>
      </c>
      <c r="C839" s="1" t="s">
        <v>8497</v>
      </c>
      <c r="D839" s="1" t="s">
        <v>46</v>
      </c>
      <c r="E839" s="1" t="s">
        <v>4954</v>
      </c>
      <c r="F839" s="1" t="s">
        <v>46</v>
      </c>
      <c r="G839" s="1" t="s">
        <v>8498</v>
      </c>
      <c r="H839" s="1" t="s">
        <v>7398</v>
      </c>
      <c r="I839" s="1" t="s">
        <v>8499</v>
      </c>
      <c r="J839" s="1" t="s">
        <v>8500</v>
      </c>
      <c r="K839" s="1" t="s">
        <v>4899</v>
      </c>
      <c r="L839" s="14">
        <v>23408.0</v>
      </c>
      <c r="M839" s="8">
        <v>0.9094560185185185</v>
      </c>
      <c r="N839" s="6">
        <v>53.52</v>
      </c>
      <c r="O839" s="6">
        <v>44.0</v>
      </c>
      <c r="P839" s="9">
        <v>37271.0</v>
      </c>
      <c r="Q839" s="1" t="s">
        <v>96</v>
      </c>
      <c r="R839" s="1" t="s">
        <v>76</v>
      </c>
      <c r="S839" s="6">
        <v>2002.0</v>
      </c>
      <c r="T839" s="6">
        <v>1.0</v>
      </c>
      <c r="U839" s="1" t="s">
        <v>276</v>
      </c>
      <c r="V839" s="1" t="s">
        <v>277</v>
      </c>
      <c r="W839" s="6">
        <v>15.0</v>
      </c>
      <c r="X839" s="1" t="s">
        <v>79</v>
      </c>
      <c r="Y839" s="1" t="s">
        <v>80</v>
      </c>
      <c r="Z839" s="6">
        <v>15.54</v>
      </c>
      <c r="AA839" s="6">
        <v>46648.0</v>
      </c>
      <c r="AB839" s="10">
        <v>0.2</v>
      </c>
      <c r="AC839" s="1" t="s">
        <v>8501</v>
      </c>
      <c r="AD839" s="1" t="s">
        <v>8502</v>
      </c>
      <c r="AE839" s="1" t="s">
        <v>2224</v>
      </c>
      <c r="AF839" s="1" t="s">
        <v>5662</v>
      </c>
      <c r="AG839" s="1" t="s">
        <v>2224</v>
      </c>
      <c r="AH839" s="1" t="s">
        <v>1032</v>
      </c>
      <c r="AI839" s="6">
        <v>66741.0</v>
      </c>
      <c r="AJ839" s="1" t="s">
        <v>86</v>
      </c>
      <c r="AK839" s="1" t="s">
        <v>8503</v>
      </c>
      <c r="AL839" s="1" t="s">
        <v>8504</v>
      </c>
      <c r="AM839" s="11" t="str">
        <f>VLOOKUP(N839,Sheet3!$B$4:$C$10,2,1)</f>
        <v>51-60</v>
      </c>
      <c r="AN839" s="12" t="str">
        <f>VLOOKUP(Z839,Sheet3!$F$4:$G$10,2,1)</f>
        <v>11-20</v>
      </c>
      <c r="AO839" s="5" t="str">
        <f>VLOOKUP(AA839,Sheet3!$I$3:$J$16,2,1)</f>
        <v>40000-60000</v>
      </c>
      <c r="AP839" s="5" t="str">
        <f>VLOOKUP(AB839,Sheet3!$L$4:$M$14,2,1)</f>
        <v>16% - 20%</v>
      </c>
    </row>
    <row r="840">
      <c r="A840" s="6">
        <v>445650.0</v>
      </c>
      <c r="B840" s="1" t="s">
        <v>66</v>
      </c>
      <c r="C840" s="1" t="s">
        <v>8505</v>
      </c>
      <c r="D840" s="1" t="s">
        <v>318</v>
      </c>
      <c r="E840" s="1" t="s">
        <v>4670</v>
      </c>
      <c r="F840" s="1" t="s">
        <v>70</v>
      </c>
      <c r="G840" s="1" t="s">
        <v>8506</v>
      </c>
      <c r="H840" s="1" t="s">
        <v>7398</v>
      </c>
      <c r="I840" s="1" t="s">
        <v>8507</v>
      </c>
      <c r="J840" s="1" t="s">
        <v>8508</v>
      </c>
      <c r="K840" s="1" t="s">
        <v>1237</v>
      </c>
      <c r="L840" s="9">
        <v>29979.0</v>
      </c>
      <c r="M840" s="8">
        <v>0.4576851851851852</v>
      </c>
      <c r="N840" s="6">
        <v>35.52</v>
      </c>
      <c r="O840" s="6">
        <v>50.0</v>
      </c>
      <c r="P840" s="14">
        <v>41498.0</v>
      </c>
      <c r="Q840" s="1" t="s">
        <v>308</v>
      </c>
      <c r="R840" s="1" t="s">
        <v>53</v>
      </c>
      <c r="S840" s="6">
        <v>2013.0</v>
      </c>
      <c r="T840" s="6">
        <v>8.0</v>
      </c>
      <c r="U840" s="1" t="s">
        <v>433</v>
      </c>
      <c r="V840" s="1" t="s">
        <v>434</v>
      </c>
      <c r="W840" s="6">
        <v>12.0</v>
      </c>
      <c r="X840" s="1" t="s">
        <v>99</v>
      </c>
      <c r="Y840" s="1" t="s">
        <v>100</v>
      </c>
      <c r="Z840" s="6">
        <v>3.96</v>
      </c>
      <c r="AA840" s="6">
        <v>138548.0</v>
      </c>
      <c r="AB840" s="10">
        <v>0.22</v>
      </c>
      <c r="AC840" s="1" t="s">
        <v>8509</v>
      </c>
      <c r="AD840" s="1" t="s">
        <v>8510</v>
      </c>
      <c r="AE840" s="1" t="s">
        <v>3005</v>
      </c>
      <c r="AF840" s="1" t="s">
        <v>3006</v>
      </c>
      <c r="AG840" s="1" t="s">
        <v>3005</v>
      </c>
      <c r="AH840" s="1" t="s">
        <v>2483</v>
      </c>
      <c r="AI840" s="6">
        <v>29220.0</v>
      </c>
      <c r="AJ840" s="1" t="s">
        <v>106</v>
      </c>
      <c r="AK840" s="1" t="s">
        <v>8511</v>
      </c>
      <c r="AL840" s="1" t="s">
        <v>8512</v>
      </c>
      <c r="AM840" s="11" t="str">
        <f>VLOOKUP(N840,Sheet3!$B$4:$C$10,2,1)</f>
        <v>31-40</v>
      </c>
      <c r="AN840" s="13" t="str">
        <f>VLOOKUP(Z840,Sheet3!$F$4:$G$10,2,1)</f>
        <v>&lt; 5</v>
      </c>
      <c r="AO840" s="5" t="str">
        <f>VLOOKUP(AA840,Sheet3!$I$3:$J$16,2,1)</f>
        <v>120000-140000</v>
      </c>
      <c r="AP840" s="5" t="str">
        <f>VLOOKUP(AB840,Sheet3!$L$4:$M$14,2,1)</f>
        <v>21% - 25%</v>
      </c>
    </row>
    <row r="841">
      <c r="A841" s="6">
        <v>574544.0</v>
      </c>
      <c r="B841" s="1" t="s">
        <v>66</v>
      </c>
      <c r="C841" s="1" t="s">
        <v>8513</v>
      </c>
      <c r="D841" s="1" t="s">
        <v>127</v>
      </c>
      <c r="E841" s="1" t="s">
        <v>2968</v>
      </c>
      <c r="F841" s="1" t="s">
        <v>70</v>
      </c>
      <c r="G841" s="1" t="s">
        <v>8514</v>
      </c>
      <c r="H841" s="1" t="s">
        <v>7398</v>
      </c>
      <c r="I841" s="1" t="s">
        <v>8515</v>
      </c>
      <c r="J841" s="1" t="s">
        <v>8516</v>
      </c>
      <c r="K841" s="1" t="s">
        <v>1240</v>
      </c>
      <c r="L841" s="14">
        <v>26276.0</v>
      </c>
      <c r="M841" s="8">
        <v>0.4114814814814815</v>
      </c>
      <c r="N841" s="6">
        <v>45.67</v>
      </c>
      <c r="O841" s="6">
        <v>87.0</v>
      </c>
      <c r="P841" s="14">
        <v>34547.0</v>
      </c>
      <c r="Q841" s="1" t="s">
        <v>308</v>
      </c>
      <c r="R841" s="1" t="s">
        <v>53</v>
      </c>
      <c r="S841" s="6">
        <v>1994.0</v>
      </c>
      <c r="T841" s="6">
        <v>8.0</v>
      </c>
      <c r="U841" s="1" t="s">
        <v>433</v>
      </c>
      <c r="V841" s="1" t="s">
        <v>434</v>
      </c>
      <c r="W841" s="6">
        <v>1.0</v>
      </c>
      <c r="X841" s="1" t="s">
        <v>99</v>
      </c>
      <c r="Y841" s="1" t="s">
        <v>100</v>
      </c>
      <c r="Z841" s="6">
        <v>23.01</v>
      </c>
      <c r="AA841" s="6">
        <v>159674.0</v>
      </c>
      <c r="AB841" s="10">
        <v>0.02</v>
      </c>
      <c r="AC841" s="1" t="s">
        <v>8517</v>
      </c>
      <c r="AD841" s="1" t="s">
        <v>8518</v>
      </c>
      <c r="AE841" s="1" t="s">
        <v>8519</v>
      </c>
      <c r="AF841" s="1" t="s">
        <v>8519</v>
      </c>
      <c r="AG841" s="1" t="s">
        <v>8519</v>
      </c>
      <c r="AH841" s="1" t="s">
        <v>156</v>
      </c>
      <c r="AI841" s="6">
        <v>24522.0</v>
      </c>
      <c r="AJ841" s="1" t="s">
        <v>106</v>
      </c>
      <c r="AK841" s="1" t="s">
        <v>8520</v>
      </c>
      <c r="AL841" s="1" t="s">
        <v>8521</v>
      </c>
      <c r="AM841" s="11" t="str">
        <f>VLOOKUP(N841,Sheet3!$B$4:$C$10,2,1)</f>
        <v>41-50</v>
      </c>
      <c r="AN841" s="13" t="str">
        <f>VLOOKUP(Z841,Sheet3!$F$4:$G$10,2,1)</f>
        <v>21-30</v>
      </c>
      <c r="AO841" s="5" t="str">
        <f>VLOOKUP(AA841,Sheet3!$I$3:$J$16,2,1)</f>
        <v>140000-160000</v>
      </c>
      <c r="AP841" s="5" t="str">
        <f>VLOOKUP(AB841,Sheet3!$L$4:$M$14,2,1)</f>
        <v>&lt; 5%</v>
      </c>
    </row>
    <row r="842">
      <c r="A842" s="6">
        <v>990758.0</v>
      </c>
      <c r="B842" s="1" t="s">
        <v>42</v>
      </c>
      <c r="C842" s="1" t="s">
        <v>8522</v>
      </c>
      <c r="D842" s="1" t="s">
        <v>554</v>
      </c>
      <c r="E842" s="1" t="s">
        <v>6741</v>
      </c>
      <c r="F842" s="1" t="s">
        <v>46</v>
      </c>
      <c r="G842" s="1" t="s">
        <v>8523</v>
      </c>
      <c r="H842" s="1" t="s">
        <v>7398</v>
      </c>
      <c r="I842" s="1" t="s">
        <v>8524</v>
      </c>
      <c r="J842" s="1" t="s">
        <v>8525</v>
      </c>
      <c r="K842" s="1" t="s">
        <v>3461</v>
      </c>
      <c r="L842" s="14">
        <v>32332.0</v>
      </c>
      <c r="M842" s="8">
        <v>0.947025462962963</v>
      </c>
      <c r="N842" s="6">
        <v>29.07</v>
      </c>
      <c r="O842" s="6">
        <v>49.0</v>
      </c>
      <c r="P842" s="9">
        <v>40228.0</v>
      </c>
      <c r="Q842" s="1" t="s">
        <v>96</v>
      </c>
      <c r="R842" s="1" t="s">
        <v>76</v>
      </c>
      <c r="S842" s="6">
        <v>2010.0</v>
      </c>
      <c r="T842" s="6">
        <v>2.0</v>
      </c>
      <c r="U842" s="1" t="s">
        <v>117</v>
      </c>
      <c r="V842" s="1" t="s">
        <v>118</v>
      </c>
      <c r="W842" s="6">
        <v>19.0</v>
      </c>
      <c r="X842" s="1" t="s">
        <v>263</v>
      </c>
      <c r="Y842" s="1" t="s">
        <v>264</v>
      </c>
      <c r="Z842" s="6">
        <v>7.44</v>
      </c>
      <c r="AA842" s="6">
        <v>115818.0</v>
      </c>
      <c r="AB842" s="10">
        <v>0.29</v>
      </c>
      <c r="AC842" s="1" t="s">
        <v>8526</v>
      </c>
      <c r="AD842" s="1" t="s">
        <v>8527</v>
      </c>
      <c r="AE842" s="1" t="s">
        <v>8528</v>
      </c>
      <c r="AF842" s="1" t="s">
        <v>2267</v>
      </c>
      <c r="AG842" s="1" t="s">
        <v>8528</v>
      </c>
      <c r="AH842" s="1" t="s">
        <v>223</v>
      </c>
      <c r="AI842" s="6">
        <v>17254.0</v>
      </c>
      <c r="AJ842" s="1" t="s">
        <v>224</v>
      </c>
      <c r="AK842" s="1" t="s">
        <v>8529</v>
      </c>
      <c r="AL842" s="1" t="s">
        <v>8530</v>
      </c>
      <c r="AM842" s="11" t="str">
        <f>VLOOKUP(N842,Sheet3!$B$4:$C$10,2,1)</f>
        <v>21-30</v>
      </c>
      <c r="AN842" s="12" t="str">
        <f>VLOOKUP(Z842,Sheet3!$F$4:$G$10,2,1)</f>
        <v>5-10</v>
      </c>
      <c r="AO842" s="5" t="str">
        <f>VLOOKUP(AA842,Sheet3!$I$3:$J$16,2,1)</f>
        <v>100000-120000</v>
      </c>
      <c r="AP842" s="5" t="str">
        <f>VLOOKUP(AB842,Sheet3!$L$4:$M$14,2,1)</f>
        <v>26% - 30%</v>
      </c>
    </row>
    <row r="843">
      <c r="A843" s="6">
        <v>833424.0</v>
      </c>
      <c r="B843" s="1" t="s">
        <v>255</v>
      </c>
      <c r="C843" s="1" t="s">
        <v>6363</v>
      </c>
      <c r="D843" s="1" t="s">
        <v>466</v>
      </c>
      <c r="E843" s="1" t="s">
        <v>2343</v>
      </c>
      <c r="F843" s="1" t="s">
        <v>70</v>
      </c>
      <c r="G843" s="1" t="s">
        <v>8531</v>
      </c>
      <c r="H843" s="1" t="s">
        <v>7398</v>
      </c>
      <c r="I843" s="1" t="s">
        <v>8532</v>
      </c>
      <c r="J843" s="1" t="s">
        <v>8533</v>
      </c>
      <c r="K843" s="1" t="s">
        <v>2767</v>
      </c>
      <c r="L843" s="14">
        <v>21374.0</v>
      </c>
      <c r="M843" s="8">
        <v>0.7955324074074074</v>
      </c>
      <c r="N843" s="6">
        <v>59.1</v>
      </c>
      <c r="O843" s="6">
        <v>86.0</v>
      </c>
      <c r="P843" s="9">
        <v>32133.0</v>
      </c>
      <c r="Q843" s="1" t="s">
        <v>52</v>
      </c>
      <c r="R843" s="1" t="s">
        <v>53</v>
      </c>
      <c r="S843" s="6">
        <v>1987.0</v>
      </c>
      <c r="T843" s="6">
        <v>12.0</v>
      </c>
      <c r="U843" s="1" t="s">
        <v>54</v>
      </c>
      <c r="V843" s="1" t="s">
        <v>55</v>
      </c>
      <c r="W843" s="6">
        <v>22.0</v>
      </c>
      <c r="X843" s="1" t="s">
        <v>79</v>
      </c>
      <c r="Y843" s="1" t="s">
        <v>80</v>
      </c>
      <c r="Z843" s="6">
        <v>29.62</v>
      </c>
      <c r="AA843" s="6">
        <v>178822.0</v>
      </c>
      <c r="AB843" s="10">
        <v>0.21</v>
      </c>
      <c r="AC843" s="1" t="s">
        <v>8534</v>
      </c>
      <c r="AD843" s="1" t="s">
        <v>8535</v>
      </c>
      <c r="AE843" s="1" t="s">
        <v>8536</v>
      </c>
      <c r="AF843" s="1" t="s">
        <v>1749</v>
      </c>
      <c r="AG843" s="1" t="s">
        <v>8536</v>
      </c>
      <c r="AH843" s="1" t="s">
        <v>156</v>
      </c>
      <c r="AI843" s="6">
        <v>24647.0</v>
      </c>
      <c r="AJ843" s="1" t="s">
        <v>106</v>
      </c>
      <c r="AK843" s="1" t="s">
        <v>8537</v>
      </c>
      <c r="AL843" s="1" t="s">
        <v>8538</v>
      </c>
      <c r="AM843" s="11" t="str">
        <f>VLOOKUP(N843,Sheet3!$B$4:$C$10,2,1)</f>
        <v>51-60</v>
      </c>
      <c r="AN843" s="13" t="str">
        <f>VLOOKUP(Z843,Sheet3!$F$4:$G$10,2,1)</f>
        <v>21-30</v>
      </c>
      <c r="AO843" s="5" t="str">
        <f>VLOOKUP(AA843,Sheet3!$I$3:$J$16,2,1)</f>
        <v>160000-180000</v>
      </c>
      <c r="AP843" s="5" t="str">
        <f>VLOOKUP(AB843,Sheet3!$L$4:$M$14,2,1)</f>
        <v>21% - 25%</v>
      </c>
    </row>
    <row r="844">
      <c r="A844" s="6">
        <v>864834.0</v>
      </c>
      <c r="B844" s="1" t="s">
        <v>66</v>
      </c>
      <c r="C844" s="1" t="s">
        <v>2793</v>
      </c>
      <c r="D844" s="1" t="s">
        <v>403</v>
      </c>
      <c r="E844" s="1" t="s">
        <v>8142</v>
      </c>
      <c r="F844" s="1" t="s">
        <v>70</v>
      </c>
      <c r="G844" s="1" t="s">
        <v>8539</v>
      </c>
      <c r="H844" s="1" t="s">
        <v>7398</v>
      </c>
      <c r="I844" s="1" t="s">
        <v>8540</v>
      </c>
      <c r="J844" s="1" t="s">
        <v>8541</v>
      </c>
      <c r="K844" s="1" t="s">
        <v>8542</v>
      </c>
      <c r="L844" s="9">
        <v>24041.0</v>
      </c>
      <c r="M844" s="8">
        <v>0.08555555555555555</v>
      </c>
      <c r="N844" s="6">
        <v>51.79</v>
      </c>
      <c r="O844" s="6">
        <v>81.0</v>
      </c>
      <c r="P844" s="14">
        <v>36497.0</v>
      </c>
      <c r="Q844" s="1" t="s">
        <v>52</v>
      </c>
      <c r="R844" s="1" t="s">
        <v>53</v>
      </c>
      <c r="S844" s="6">
        <v>1999.0</v>
      </c>
      <c r="T844" s="6">
        <v>12.0</v>
      </c>
      <c r="U844" s="1" t="s">
        <v>54</v>
      </c>
      <c r="V844" s="1" t="s">
        <v>55</v>
      </c>
      <c r="W844" s="6">
        <v>3.0</v>
      </c>
      <c r="X844" s="1" t="s">
        <v>263</v>
      </c>
      <c r="Y844" s="1" t="s">
        <v>264</v>
      </c>
      <c r="Z844" s="6">
        <v>17.66</v>
      </c>
      <c r="AA844" s="6">
        <v>65505.0</v>
      </c>
      <c r="AB844" s="10">
        <v>0.16</v>
      </c>
      <c r="AC844" s="1" t="s">
        <v>8543</v>
      </c>
      <c r="AD844" s="1" t="s">
        <v>8544</v>
      </c>
      <c r="AE844" s="1" t="s">
        <v>8545</v>
      </c>
      <c r="AF844" s="1" t="s">
        <v>8546</v>
      </c>
      <c r="AG844" s="1" t="s">
        <v>8545</v>
      </c>
      <c r="AH844" s="1" t="s">
        <v>1079</v>
      </c>
      <c r="AI844" s="6">
        <v>83622.0</v>
      </c>
      <c r="AJ844" s="1" t="s">
        <v>63</v>
      </c>
      <c r="AK844" s="1" t="s">
        <v>8547</v>
      </c>
      <c r="AL844" s="1" t="s">
        <v>8548</v>
      </c>
      <c r="AM844" s="11" t="str">
        <f>VLOOKUP(N844,Sheet3!$B$4:$C$10,2,1)</f>
        <v>51-60</v>
      </c>
      <c r="AN844" s="12" t="str">
        <f>VLOOKUP(Z844,Sheet3!$F$4:$G$10,2,1)</f>
        <v>11-20</v>
      </c>
      <c r="AO844" s="5" t="str">
        <f>VLOOKUP(AA844,Sheet3!$I$3:$J$16,2,1)</f>
        <v>60000-80000</v>
      </c>
      <c r="AP844" s="5" t="str">
        <f>VLOOKUP(AB844,Sheet3!$L$4:$M$14,2,1)</f>
        <v>16% - 20%</v>
      </c>
    </row>
    <row r="845">
      <c r="A845" s="6">
        <v>703495.0</v>
      </c>
      <c r="B845" s="1" t="s">
        <v>42</v>
      </c>
      <c r="C845" s="1" t="s">
        <v>8549</v>
      </c>
      <c r="D845" s="1" t="s">
        <v>334</v>
      </c>
      <c r="E845" s="1" t="s">
        <v>4575</v>
      </c>
      <c r="F845" s="1" t="s">
        <v>46</v>
      </c>
      <c r="G845" s="1" t="s">
        <v>8550</v>
      </c>
      <c r="H845" s="1" t="s">
        <v>7398</v>
      </c>
      <c r="I845" s="1" t="s">
        <v>8551</v>
      </c>
      <c r="J845" s="1" t="s">
        <v>8552</v>
      </c>
      <c r="K845" s="1" t="s">
        <v>365</v>
      </c>
      <c r="L845" s="14">
        <v>27122.0</v>
      </c>
      <c r="M845" s="8">
        <v>0.5901388888888889</v>
      </c>
      <c r="N845" s="6">
        <v>43.35</v>
      </c>
      <c r="O845" s="6">
        <v>52.0</v>
      </c>
      <c r="P845" s="14">
        <v>42282.0</v>
      </c>
      <c r="Q845" s="1" t="s">
        <v>52</v>
      </c>
      <c r="R845" s="1" t="s">
        <v>53</v>
      </c>
      <c r="S845" s="6">
        <v>2015.0</v>
      </c>
      <c r="T845" s="6">
        <v>10.0</v>
      </c>
      <c r="U845" s="1" t="s">
        <v>133</v>
      </c>
      <c r="V845" s="1" t="s">
        <v>134</v>
      </c>
      <c r="W845" s="6">
        <v>5.0</v>
      </c>
      <c r="X845" s="1" t="s">
        <v>99</v>
      </c>
      <c r="Y845" s="1" t="s">
        <v>100</v>
      </c>
      <c r="Z845" s="6">
        <v>1.81</v>
      </c>
      <c r="AA845" s="6">
        <v>88373.0</v>
      </c>
      <c r="AB845" s="10">
        <v>0.07</v>
      </c>
      <c r="AC845" s="1" t="s">
        <v>8553</v>
      </c>
      <c r="AD845" s="1" t="s">
        <v>8554</v>
      </c>
      <c r="AE845" s="1" t="s">
        <v>8555</v>
      </c>
      <c r="AF845" s="1" t="s">
        <v>692</v>
      </c>
      <c r="AG845" s="1" t="s">
        <v>8555</v>
      </c>
      <c r="AH845" s="1" t="s">
        <v>210</v>
      </c>
      <c r="AI845" s="6">
        <v>60179.0</v>
      </c>
      <c r="AJ845" s="1" t="s">
        <v>86</v>
      </c>
      <c r="AK845" s="1" t="s">
        <v>8556</v>
      </c>
      <c r="AL845" s="1" t="s">
        <v>8557</v>
      </c>
      <c r="AM845" s="11" t="str">
        <f>VLOOKUP(N845,Sheet3!$B$4:$C$10,2,1)</f>
        <v>41-50</v>
      </c>
      <c r="AN845" s="13" t="str">
        <f>VLOOKUP(Z845,Sheet3!$F$4:$G$10,2,1)</f>
        <v>&lt; 5</v>
      </c>
      <c r="AO845" s="5" t="str">
        <f>VLOOKUP(AA845,Sheet3!$I$3:$J$16,2,1)</f>
        <v>80000-100000</v>
      </c>
      <c r="AP845" s="5" t="str">
        <f>VLOOKUP(AB845,Sheet3!$L$4:$M$14,2,1)</f>
        <v>5% - 10%</v>
      </c>
    </row>
    <row r="846">
      <c r="A846" s="6">
        <v>222179.0</v>
      </c>
      <c r="B846" s="1" t="s">
        <v>109</v>
      </c>
      <c r="C846" s="1" t="s">
        <v>8558</v>
      </c>
      <c r="D846" s="1" t="s">
        <v>554</v>
      </c>
      <c r="E846" s="1" t="s">
        <v>6230</v>
      </c>
      <c r="F846" s="1" t="s">
        <v>46</v>
      </c>
      <c r="G846" s="1" t="s">
        <v>8559</v>
      </c>
      <c r="H846" s="1" t="s">
        <v>7398</v>
      </c>
      <c r="I846" s="1" t="s">
        <v>8560</v>
      </c>
      <c r="J846" s="1" t="s">
        <v>8561</v>
      </c>
      <c r="K846" s="1" t="s">
        <v>862</v>
      </c>
      <c r="L846" s="14">
        <v>30289.0</v>
      </c>
      <c r="M846" s="8">
        <v>0.5517708333333333</v>
      </c>
      <c r="N846" s="6">
        <v>34.67</v>
      </c>
      <c r="O846" s="6">
        <v>60.0</v>
      </c>
      <c r="P846" s="14">
        <v>41831.0</v>
      </c>
      <c r="Q846" s="1" t="s">
        <v>308</v>
      </c>
      <c r="R846" s="1" t="s">
        <v>53</v>
      </c>
      <c r="S846" s="6">
        <v>2014.0</v>
      </c>
      <c r="T846" s="6">
        <v>7.0</v>
      </c>
      <c r="U846" s="1" t="s">
        <v>366</v>
      </c>
      <c r="V846" s="1" t="s">
        <v>367</v>
      </c>
      <c r="W846" s="6">
        <v>11.0</v>
      </c>
      <c r="X846" s="1" t="s">
        <v>263</v>
      </c>
      <c r="Y846" s="1" t="s">
        <v>264</v>
      </c>
      <c r="Z846" s="6">
        <v>3.05</v>
      </c>
      <c r="AA846" s="6">
        <v>121009.0</v>
      </c>
      <c r="AB846" s="10">
        <v>0.01</v>
      </c>
      <c r="AC846" s="1" t="s">
        <v>8562</v>
      </c>
      <c r="AD846" s="1" t="s">
        <v>8563</v>
      </c>
      <c r="AE846" s="1" t="s">
        <v>8564</v>
      </c>
      <c r="AF846" s="1" t="s">
        <v>930</v>
      </c>
      <c r="AG846" s="1" t="s">
        <v>8564</v>
      </c>
      <c r="AH846" s="1" t="s">
        <v>882</v>
      </c>
      <c r="AI846" s="6">
        <v>30077.0</v>
      </c>
      <c r="AJ846" s="1" t="s">
        <v>106</v>
      </c>
      <c r="AK846" s="1" t="s">
        <v>8565</v>
      </c>
      <c r="AL846" s="1" t="s">
        <v>8566</v>
      </c>
      <c r="AM846" s="11" t="str">
        <f>VLOOKUP(N846,Sheet3!$B$4:$C$10,2,1)</f>
        <v>31-40</v>
      </c>
      <c r="AN846" s="13" t="str">
        <f>VLOOKUP(Z846,Sheet3!$F$4:$G$10,2,1)</f>
        <v>&lt; 5</v>
      </c>
      <c r="AO846" s="5" t="str">
        <f>VLOOKUP(AA846,Sheet3!$I$3:$J$16,2,1)</f>
        <v>120000-140000</v>
      </c>
      <c r="AP846" s="5" t="str">
        <f>VLOOKUP(AB846,Sheet3!$L$4:$M$14,2,1)</f>
        <v>&lt; 5%</v>
      </c>
    </row>
    <row r="847">
      <c r="A847" s="6">
        <v>951011.0</v>
      </c>
      <c r="B847" s="1" t="s">
        <v>42</v>
      </c>
      <c r="C847" s="1" t="s">
        <v>8567</v>
      </c>
      <c r="D847" s="1" t="s">
        <v>360</v>
      </c>
      <c r="E847" s="1" t="s">
        <v>8568</v>
      </c>
      <c r="F847" s="1" t="s">
        <v>46</v>
      </c>
      <c r="G847" s="1" t="s">
        <v>8569</v>
      </c>
      <c r="H847" s="1" t="s">
        <v>7398</v>
      </c>
      <c r="I847" s="1" t="s">
        <v>8570</v>
      </c>
      <c r="J847" s="1" t="s">
        <v>8571</v>
      </c>
      <c r="K847" s="1" t="s">
        <v>5030</v>
      </c>
      <c r="L847" s="9">
        <v>29920.0</v>
      </c>
      <c r="M847" s="8">
        <v>0.803599537037037</v>
      </c>
      <c r="N847" s="6">
        <v>35.68</v>
      </c>
      <c r="O847" s="6">
        <v>56.0</v>
      </c>
      <c r="P847" s="9">
        <v>42057.0</v>
      </c>
      <c r="Q847" s="1" t="s">
        <v>96</v>
      </c>
      <c r="R847" s="1" t="s">
        <v>76</v>
      </c>
      <c r="S847" s="6">
        <v>2015.0</v>
      </c>
      <c r="T847" s="6">
        <v>2.0</v>
      </c>
      <c r="U847" s="1" t="s">
        <v>117</v>
      </c>
      <c r="V847" s="1" t="s">
        <v>118</v>
      </c>
      <c r="W847" s="6">
        <v>22.0</v>
      </c>
      <c r="X847" s="1" t="s">
        <v>534</v>
      </c>
      <c r="Y847" s="1" t="s">
        <v>535</v>
      </c>
      <c r="Z847" s="6">
        <v>2.43</v>
      </c>
      <c r="AA847" s="6">
        <v>189382.0</v>
      </c>
      <c r="AB847" s="10">
        <v>0.2</v>
      </c>
      <c r="AC847" s="1" t="s">
        <v>8572</v>
      </c>
      <c r="AD847" s="1" t="s">
        <v>8573</v>
      </c>
      <c r="AE847" s="1" t="s">
        <v>8574</v>
      </c>
      <c r="AF847" s="1" t="s">
        <v>2823</v>
      </c>
      <c r="AG847" s="1" t="s">
        <v>8574</v>
      </c>
      <c r="AH847" s="1" t="s">
        <v>740</v>
      </c>
      <c r="AI847" s="6">
        <v>1899.0</v>
      </c>
      <c r="AJ847" s="1" t="s">
        <v>224</v>
      </c>
      <c r="AK847" s="1" t="s">
        <v>8575</v>
      </c>
      <c r="AL847" s="1" t="s">
        <v>8576</v>
      </c>
      <c r="AM847" s="11" t="str">
        <f>VLOOKUP(N847,Sheet3!$B$4:$C$10,2,1)</f>
        <v>31-40</v>
      </c>
      <c r="AN847" s="13" t="str">
        <f>VLOOKUP(Z847,Sheet3!$F$4:$G$10,2,1)</f>
        <v>&lt; 5</v>
      </c>
      <c r="AO847" s="5" t="str">
        <f>VLOOKUP(AA847,Sheet3!$I$3:$J$16,2,1)</f>
        <v>180000-200000</v>
      </c>
      <c r="AP847" s="5" t="str">
        <f>VLOOKUP(AB847,Sheet3!$L$4:$M$14,2,1)</f>
        <v>16% - 20%</v>
      </c>
    </row>
    <row r="848">
      <c r="A848" s="6">
        <v>187639.0</v>
      </c>
      <c r="B848" s="1" t="s">
        <v>109</v>
      </c>
      <c r="C848" s="1" t="s">
        <v>8577</v>
      </c>
      <c r="D848" s="1" t="s">
        <v>360</v>
      </c>
      <c r="E848" s="1" t="s">
        <v>69</v>
      </c>
      <c r="F848" s="1" t="s">
        <v>46</v>
      </c>
      <c r="G848" s="1" t="s">
        <v>8578</v>
      </c>
      <c r="H848" s="1" t="s">
        <v>8579</v>
      </c>
      <c r="I848" s="1" t="s">
        <v>8580</v>
      </c>
      <c r="J848" s="1" t="s">
        <v>8581</v>
      </c>
      <c r="K848" s="1" t="s">
        <v>8582</v>
      </c>
      <c r="L848" s="9">
        <v>30115.0</v>
      </c>
      <c r="M848" s="8">
        <v>0.4021180555555556</v>
      </c>
      <c r="N848" s="6">
        <v>35.15</v>
      </c>
      <c r="O848" s="6">
        <v>52.0</v>
      </c>
      <c r="P848" s="14">
        <v>42220.0</v>
      </c>
      <c r="Q848" s="1" t="s">
        <v>308</v>
      </c>
      <c r="R848" s="1" t="s">
        <v>53</v>
      </c>
      <c r="S848" s="6">
        <v>2015.0</v>
      </c>
      <c r="T848" s="6">
        <v>8.0</v>
      </c>
      <c r="U848" s="1" t="s">
        <v>433</v>
      </c>
      <c r="V848" s="1" t="s">
        <v>434</v>
      </c>
      <c r="W848" s="6">
        <v>4.0</v>
      </c>
      <c r="X848" s="1" t="s">
        <v>79</v>
      </c>
      <c r="Y848" s="1" t="s">
        <v>80</v>
      </c>
      <c r="Z848" s="6">
        <v>1.98</v>
      </c>
      <c r="AA848" s="6">
        <v>155427.0</v>
      </c>
      <c r="AB848" s="10">
        <v>0.25</v>
      </c>
      <c r="AC848" s="1" t="s">
        <v>8583</v>
      </c>
      <c r="AD848" s="1" t="s">
        <v>8584</v>
      </c>
      <c r="AE848" s="1" t="s">
        <v>8585</v>
      </c>
      <c r="AF848" s="1" t="s">
        <v>8586</v>
      </c>
      <c r="AG848" s="1" t="s">
        <v>8585</v>
      </c>
      <c r="AH848" s="1" t="s">
        <v>372</v>
      </c>
      <c r="AI848" s="6">
        <v>68869.0</v>
      </c>
      <c r="AJ848" s="1" t="s">
        <v>86</v>
      </c>
      <c r="AK848" s="1" t="s">
        <v>8587</v>
      </c>
      <c r="AL848" s="1" t="s">
        <v>8588</v>
      </c>
      <c r="AM848" s="11" t="str">
        <f>VLOOKUP(N848,Sheet3!$B$4:$C$10,2,1)</f>
        <v>31-40</v>
      </c>
      <c r="AN848" s="13" t="str">
        <f>VLOOKUP(Z848,Sheet3!$F$4:$G$10,2,1)</f>
        <v>&lt; 5</v>
      </c>
      <c r="AO848" s="5" t="str">
        <f>VLOOKUP(AA848,Sheet3!$I$3:$J$16,2,1)</f>
        <v>140000-160000</v>
      </c>
      <c r="AP848" s="5" t="str">
        <f>VLOOKUP(AB848,Sheet3!$L$4:$M$14,2,1)</f>
        <v>21% - 25%</v>
      </c>
    </row>
    <row r="849">
      <c r="A849" s="6">
        <v>375051.0</v>
      </c>
      <c r="B849" s="1" t="s">
        <v>42</v>
      </c>
      <c r="C849" s="1" t="s">
        <v>8589</v>
      </c>
      <c r="D849" s="1" t="s">
        <v>554</v>
      </c>
      <c r="E849" s="1" t="s">
        <v>4864</v>
      </c>
      <c r="F849" s="1" t="s">
        <v>46</v>
      </c>
      <c r="G849" s="1" t="s">
        <v>8590</v>
      </c>
      <c r="H849" s="1" t="s">
        <v>8579</v>
      </c>
      <c r="I849" s="1" t="s">
        <v>8591</v>
      </c>
      <c r="J849" s="1" t="s">
        <v>8592</v>
      </c>
      <c r="K849" s="1" t="s">
        <v>2379</v>
      </c>
      <c r="L849" s="9">
        <v>27971.0</v>
      </c>
      <c r="M849" s="8">
        <v>0.003263888888888889</v>
      </c>
      <c r="N849" s="6">
        <v>41.02</v>
      </c>
      <c r="O849" s="6">
        <v>55.0</v>
      </c>
      <c r="P849" s="14">
        <v>36808.0</v>
      </c>
      <c r="Q849" s="1" t="s">
        <v>52</v>
      </c>
      <c r="R849" s="1" t="s">
        <v>53</v>
      </c>
      <c r="S849" s="6">
        <v>2000.0</v>
      </c>
      <c r="T849" s="6">
        <v>10.0</v>
      </c>
      <c r="U849" s="1" t="s">
        <v>133</v>
      </c>
      <c r="V849" s="1" t="s">
        <v>134</v>
      </c>
      <c r="W849" s="6">
        <v>9.0</v>
      </c>
      <c r="X849" s="1" t="s">
        <v>99</v>
      </c>
      <c r="Y849" s="1" t="s">
        <v>100</v>
      </c>
      <c r="Z849" s="6">
        <v>16.81</v>
      </c>
      <c r="AA849" s="6">
        <v>133805.0</v>
      </c>
      <c r="AB849" s="10">
        <v>0.23</v>
      </c>
      <c r="AC849" s="1" t="s">
        <v>8593</v>
      </c>
      <c r="AD849" s="1" t="s">
        <v>8594</v>
      </c>
      <c r="AE849" s="1" t="s">
        <v>8595</v>
      </c>
      <c r="AF849" s="1" t="s">
        <v>5831</v>
      </c>
      <c r="AG849" s="1" t="s">
        <v>8595</v>
      </c>
      <c r="AH849" s="1" t="s">
        <v>2007</v>
      </c>
      <c r="AI849" s="6">
        <v>88221.0</v>
      </c>
      <c r="AJ849" s="1" t="s">
        <v>63</v>
      </c>
      <c r="AK849" s="1" t="s">
        <v>8596</v>
      </c>
      <c r="AL849" s="1" t="s">
        <v>8597</v>
      </c>
      <c r="AM849" s="11" t="str">
        <f>VLOOKUP(N849,Sheet3!$B$4:$C$10,2,1)</f>
        <v>41-50</v>
      </c>
      <c r="AN849" s="12" t="str">
        <f>VLOOKUP(Z849,Sheet3!$F$4:$G$10,2,1)</f>
        <v>11-20</v>
      </c>
      <c r="AO849" s="5" t="str">
        <f>VLOOKUP(AA849,Sheet3!$I$3:$J$16,2,1)</f>
        <v>120000-140000</v>
      </c>
      <c r="AP849" s="5" t="str">
        <f>VLOOKUP(AB849,Sheet3!$L$4:$M$14,2,1)</f>
        <v>21% - 25%</v>
      </c>
    </row>
    <row r="850">
      <c r="A850" s="6">
        <v>509810.0</v>
      </c>
      <c r="B850" s="1" t="s">
        <v>42</v>
      </c>
      <c r="C850" s="1" t="s">
        <v>8598</v>
      </c>
      <c r="D850" s="1" t="s">
        <v>70</v>
      </c>
      <c r="E850" s="1" t="s">
        <v>5270</v>
      </c>
      <c r="F850" s="1" t="s">
        <v>46</v>
      </c>
      <c r="G850" s="1" t="s">
        <v>8599</v>
      </c>
      <c r="H850" s="1" t="s">
        <v>8579</v>
      </c>
      <c r="I850" s="1" t="s">
        <v>8600</v>
      </c>
      <c r="J850" s="1" t="s">
        <v>8601</v>
      </c>
      <c r="K850" s="1" t="s">
        <v>1866</v>
      </c>
      <c r="L850" s="9">
        <v>23370.0</v>
      </c>
      <c r="M850" s="8">
        <v>0.5756828703703704</v>
      </c>
      <c r="N850" s="6">
        <v>53.63</v>
      </c>
      <c r="O850" s="6">
        <v>60.0</v>
      </c>
      <c r="P850" s="9">
        <v>31256.0</v>
      </c>
      <c r="Q850" s="1" t="s">
        <v>308</v>
      </c>
      <c r="R850" s="1" t="s">
        <v>53</v>
      </c>
      <c r="S850" s="6">
        <v>1985.0</v>
      </c>
      <c r="T850" s="6">
        <v>7.0</v>
      </c>
      <c r="U850" s="1" t="s">
        <v>366</v>
      </c>
      <c r="V850" s="1" t="s">
        <v>367</v>
      </c>
      <c r="W850" s="6">
        <v>28.0</v>
      </c>
      <c r="X850" s="1" t="s">
        <v>534</v>
      </c>
      <c r="Y850" s="1" t="s">
        <v>535</v>
      </c>
      <c r="Z850" s="6">
        <v>32.02</v>
      </c>
      <c r="AA850" s="6">
        <v>199131.0</v>
      </c>
      <c r="AB850" s="10">
        <v>0.12</v>
      </c>
      <c r="AC850" s="1" t="s">
        <v>8602</v>
      </c>
      <c r="AD850" s="1" t="s">
        <v>8603</v>
      </c>
      <c r="AE850" s="1" t="s">
        <v>8604</v>
      </c>
      <c r="AF850" s="1" t="s">
        <v>221</v>
      </c>
      <c r="AG850" s="1" t="s">
        <v>8604</v>
      </c>
      <c r="AH850" s="1" t="s">
        <v>122</v>
      </c>
      <c r="AI850" s="6">
        <v>47954.0</v>
      </c>
      <c r="AJ850" s="1" t="s">
        <v>86</v>
      </c>
      <c r="AK850" s="1" t="s">
        <v>8605</v>
      </c>
      <c r="AL850" s="1" t="s">
        <v>8606</v>
      </c>
      <c r="AM850" s="11" t="str">
        <f>VLOOKUP(N850,Sheet3!$B$4:$C$10,2,1)</f>
        <v>51-60</v>
      </c>
      <c r="AN850" s="13" t="str">
        <f>VLOOKUP(Z850,Sheet3!$F$4:$G$10,2,1)</f>
        <v>31-40</v>
      </c>
      <c r="AO850" s="5" t="str">
        <f>VLOOKUP(AA850,Sheet3!$I$3:$J$16,2,1)</f>
        <v>180000-200000</v>
      </c>
      <c r="AP850" s="5" t="str">
        <f>VLOOKUP(AB850,Sheet3!$L$4:$M$14,2,1)</f>
        <v>11% - 15%</v>
      </c>
    </row>
    <row r="851">
      <c r="A851" s="6">
        <v>625661.0</v>
      </c>
      <c r="B851" s="1" t="s">
        <v>66</v>
      </c>
      <c r="C851" s="1" t="s">
        <v>287</v>
      </c>
      <c r="D851" s="1" t="s">
        <v>683</v>
      </c>
      <c r="E851" s="1" t="s">
        <v>4864</v>
      </c>
      <c r="F851" s="1" t="s">
        <v>70</v>
      </c>
      <c r="G851" s="1" t="s">
        <v>8607</v>
      </c>
      <c r="H851" s="1" t="s">
        <v>8579</v>
      </c>
      <c r="I851" s="1" t="s">
        <v>8608</v>
      </c>
      <c r="J851" s="1" t="s">
        <v>8609</v>
      </c>
      <c r="K851" s="1" t="s">
        <v>891</v>
      </c>
      <c r="L851" s="9">
        <v>21718.0</v>
      </c>
      <c r="M851" s="8">
        <v>0.9353125</v>
      </c>
      <c r="N851" s="6">
        <v>58.15</v>
      </c>
      <c r="O851" s="6">
        <v>53.0</v>
      </c>
      <c r="P851" s="9">
        <v>37736.0</v>
      </c>
      <c r="Q851" s="1" t="s">
        <v>75</v>
      </c>
      <c r="R851" s="1" t="s">
        <v>76</v>
      </c>
      <c r="S851" s="6">
        <v>2003.0</v>
      </c>
      <c r="T851" s="6">
        <v>4.0</v>
      </c>
      <c r="U851" s="1" t="s">
        <v>77</v>
      </c>
      <c r="V851" s="1" t="s">
        <v>78</v>
      </c>
      <c r="W851" s="6">
        <v>25.0</v>
      </c>
      <c r="X851" s="1" t="s">
        <v>263</v>
      </c>
      <c r="Y851" s="1" t="s">
        <v>264</v>
      </c>
      <c r="Z851" s="6">
        <v>14.27</v>
      </c>
      <c r="AA851" s="6">
        <v>151776.0</v>
      </c>
      <c r="AB851" s="10">
        <v>0.05</v>
      </c>
      <c r="AC851" s="1" t="s">
        <v>8610</v>
      </c>
      <c r="AD851" s="1" t="s">
        <v>8611</v>
      </c>
      <c r="AE851" s="1" t="s">
        <v>8612</v>
      </c>
      <c r="AF851" s="1" t="s">
        <v>5577</v>
      </c>
      <c r="AG851" s="1" t="s">
        <v>8612</v>
      </c>
      <c r="AH851" s="1" t="s">
        <v>223</v>
      </c>
      <c r="AI851" s="6">
        <v>17120.0</v>
      </c>
      <c r="AJ851" s="1" t="s">
        <v>224</v>
      </c>
      <c r="AK851" s="1" t="s">
        <v>8613</v>
      </c>
      <c r="AL851" s="1" t="s">
        <v>8614</v>
      </c>
      <c r="AM851" s="11" t="str">
        <f>VLOOKUP(N851,Sheet3!$B$4:$C$10,2,1)</f>
        <v>51-60</v>
      </c>
      <c r="AN851" s="12" t="str">
        <f>VLOOKUP(Z851,Sheet3!$F$4:$G$10,2,1)</f>
        <v>11-20</v>
      </c>
      <c r="AO851" s="5" t="str">
        <f>VLOOKUP(AA851,Sheet3!$I$3:$J$16,2,1)</f>
        <v>140000-160000</v>
      </c>
      <c r="AP851" s="5" t="str">
        <f>VLOOKUP(AB851,Sheet3!$L$4:$M$14,2,1)</f>
        <v>5% - 10%</v>
      </c>
    </row>
    <row r="852">
      <c r="A852" s="6">
        <v>662168.0</v>
      </c>
      <c r="B852" s="1" t="s">
        <v>227</v>
      </c>
      <c r="C852" s="1" t="s">
        <v>8615</v>
      </c>
      <c r="D852" s="1" t="s">
        <v>288</v>
      </c>
      <c r="E852" s="1" t="s">
        <v>4977</v>
      </c>
      <c r="F852" s="1" t="s">
        <v>70</v>
      </c>
      <c r="G852" s="1" t="s">
        <v>8616</v>
      </c>
      <c r="H852" s="1" t="s">
        <v>8579</v>
      </c>
      <c r="I852" s="1" t="s">
        <v>8617</v>
      </c>
      <c r="J852" s="1" t="s">
        <v>8618</v>
      </c>
      <c r="K852" s="1" t="s">
        <v>8619</v>
      </c>
      <c r="L852" s="14">
        <v>30051.0</v>
      </c>
      <c r="M852" s="8">
        <v>0.7546759259259259</v>
      </c>
      <c r="N852" s="6">
        <v>35.32</v>
      </c>
      <c r="O852" s="6">
        <v>51.0</v>
      </c>
      <c r="P852" s="9">
        <v>39557.0</v>
      </c>
      <c r="Q852" s="1" t="s">
        <v>75</v>
      </c>
      <c r="R852" s="1" t="s">
        <v>76</v>
      </c>
      <c r="S852" s="6">
        <v>2008.0</v>
      </c>
      <c r="T852" s="6">
        <v>4.0</v>
      </c>
      <c r="U852" s="1" t="s">
        <v>77</v>
      </c>
      <c r="V852" s="1" t="s">
        <v>78</v>
      </c>
      <c r="W852" s="6">
        <v>19.0</v>
      </c>
      <c r="X852" s="1" t="s">
        <v>56</v>
      </c>
      <c r="Y852" s="1" t="s">
        <v>57</v>
      </c>
      <c r="Z852" s="6">
        <v>9.28</v>
      </c>
      <c r="AA852" s="6">
        <v>197971.0</v>
      </c>
      <c r="AB852" s="10">
        <v>0.0</v>
      </c>
      <c r="AC852" s="1" t="s">
        <v>8620</v>
      </c>
      <c r="AD852" s="1" t="s">
        <v>8621</v>
      </c>
      <c r="AE852" s="1" t="s">
        <v>8622</v>
      </c>
      <c r="AF852" s="1" t="s">
        <v>3303</v>
      </c>
      <c r="AG852" s="1" t="s">
        <v>8622</v>
      </c>
      <c r="AH852" s="1" t="s">
        <v>210</v>
      </c>
      <c r="AI852" s="6">
        <v>62330.0</v>
      </c>
      <c r="AJ852" s="1" t="s">
        <v>86</v>
      </c>
      <c r="AK852" s="1" t="s">
        <v>8623</v>
      </c>
      <c r="AL852" s="1" t="s">
        <v>8624</v>
      </c>
      <c r="AM852" s="11" t="str">
        <f>VLOOKUP(N852,Sheet3!$B$4:$C$10,2,1)</f>
        <v>31-40</v>
      </c>
      <c r="AN852" s="12" t="str">
        <f>VLOOKUP(Z852,Sheet3!$F$4:$G$10,2,1)</f>
        <v>5-10</v>
      </c>
      <c r="AO852" s="5" t="str">
        <f>VLOOKUP(AA852,Sheet3!$I$3:$J$16,2,1)</f>
        <v>180000-200000</v>
      </c>
      <c r="AP852" s="5" t="str">
        <f>VLOOKUP(AB852,Sheet3!$L$4:$M$14,2,1)</f>
        <v>&lt; 5%</v>
      </c>
    </row>
    <row r="853">
      <c r="A853" s="6">
        <v>678244.0</v>
      </c>
      <c r="B853" s="1" t="s">
        <v>109</v>
      </c>
      <c r="C853" s="1" t="s">
        <v>8625</v>
      </c>
      <c r="D853" s="1" t="s">
        <v>68</v>
      </c>
      <c r="E853" s="1" t="s">
        <v>2912</v>
      </c>
      <c r="F853" s="1" t="s">
        <v>46</v>
      </c>
      <c r="G853" s="1" t="s">
        <v>8626</v>
      </c>
      <c r="H853" s="1" t="s">
        <v>8579</v>
      </c>
      <c r="I853" s="1" t="s">
        <v>8627</v>
      </c>
      <c r="J853" s="1" t="s">
        <v>8628</v>
      </c>
      <c r="K853" s="1" t="s">
        <v>8629</v>
      </c>
      <c r="L853" s="14">
        <v>22072.0</v>
      </c>
      <c r="M853" s="8">
        <v>0.5490162037037037</v>
      </c>
      <c r="N853" s="6">
        <v>57.18</v>
      </c>
      <c r="O853" s="6">
        <v>41.0</v>
      </c>
      <c r="P853" s="14">
        <v>39174.0</v>
      </c>
      <c r="Q853" s="1" t="s">
        <v>75</v>
      </c>
      <c r="R853" s="1" t="s">
        <v>76</v>
      </c>
      <c r="S853" s="6">
        <v>2007.0</v>
      </c>
      <c r="T853" s="6">
        <v>4.0</v>
      </c>
      <c r="U853" s="1" t="s">
        <v>77</v>
      </c>
      <c r="V853" s="1" t="s">
        <v>78</v>
      </c>
      <c r="W853" s="6">
        <v>2.0</v>
      </c>
      <c r="X853" s="1" t="s">
        <v>99</v>
      </c>
      <c r="Y853" s="1" t="s">
        <v>100</v>
      </c>
      <c r="Z853" s="6">
        <v>10.33</v>
      </c>
      <c r="AA853" s="6">
        <v>96992.0</v>
      </c>
      <c r="AB853" s="10">
        <v>0.12</v>
      </c>
      <c r="AC853" s="1" t="s">
        <v>8630</v>
      </c>
      <c r="AD853" s="1" t="s">
        <v>8631</v>
      </c>
      <c r="AE853" s="1" t="s">
        <v>8632</v>
      </c>
      <c r="AF853" s="1" t="s">
        <v>1094</v>
      </c>
      <c r="AG853" s="1" t="s">
        <v>8632</v>
      </c>
      <c r="AH853" s="1" t="s">
        <v>1505</v>
      </c>
      <c r="AI853" s="6">
        <v>56123.0</v>
      </c>
      <c r="AJ853" s="1" t="s">
        <v>86</v>
      </c>
      <c r="AK853" s="1" t="s">
        <v>8633</v>
      </c>
      <c r="AL853" s="1" t="s">
        <v>8634</v>
      </c>
      <c r="AM853" s="11" t="str">
        <f>VLOOKUP(N853,Sheet3!$B$4:$C$10,2,1)</f>
        <v>51-60</v>
      </c>
      <c r="AN853" s="12" t="str">
        <f>VLOOKUP(Z853,Sheet3!$F$4:$G$10,2,1)</f>
        <v>5-10</v>
      </c>
      <c r="AO853" s="5" t="str">
        <f>VLOOKUP(AA853,Sheet3!$I$3:$J$16,2,1)</f>
        <v>80000-100000</v>
      </c>
      <c r="AP853" s="5" t="str">
        <f>VLOOKUP(AB853,Sheet3!$L$4:$M$14,2,1)</f>
        <v>11% - 15%</v>
      </c>
    </row>
    <row r="854">
      <c r="A854" s="6">
        <v>864339.0</v>
      </c>
      <c r="B854" s="1" t="s">
        <v>109</v>
      </c>
      <c r="C854" s="1" t="s">
        <v>8635</v>
      </c>
      <c r="D854" s="1" t="s">
        <v>1300</v>
      </c>
      <c r="E854" s="1" t="s">
        <v>294</v>
      </c>
      <c r="F854" s="1" t="s">
        <v>46</v>
      </c>
      <c r="G854" s="1" t="s">
        <v>8636</v>
      </c>
      <c r="H854" s="1" t="s">
        <v>8579</v>
      </c>
      <c r="I854" s="1" t="s">
        <v>8637</v>
      </c>
      <c r="J854" s="1" t="s">
        <v>8638</v>
      </c>
      <c r="K854" s="1" t="s">
        <v>2770</v>
      </c>
      <c r="L854" s="14">
        <v>22009.0</v>
      </c>
      <c r="M854" s="8">
        <v>0.09054398148148148</v>
      </c>
      <c r="N854" s="6">
        <v>57.36</v>
      </c>
      <c r="O854" s="6">
        <v>51.0</v>
      </c>
      <c r="P854" s="9">
        <v>31063.0</v>
      </c>
      <c r="Q854" s="1" t="s">
        <v>96</v>
      </c>
      <c r="R854" s="1" t="s">
        <v>76</v>
      </c>
      <c r="S854" s="6">
        <v>1985.0</v>
      </c>
      <c r="T854" s="6">
        <v>1.0</v>
      </c>
      <c r="U854" s="1" t="s">
        <v>276</v>
      </c>
      <c r="V854" s="1" t="s">
        <v>277</v>
      </c>
      <c r="W854" s="6">
        <v>16.0</v>
      </c>
      <c r="X854" s="1" t="s">
        <v>278</v>
      </c>
      <c r="Y854" s="1" t="s">
        <v>279</v>
      </c>
      <c r="Z854" s="6">
        <v>32.55</v>
      </c>
      <c r="AA854" s="6">
        <v>77106.0</v>
      </c>
      <c r="AB854" s="10">
        <v>0.07</v>
      </c>
      <c r="AC854" s="1" t="s">
        <v>8639</v>
      </c>
      <c r="AD854" s="1" t="s">
        <v>8640</v>
      </c>
      <c r="AE854" s="1" t="s">
        <v>8641</v>
      </c>
      <c r="AF854" s="1" t="s">
        <v>1018</v>
      </c>
      <c r="AG854" s="1" t="s">
        <v>8641</v>
      </c>
      <c r="AH854" s="1" t="s">
        <v>488</v>
      </c>
      <c r="AI854" s="6">
        <v>33971.0</v>
      </c>
      <c r="AJ854" s="1" t="s">
        <v>106</v>
      </c>
      <c r="AK854" s="1" t="s">
        <v>8642</v>
      </c>
      <c r="AL854" s="1" t="s">
        <v>8643</v>
      </c>
      <c r="AM854" s="11" t="str">
        <f>VLOOKUP(N854,Sheet3!$B$4:$C$10,2,1)</f>
        <v>51-60</v>
      </c>
      <c r="AN854" s="13" t="str">
        <f>VLOOKUP(Z854,Sheet3!$F$4:$G$10,2,1)</f>
        <v>31-40</v>
      </c>
      <c r="AO854" s="5" t="str">
        <f>VLOOKUP(AA854,Sheet3!$I$3:$J$16,2,1)</f>
        <v>60000-80000</v>
      </c>
      <c r="AP854" s="5" t="str">
        <f>VLOOKUP(AB854,Sheet3!$L$4:$M$14,2,1)</f>
        <v>5% - 10%</v>
      </c>
    </row>
    <row r="855">
      <c r="A855" s="6">
        <v>436424.0</v>
      </c>
      <c r="B855" s="1" t="s">
        <v>66</v>
      </c>
      <c r="C855" s="1" t="s">
        <v>1662</v>
      </c>
      <c r="D855" s="1" t="s">
        <v>1300</v>
      </c>
      <c r="E855" s="1" t="s">
        <v>335</v>
      </c>
      <c r="F855" s="1" t="s">
        <v>70</v>
      </c>
      <c r="G855" s="1" t="s">
        <v>8644</v>
      </c>
      <c r="H855" s="1" t="s">
        <v>8579</v>
      </c>
      <c r="I855" s="1" t="s">
        <v>8645</v>
      </c>
      <c r="J855" s="1" t="s">
        <v>8646</v>
      </c>
      <c r="K855" s="1" t="s">
        <v>826</v>
      </c>
      <c r="L855" s="14">
        <v>33729.0</v>
      </c>
      <c r="M855" s="8">
        <v>0.9415625</v>
      </c>
      <c r="N855" s="6">
        <v>25.25</v>
      </c>
      <c r="O855" s="6">
        <v>60.0</v>
      </c>
      <c r="P855" s="14">
        <v>41826.0</v>
      </c>
      <c r="Q855" s="1" t="s">
        <v>308</v>
      </c>
      <c r="R855" s="1" t="s">
        <v>53</v>
      </c>
      <c r="S855" s="6">
        <v>2014.0</v>
      </c>
      <c r="T855" s="6">
        <v>7.0</v>
      </c>
      <c r="U855" s="1" t="s">
        <v>366</v>
      </c>
      <c r="V855" s="1" t="s">
        <v>367</v>
      </c>
      <c r="W855" s="6">
        <v>6.0</v>
      </c>
      <c r="X855" s="1" t="s">
        <v>534</v>
      </c>
      <c r="Y855" s="1" t="s">
        <v>535</v>
      </c>
      <c r="Z855" s="6">
        <v>3.06</v>
      </c>
      <c r="AA855" s="6">
        <v>135232.0</v>
      </c>
      <c r="AB855" s="10">
        <v>0.2</v>
      </c>
      <c r="AC855" s="1" t="s">
        <v>8647</v>
      </c>
      <c r="AD855" s="1" t="s">
        <v>8648</v>
      </c>
      <c r="AE855" s="1" t="s">
        <v>1480</v>
      </c>
      <c r="AF855" s="1" t="s">
        <v>1481</v>
      </c>
      <c r="AG855" s="1" t="s">
        <v>1480</v>
      </c>
      <c r="AH855" s="1" t="s">
        <v>488</v>
      </c>
      <c r="AI855" s="6">
        <v>33540.0</v>
      </c>
      <c r="AJ855" s="1" t="s">
        <v>106</v>
      </c>
      <c r="AK855" s="1" t="s">
        <v>8649</v>
      </c>
      <c r="AL855" s="1" t="s">
        <v>8650</v>
      </c>
      <c r="AM855" s="11" t="str">
        <f>VLOOKUP(N855,Sheet3!$B$4:$C$10,2,1)</f>
        <v>21-30</v>
      </c>
      <c r="AN855" s="13" t="str">
        <f>VLOOKUP(Z855,Sheet3!$F$4:$G$10,2,1)</f>
        <v>&lt; 5</v>
      </c>
      <c r="AO855" s="5" t="str">
        <f>VLOOKUP(AA855,Sheet3!$I$3:$J$16,2,1)</f>
        <v>120000-140000</v>
      </c>
      <c r="AP855" s="5" t="str">
        <f>VLOOKUP(AB855,Sheet3!$L$4:$M$14,2,1)</f>
        <v>16% - 20%</v>
      </c>
    </row>
    <row r="856">
      <c r="A856" s="6">
        <v>606834.0</v>
      </c>
      <c r="B856" s="1" t="s">
        <v>89</v>
      </c>
      <c r="C856" s="1" t="s">
        <v>8651</v>
      </c>
      <c r="D856" s="1" t="s">
        <v>68</v>
      </c>
      <c r="E856" s="1" t="s">
        <v>8652</v>
      </c>
      <c r="F856" s="1" t="s">
        <v>46</v>
      </c>
      <c r="G856" s="1" t="s">
        <v>8653</v>
      </c>
      <c r="H856" s="1" t="s">
        <v>8579</v>
      </c>
      <c r="I856" s="1" t="s">
        <v>8654</v>
      </c>
      <c r="J856" s="1" t="s">
        <v>8655</v>
      </c>
      <c r="K856" s="1" t="s">
        <v>4744</v>
      </c>
      <c r="L856" s="9">
        <v>29056.0</v>
      </c>
      <c r="M856" s="8">
        <v>0.11223379629629629</v>
      </c>
      <c r="N856" s="6">
        <v>38.05</v>
      </c>
      <c r="O856" s="6">
        <v>57.0</v>
      </c>
      <c r="P856" s="14">
        <v>38628.0</v>
      </c>
      <c r="Q856" s="1" t="s">
        <v>52</v>
      </c>
      <c r="R856" s="1" t="s">
        <v>53</v>
      </c>
      <c r="S856" s="6">
        <v>2005.0</v>
      </c>
      <c r="T856" s="6">
        <v>10.0</v>
      </c>
      <c r="U856" s="1" t="s">
        <v>133</v>
      </c>
      <c r="V856" s="1" t="s">
        <v>134</v>
      </c>
      <c r="W856" s="6">
        <v>3.0</v>
      </c>
      <c r="X856" s="1" t="s">
        <v>99</v>
      </c>
      <c r="Y856" s="1" t="s">
        <v>100</v>
      </c>
      <c r="Z856" s="6">
        <v>11.82</v>
      </c>
      <c r="AA856" s="6">
        <v>155452.0</v>
      </c>
      <c r="AB856" s="10">
        <v>0.24</v>
      </c>
      <c r="AC856" s="1" t="s">
        <v>8656</v>
      </c>
      <c r="AD856" s="1" t="s">
        <v>8657</v>
      </c>
      <c r="AE856" s="1" t="s">
        <v>8658</v>
      </c>
      <c r="AF856" s="1" t="s">
        <v>8659</v>
      </c>
      <c r="AG856" s="1" t="s">
        <v>8658</v>
      </c>
      <c r="AH856" s="1" t="s">
        <v>811</v>
      </c>
      <c r="AI856" s="6">
        <v>38674.0</v>
      </c>
      <c r="AJ856" s="1" t="s">
        <v>106</v>
      </c>
      <c r="AK856" s="1" t="s">
        <v>8660</v>
      </c>
      <c r="AL856" s="1" t="s">
        <v>8661</v>
      </c>
      <c r="AM856" s="11" t="str">
        <f>VLOOKUP(N856,Sheet3!$B$4:$C$10,2,1)</f>
        <v>31-40</v>
      </c>
      <c r="AN856" s="12" t="str">
        <f>VLOOKUP(Z856,Sheet3!$F$4:$G$10,2,1)</f>
        <v>11-20</v>
      </c>
      <c r="AO856" s="5" t="str">
        <f>VLOOKUP(AA856,Sheet3!$I$3:$J$16,2,1)</f>
        <v>140000-160000</v>
      </c>
      <c r="AP856" s="5" t="str">
        <f>VLOOKUP(AB856,Sheet3!$L$4:$M$14,2,1)</f>
        <v>21% - 25%</v>
      </c>
    </row>
    <row r="857">
      <c r="A857" s="6">
        <v>268942.0</v>
      </c>
      <c r="B857" s="1" t="s">
        <v>66</v>
      </c>
      <c r="C857" s="1" t="s">
        <v>8662</v>
      </c>
      <c r="D857" s="1" t="s">
        <v>111</v>
      </c>
      <c r="E857" s="1" t="s">
        <v>8042</v>
      </c>
      <c r="F857" s="1" t="s">
        <v>70</v>
      </c>
      <c r="G857" s="1" t="s">
        <v>8663</v>
      </c>
      <c r="H857" s="1" t="s">
        <v>8579</v>
      </c>
      <c r="I857" s="1" t="s">
        <v>8664</v>
      </c>
      <c r="J857" s="1" t="s">
        <v>8665</v>
      </c>
      <c r="K857" s="1" t="s">
        <v>7767</v>
      </c>
      <c r="L857" s="9">
        <v>27811.0</v>
      </c>
      <c r="M857" s="8">
        <v>0.67375</v>
      </c>
      <c r="N857" s="6">
        <v>41.46</v>
      </c>
      <c r="O857" s="6">
        <v>81.0</v>
      </c>
      <c r="P857" s="14">
        <v>37020.0</v>
      </c>
      <c r="Q857" s="1" t="s">
        <v>75</v>
      </c>
      <c r="R857" s="1" t="s">
        <v>76</v>
      </c>
      <c r="S857" s="6">
        <v>2001.0</v>
      </c>
      <c r="T857" s="6">
        <v>5.0</v>
      </c>
      <c r="U857" s="1" t="s">
        <v>294</v>
      </c>
      <c r="V857" s="1" t="s">
        <v>294</v>
      </c>
      <c r="W857" s="6">
        <v>9.0</v>
      </c>
      <c r="X857" s="1" t="s">
        <v>278</v>
      </c>
      <c r="Y857" s="1" t="s">
        <v>279</v>
      </c>
      <c r="Z857" s="6">
        <v>16.23</v>
      </c>
      <c r="AA857" s="6">
        <v>60994.0</v>
      </c>
      <c r="AB857" s="10">
        <v>0.25</v>
      </c>
      <c r="AC857" s="1" t="s">
        <v>8666</v>
      </c>
      <c r="AD857" s="1" t="s">
        <v>8667</v>
      </c>
      <c r="AE857" s="1" t="s">
        <v>8668</v>
      </c>
      <c r="AF857" s="1" t="s">
        <v>4077</v>
      </c>
      <c r="AG857" s="1" t="s">
        <v>8668</v>
      </c>
      <c r="AH857" s="1" t="s">
        <v>85</v>
      </c>
      <c r="AI857" s="6">
        <v>48303.0</v>
      </c>
      <c r="AJ857" s="1" t="s">
        <v>86</v>
      </c>
      <c r="AK857" s="1" t="s">
        <v>8669</v>
      </c>
      <c r="AL857" s="1" t="s">
        <v>8670</v>
      </c>
      <c r="AM857" s="11" t="str">
        <f>VLOOKUP(N857,Sheet3!$B$4:$C$10,2,1)</f>
        <v>41-50</v>
      </c>
      <c r="AN857" s="12" t="str">
        <f>VLOOKUP(Z857,Sheet3!$F$4:$G$10,2,1)</f>
        <v>11-20</v>
      </c>
      <c r="AO857" s="5" t="str">
        <f>VLOOKUP(AA857,Sheet3!$I$3:$J$16,2,1)</f>
        <v>60000-80000</v>
      </c>
      <c r="AP857" s="5" t="str">
        <f>VLOOKUP(AB857,Sheet3!$L$4:$M$14,2,1)</f>
        <v>21% - 25%</v>
      </c>
    </row>
    <row r="858">
      <c r="A858" s="6">
        <v>484822.0</v>
      </c>
      <c r="B858" s="1" t="s">
        <v>42</v>
      </c>
      <c r="C858" s="1" t="s">
        <v>8671</v>
      </c>
      <c r="D858" s="1" t="s">
        <v>861</v>
      </c>
      <c r="E858" s="1" t="s">
        <v>8060</v>
      </c>
      <c r="F858" s="1" t="s">
        <v>46</v>
      </c>
      <c r="G858" s="1" t="s">
        <v>8672</v>
      </c>
      <c r="H858" s="1" t="s">
        <v>8579</v>
      </c>
      <c r="I858" s="1" t="s">
        <v>8673</v>
      </c>
      <c r="J858" s="1" t="s">
        <v>8674</v>
      </c>
      <c r="K858" s="1" t="s">
        <v>8425</v>
      </c>
      <c r="L858" s="9">
        <v>35083.0</v>
      </c>
      <c r="M858" s="8">
        <v>0.16699074074074075</v>
      </c>
      <c r="N858" s="6">
        <v>21.54</v>
      </c>
      <c r="O858" s="6">
        <v>42.0</v>
      </c>
      <c r="P858" s="9">
        <v>42878.0</v>
      </c>
      <c r="Q858" s="1" t="s">
        <v>75</v>
      </c>
      <c r="R858" s="1" t="s">
        <v>76</v>
      </c>
      <c r="S858" s="6">
        <v>2017.0</v>
      </c>
      <c r="T858" s="6">
        <v>5.0</v>
      </c>
      <c r="U858" s="1" t="s">
        <v>294</v>
      </c>
      <c r="V858" s="1" t="s">
        <v>294</v>
      </c>
      <c r="W858" s="6">
        <v>23.0</v>
      </c>
      <c r="X858" s="1" t="s">
        <v>79</v>
      </c>
      <c r="Y858" s="1" t="s">
        <v>80</v>
      </c>
      <c r="Z858" s="6">
        <v>0.18</v>
      </c>
      <c r="AA858" s="6">
        <v>75765.0</v>
      </c>
      <c r="AB858" s="10">
        <v>0.04</v>
      </c>
      <c r="AC858" s="1" t="s">
        <v>8675</v>
      </c>
      <c r="AD858" s="1" t="s">
        <v>8676</v>
      </c>
      <c r="AE858" s="1" t="s">
        <v>8677</v>
      </c>
      <c r="AF858" s="1" t="s">
        <v>8678</v>
      </c>
      <c r="AG858" s="1" t="s">
        <v>8677</v>
      </c>
      <c r="AH858" s="1" t="s">
        <v>399</v>
      </c>
      <c r="AI858" s="6">
        <v>71322.0</v>
      </c>
      <c r="AJ858" s="1" t="s">
        <v>106</v>
      </c>
      <c r="AK858" s="1" t="s">
        <v>8679</v>
      </c>
      <c r="AL858" s="1" t="s">
        <v>8680</v>
      </c>
      <c r="AM858" s="11" t="str">
        <f>VLOOKUP(N858,Sheet3!$B$4:$C$10,2,1)</f>
        <v>21-30</v>
      </c>
      <c r="AN858" s="13" t="str">
        <f>VLOOKUP(Z858,Sheet3!$F$4:$G$10,2,1)</f>
        <v>&lt; 5</v>
      </c>
      <c r="AO858" s="5" t="str">
        <f>VLOOKUP(AA858,Sheet3!$I$3:$J$16,2,1)</f>
        <v>60000-80000</v>
      </c>
      <c r="AP858" s="5" t="str">
        <f>VLOOKUP(AB858,Sheet3!$L$4:$M$14,2,1)</f>
        <v>&lt; 5%</v>
      </c>
    </row>
    <row r="859">
      <c r="A859" s="6">
        <v>397241.0</v>
      </c>
      <c r="B859" s="1" t="s">
        <v>42</v>
      </c>
      <c r="C859" s="1" t="s">
        <v>8681</v>
      </c>
      <c r="D859" s="1" t="s">
        <v>416</v>
      </c>
      <c r="E859" s="1" t="s">
        <v>2750</v>
      </c>
      <c r="F859" s="1" t="s">
        <v>46</v>
      </c>
      <c r="G859" s="1" t="s">
        <v>8682</v>
      </c>
      <c r="H859" s="1" t="s">
        <v>8579</v>
      </c>
      <c r="I859" s="1" t="s">
        <v>8683</v>
      </c>
      <c r="J859" s="1" t="s">
        <v>8684</v>
      </c>
      <c r="K859" s="1" t="s">
        <v>1439</v>
      </c>
      <c r="L859" s="9">
        <v>31954.0</v>
      </c>
      <c r="M859" s="8">
        <v>0.6341898148148148</v>
      </c>
      <c r="N859" s="6">
        <v>30.11</v>
      </c>
      <c r="O859" s="6">
        <v>60.0</v>
      </c>
      <c r="P859" s="9">
        <v>41239.0</v>
      </c>
      <c r="Q859" s="1" t="s">
        <v>52</v>
      </c>
      <c r="R859" s="1" t="s">
        <v>53</v>
      </c>
      <c r="S859" s="6">
        <v>2012.0</v>
      </c>
      <c r="T859" s="6">
        <v>11.0</v>
      </c>
      <c r="U859" s="1" t="s">
        <v>148</v>
      </c>
      <c r="V859" s="1" t="s">
        <v>149</v>
      </c>
      <c r="W859" s="6">
        <v>26.0</v>
      </c>
      <c r="X859" s="1" t="s">
        <v>99</v>
      </c>
      <c r="Y859" s="1" t="s">
        <v>100</v>
      </c>
      <c r="Z859" s="6">
        <v>4.67</v>
      </c>
      <c r="AA859" s="6">
        <v>187262.0</v>
      </c>
      <c r="AB859" s="10">
        <v>0.25</v>
      </c>
      <c r="AC859" s="1" t="s">
        <v>8685</v>
      </c>
      <c r="AD859" s="1" t="s">
        <v>8686</v>
      </c>
      <c r="AE859" s="1" t="s">
        <v>8687</v>
      </c>
      <c r="AF859" s="1" t="s">
        <v>8688</v>
      </c>
      <c r="AG859" s="1" t="s">
        <v>8687</v>
      </c>
      <c r="AH859" s="1" t="s">
        <v>85</v>
      </c>
      <c r="AI859" s="6">
        <v>48433.0</v>
      </c>
      <c r="AJ859" s="1" t="s">
        <v>86</v>
      </c>
      <c r="AK859" s="1" t="s">
        <v>8689</v>
      </c>
      <c r="AL859" s="1" t="s">
        <v>8690</v>
      </c>
      <c r="AM859" s="11" t="str">
        <f>VLOOKUP(N859,Sheet3!$B$4:$C$10,2,1)</f>
        <v>21-30</v>
      </c>
      <c r="AN859" s="13" t="str">
        <f>VLOOKUP(Z859,Sheet3!$F$4:$G$10,2,1)</f>
        <v>&lt; 5</v>
      </c>
      <c r="AO859" s="5" t="str">
        <f>VLOOKUP(AA859,Sheet3!$I$3:$J$16,2,1)</f>
        <v>180000-200000</v>
      </c>
      <c r="AP859" s="5" t="str">
        <f>VLOOKUP(AB859,Sheet3!$L$4:$M$14,2,1)</f>
        <v>21% - 25%</v>
      </c>
    </row>
    <row r="860">
      <c r="A860" s="6">
        <v>924252.0</v>
      </c>
      <c r="B860" s="1" t="s">
        <v>125</v>
      </c>
      <c r="C860" s="1" t="s">
        <v>8691</v>
      </c>
      <c r="D860" s="1" t="s">
        <v>466</v>
      </c>
      <c r="E860" s="1" t="s">
        <v>1899</v>
      </c>
      <c r="F860" s="1" t="s">
        <v>46</v>
      </c>
      <c r="G860" s="1" t="s">
        <v>8692</v>
      </c>
      <c r="H860" s="1" t="s">
        <v>8579</v>
      </c>
      <c r="I860" s="1" t="s">
        <v>8693</v>
      </c>
      <c r="J860" s="1" t="s">
        <v>8694</v>
      </c>
      <c r="K860" s="1" t="s">
        <v>1712</v>
      </c>
      <c r="L860" s="14">
        <v>34338.0</v>
      </c>
      <c r="M860" s="8">
        <v>0.9961458333333333</v>
      </c>
      <c r="N860" s="6">
        <v>23.58</v>
      </c>
      <c r="O860" s="6">
        <v>40.0</v>
      </c>
      <c r="P860" s="9">
        <v>42665.0</v>
      </c>
      <c r="Q860" s="1" t="s">
        <v>52</v>
      </c>
      <c r="R860" s="1" t="s">
        <v>53</v>
      </c>
      <c r="S860" s="6">
        <v>2016.0</v>
      </c>
      <c r="T860" s="6">
        <v>10.0</v>
      </c>
      <c r="U860" s="1" t="s">
        <v>133</v>
      </c>
      <c r="V860" s="1" t="s">
        <v>134</v>
      </c>
      <c r="W860" s="6">
        <v>22.0</v>
      </c>
      <c r="X860" s="1" t="s">
        <v>56</v>
      </c>
      <c r="Y860" s="1" t="s">
        <v>57</v>
      </c>
      <c r="Z860" s="6">
        <v>0.76</v>
      </c>
      <c r="AA860" s="6">
        <v>55341.0</v>
      </c>
      <c r="AB860" s="10">
        <v>0.0</v>
      </c>
      <c r="AC860" s="1" t="s">
        <v>8695</v>
      </c>
      <c r="AD860" s="1" t="s">
        <v>8696</v>
      </c>
      <c r="AE860" s="1" t="s">
        <v>8697</v>
      </c>
      <c r="AF860" s="1" t="s">
        <v>8698</v>
      </c>
      <c r="AG860" s="1" t="s">
        <v>8697</v>
      </c>
      <c r="AH860" s="1" t="s">
        <v>238</v>
      </c>
      <c r="AI860" s="6">
        <v>95019.0</v>
      </c>
      <c r="AJ860" s="1" t="s">
        <v>63</v>
      </c>
      <c r="AK860" s="1" t="s">
        <v>8699</v>
      </c>
      <c r="AL860" s="1" t="s">
        <v>8700</v>
      </c>
      <c r="AM860" s="11" t="str">
        <f>VLOOKUP(N860,Sheet3!$B$4:$C$10,2,1)</f>
        <v>21-30</v>
      </c>
      <c r="AN860" s="13" t="str">
        <f>VLOOKUP(Z860,Sheet3!$F$4:$G$10,2,1)</f>
        <v>&lt; 5</v>
      </c>
      <c r="AO860" s="5" t="str">
        <f>VLOOKUP(AA860,Sheet3!$I$3:$J$16,2,1)</f>
        <v>40000-60000</v>
      </c>
      <c r="AP860" s="5" t="str">
        <f>VLOOKUP(AB860,Sheet3!$L$4:$M$14,2,1)</f>
        <v>&lt; 5%</v>
      </c>
    </row>
    <row r="861">
      <c r="A861" s="6">
        <v>717079.0</v>
      </c>
      <c r="B861" s="1" t="s">
        <v>125</v>
      </c>
      <c r="C861" s="1" t="s">
        <v>6400</v>
      </c>
      <c r="D861" s="1" t="s">
        <v>1663</v>
      </c>
      <c r="E861" s="1" t="s">
        <v>5476</v>
      </c>
      <c r="F861" s="1" t="s">
        <v>46</v>
      </c>
      <c r="G861" s="1" t="s">
        <v>8701</v>
      </c>
      <c r="H861" s="1" t="s">
        <v>8579</v>
      </c>
      <c r="I861" s="1" t="s">
        <v>8702</v>
      </c>
      <c r="J861" s="1" t="s">
        <v>8703</v>
      </c>
      <c r="K861" s="1" t="s">
        <v>8704</v>
      </c>
      <c r="L861" s="9">
        <v>24648.0</v>
      </c>
      <c r="M861" s="8">
        <v>0.624837962962963</v>
      </c>
      <c r="N861" s="6">
        <v>50.13</v>
      </c>
      <c r="O861" s="6">
        <v>40.0</v>
      </c>
      <c r="P861" s="14">
        <v>37263.0</v>
      </c>
      <c r="Q861" s="1" t="s">
        <v>96</v>
      </c>
      <c r="R861" s="1" t="s">
        <v>76</v>
      </c>
      <c r="S861" s="6">
        <v>2002.0</v>
      </c>
      <c r="T861" s="6">
        <v>1.0</v>
      </c>
      <c r="U861" s="1" t="s">
        <v>276</v>
      </c>
      <c r="V861" s="1" t="s">
        <v>277</v>
      </c>
      <c r="W861" s="6">
        <v>7.0</v>
      </c>
      <c r="X861" s="1" t="s">
        <v>99</v>
      </c>
      <c r="Y861" s="1" t="s">
        <v>100</v>
      </c>
      <c r="Z861" s="6">
        <v>15.56</v>
      </c>
      <c r="AA861" s="6">
        <v>73397.0</v>
      </c>
      <c r="AB861" s="10">
        <v>0.03</v>
      </c>
      <c r="AC861" s="1" t="s">
        <v>8705</v>
      </c>
      <c r="AD861" s="1" t="s">
        <v>8706</v>
      </c>
      <c r="AE861" s="1" t="s">
        <v>8707</v>
      </c>
      <c r="AF861" s="1" t="s">
        <v>2479</v>
      </c>
      <c r="AG861" s="1" t="s">
        <v>8707</v>
      </c>
      <c r="AH861" s="1" t="s">
        <v>1032</v>
      </c>
      <c r="AI861" s="6">
        <v>66503.0</v>
      </c>
      <c r="AJ861" s="1" t="s">
        <v>86</v>
      </c>
      <c r="AK861" s="1" t="s">
        <v>8708</v>
      </c>
      <c r="AL861" s="1" t="s">
        <v>8709</v>
      </c>
      <c r="AM861" s="11" t="str">
        <f>VLOOKUP(N861,Sheet3!$B$4:$C$10,2,1)</f>
        <v>41-50</v>
      </c>
      <c r="AN861" s="12" t="str">
        <f>VLOOKUP(Z861,Sheet3!$F$4:$G$10,2,1)</f>
        <v>11-20</v>
      </c>
      <c r="AO861" s="5" t="str">
        <f>VLOOKUP(AA861,Sheet3!$I$3:$J$16,2,1)</f>
        <v>60000-80000</v>
      </c>
      <c r="AP861" s="5" t="str">
        <f>VLOOKUP(AB861,Sheet3!$L$4:$M$14,2,1)</f>
        <v>&lt; 5%</v>
      </c>
    </row>
    <row r="862">
      <c r="A862" s="6">
        <v>494794.0</v>
      </c>
      <c r="B862" s="1" t="s">
        <v>66</v>
      </c>
      <c r="C862" s="1" t="s">
        <v>4729</v>
      </c>
      <c r="D862" s="1" t="s">
        <v>111</v>
      </c>
      <c r="E862" s="1" t="s">
        <v>1749</v>
      </c>
      <c r="F862" s="1" t="s">
        <v>70</v>
      </c>
      <c r="G862" s="1" t="s">
        <v>8710</v>
      </c>
      <c r="H862" s="1" t="s">
        <v>8579</v>
      </c>
      <c r="I862" s="1" t="s">
        <v>8711</v>
      </c>
      <c r="J862" s="1" t="s">
        <v>8712</v>
      </c>
      <c r="K862" s="1" t="s">
        <v>4133</v>
      </c>
      <c r="L862" s="9">
        <v>34320.0</v>
      </c>
      <c r="M862" s="8">
        <v>0.22214120370370372</v>
      </c>
      <c r="N862" s="6">
        <v>23.63</v>
      </c>
      <c r="O862" s="6">
        <v>58.0</v>
      </c>
      <c r="P862" s="14">
        <v>42134.0</v>
      </c>
      <c r="Q862" s="1" t="s">
        <v>75</v>
      </c>
      <c r="R862" s="1" t="s">
        <v>76</v>
      </c>
      <c r="S862" s="6">
        <v>2015.0</v>
      </c>
      <c r="T862" s="6">
        <v>5.0</v>
      </c>
      <c r="U862" s="1" t="s">
        <v>294</v>
      </c>
      <c r="V862" s="1" t="s">
        <v>294</v>
      </c>
      <c r="W862" s="6">
        <v>10.0</v>
      </c>
      <c r="X862" s="1" t="s">
        <v>534</v>
      </c>
      <c r="Y862" s="1" t="s">
        <v>535</v>
      </c>
      <c r="Z862" s="6">
        <v>2.22</v>
      </c>
      <c r="AA862" s="6">
        <v>142346.0</v>
      </c>
      <c r="AB862" s="10">
        <v>0.09</v>
      </c>
      <c r="AC862" s="1" t="s">
        <v>8713</v>
      </c>
      <c r="AD862" s="1" t="s">
        <v>8714</v>
      </c>
      <c r="AE862" s="1" t="s">
        <v>8715</v>
      </c>
      <c r="AF862" s="1" t="s">
        <v>8716</v>
      </c>
      <c r="AG862" s="1" t="s">
        <v>8715</v>
      </c>
      <c r="AH862" s="1" t="s">
        <v>299</v>
      </c>
      <c r="AI862" s="6">
        <v>73558.0</v>
      </c>
      <c r="AJ862" s="1" t="s">
        <v>106</v>
      </c>
      <c r="AK862" s="1" t="s">
        <v>8717</v>
      </c>
      <c r="AL862" s="1" t="s">
        <v>8718</v>
      </c>
      <c r="AM862" s="11" t="str">
        <f>VLOOKUP(N862,Sheet3!$B$4:$C$10,2,1)</f>
        <v>21-30</v>
      </c>
      <c r="AN862" s="13" t="str">
        <f>VLOOKUP(Z862,Sheet3!$F$4:$G$10,2,1)</f>
        <v>&lt; 5</v>
      </c>
      <c r="AO862" s="5" t="str">
        <f>VLOOKUP(AA862,Sheet3!$I$3:$J$16,2,1)</f>
        <v>140000-160000</v>
      </c>
      <c r="AP862" s="5" t="str">
        <f>VLOOKUP(AB862,Sheet3!$L$4:$M$14,2,1)</f>
        <v>5% - 10%</v>
      </c>
    </row>
    <row r="863">
      <c r="A863" s="6">
        <v>970841.0</v>
      </c>
      <c r="B863" s="1" t="s">
        <v>125</v>
      </c>
      <c r="C863" s="1" t="s">
        <v>8549</v>
      </c>
      <c r="D863" s="1" t="s">
        <v>111</v>
      </c>
      <c r="E863" s="1" t="s">
        <v>6632</v>
      </c>
      <c r="F863" s="1" t="s">
        <v>46</v>
      </c>
      <c r="G863" s="1" t="s">
        <v>8719</v>
      </c>
      <c r="H863" s="1" t="s">
        <v>8579</v>
      </c>
      <c r="I863" s="1" t="s">
        <v>8720</v>
      </c>
      <c r="J863" s="1" t="s">
        <v>8721</v>
      </c>
      <c r="K863" s="1" t="s">
        <v>1048</v>
      </c>
      <c r="L863" s="9">
        <v>32443.0</v>
      </c>
      <c r="M863" s="8">
        <v>0.03197916666666667</v>
      </c>
      <c r="N863" s="6">
        <v>28.77</v>
      </c>
      <c r="O863" s="6">
        <v>44.0</v>
      </c>
      <c r="P863" s="14">
        <v>41127.0</v>
      </c>
      <c r="Q863" s="1" t="s">
        <v>308</v>
      </c>
      <c r="R863" s="1" t="s">
        <v>53</v>
      </c>
      <c r="S863" s="6">
        <v>2012.0</v>
      </c>
      <c r="T863" s="6">
        <v>8.0</v>
      </c>
      <c r="U863" s="1" t="s">
        <v>433</v>
      </c>
      <c r="V863" s="1" t="s">
        <v>434</v>
      </c>
      <c r="W863" s="6">
        <v>6.0</v>
      </c>
      <c r="X863" s="1" t="s">
        <v>99</v>
      </c>
      <c r="Y863" s="1" t="s">
        <v>100</v>
      </c>
      <c r="Z863" s="6">
        <v>4.98</v>
      </c>
      <c r="AA863" s="6">
        <v>196155.0</v>
      </c>
      <c r="AB863" s="10">
        <v>0.09</v>
      </c>
      <c r="AC863" s="1" t="s">
        <v>8722</v>
      </c>
      <c r="AD863" s="1" t="s">
        <v>8723</v>
      </c>
      <c r="AE863" s="1" t="s">
        <v>8724</v>
      </c>
      <c r="AF863" s="1" t="s">
        <v>1149</v>
      </c>
      <c r="AG863" s="1" t="s">
        <v>8724</v>
      </c>
      <c r="AH863" s="1" t="s">
        <v>169</v>
      </c>
      <c r="AI863" s="6">
        <v>77401.0</v>
      </c>
      <c r="AJ863" s="1" t="s">
        <v>106</v>
      </c>
      <c r="AK863" s="1" t="s">
        <v>8725</v>
      </c>
      <c r="AL863" s="1" t="s">
        <v>8726</v>
      </c>
      <c r="AM863" s="11" t="str">
        <f>VLOOKUP(N863,Sheet3!$B$4:$C$10,2,1)</f>
        <v>21-30</v>
      </c>
      <c r="AN863" s="13" t="str">
        <f>VLOOKUP(Z863,Sheet3!$F$4:$G$10,2,1)</f>
        <v>&lt; 5</v>
      </c>
      <c r="AO863" s="5" t="str">
        <f>VLOOKUP(AA863,Sheet3!$I$3:$J$16,2,1)</f>
        <v>180000-200000</v>
      </c>
      <c r="AP863" s="5" t="str">
        <f>VLOOKUP(AB863,Sheet3!$L$4:$M$14,2,1)</f>
        <v>5% - 10%</v>
      </c>
    </row>
    <row r="864">
      <c r="A864" s="6">
        <v>281794.0</v>
      </c>
      <c r="B864" s="1" t="s">
        <v>109</v>
      </c>
      <c r="C864" s="1" t="s">
        <v>1828</v>
      </c>
      <c r="D864" s="1" t="s">
        <v>529</v>
      </c>
      <c r="E864" s="1" t="s">
        <v>1500</v>
      </c>
      <c r="F864" s="1" t="s">
        <v>46</v>
      </c>
      <c r="G864" s="1" t="s">
        <v>8727</v>
      </c>
      <c r="H864" s="1" t="s">
        <v>8579</v>
      </c>
      <c r="I864" s="1" t="s">
        <v>8728</v>
      </c>
      <c r="J864" s="1" t="s">
        <v>8729</v>
      </c>
      <c r="K864" s="1" t="s">
        <v>1907</v>
      </c>
      <c r="L864" s="9">
        <v>33754.0</v>
      </c>
      <c r="M864" s="8">
        <v>0.916412037037037</v>
      </c>
      <c r="N864" s="6">
        <v>25.18</v>
      </c>
      <c r="O864" s="6">
        <v>56.0</v>
      </c>
      <c r="P864" s="9">
        <v>42338.0</v>
      </c>
      <c r="Q864" s="1" t="s">
        <v>52</v>
      </c>
      <c r="R864" s="1" t="s">
        <v>53</v>
      </c>
      <c r="S864" s="6">
        <v>2015.0</v>
      </c>
      <c r="T864" s="6">
        <v>11.0</v>
      </c>
      <c r="U864" s="1" t="s">
        <v>148</v>
      </c>
      <c r="V864" s="1" t="s">
        <v>149</v>
      </c>
      <c r="W864" s="6">
        <v>30.0</v>
      </c>
      <c r="X864" s="1" t="s">
        <v>99</v>
      </c>
      <c r="Y864" s="1" t="s">
        <v>100</v>
      </c>
      <c r="Z864" s="6">
        <v>1.66</v>
      </c>
      <c r="AA864" s="6">
        <v>82765.0</v>
      </c>
      <c r="AB864" s="10">
        <v>0.28</v>
      </c>
      <c r="AC864" s="1" t="s">
        <v>8730</v>
      </c>
      <c r="AD864" s="1" t="s">
        <v>8731</v>
      </c>
      <c r="AE864" s="1" t="s">
        <v>8732</v>
      </c>
      <c r="AF864" s="1" t="s">
        <v>3355</v>
      </c>
      <c r="AG864" s="1" t="s">
        <v>8732</v>
      </c>
      <c r="AH864" s="1" t="s">
        <v>284</v>
      </c>
      <c r="AI864" s="6">
        <v>52149.0</v>
      </c>
      <c r="AJ864" s="1" t="s">
        <v>86</v>
      </c>
      <c r="AK864" s="1" t="s">
        <v>8733</v>
      </c>
      <c r="AL864" s="1" t="s">
        <v>8734</v>
      </c>
      <c r="AM864" s="11" t="str">
        <f>VLOOKUP(N864,Sheet3!$B$4:$C$10,2,1)</f>
        <v>21-30</v>
      </c>
      <c r="AN864" s="13" t="str">
        <f>VLOOKUP(Z864,Sheet3!$F$4:$G$10,2,1)</f>
        <v>&lt; 5</v>
      </c>
      <c r="AO864" s="5" t="str">
        <f>VLOOKUP(AA864,Sheet3!$I$3:$J$16,2,1)</f>
        <v>80000-100000</v>
      </c>
      <c r="AP864" s="5" t="str">
        <f>VLOOKUP(AB864,Sheet3!$L$4:$M$14,2,1)</f>
        <v>26% - 30%</v>
      </c>
    </row>
    <row r="865">
      <c r="A865" s="6">
        <v>520539.0</v>
      </c>
      <c r="B865" s="1" t="s">
        <v>125</v>
      </c>
      <c r="C865" s="1" t="s">
        <v>3217</v>
      </c>
      <c r="D865" s="1" t="s">
        <v>443</v>
      </c>
      <c r="E865" s="1" t="s">
        <v>6605</v>
      </c>
      <c r="F865" s="1" t="s">
        <v>70</v>
      </c>
      <c r="G865" s="1" t="s">
        <v>8735</v>
      </c>
      <c r="H865" s="1" t="s">
        <v>8579</v>
      </c>
      <c r="I865" s="1" t="s">
        <v>8736</v>
      </c>
      <c r="J865" s="1" t="s">
        <v>8737</v>
      </c>
      <c r="K865" s="1" t="s">
        <v>4864</v>
      </c>
      <c r="L865" s="9">
        <v>31412.0</v>
      </c>
      <c r="M865" s="8">
        <v>0.49605324074074075</v>
      </c>
      <c r="N865" s="6">
        <v>31.59</v>
      </c>
      <c r="O865" s="6">
        <v>71.0</v>
      </c>
      <c r="P865" s="9">
        <v>39165.0</v>
      </c>
      <c r="Q865" s="1" t="s">
        <v>96</v>
      </c>
      <c r="R865" s="1" t="s">
        <v>76</v>
      </c>
      <c r="S865" s="6">
        <v>2007.0</v>
      </c>
      <c r="T865" s="6">
        <v>3.0</v>
      </c>
      <c r="U865" s="1" t="s">
        <v>97</v>
      </c>
      <c r="V865" s="1" t="s">
        <v>98</v>
      </c>
      <c r="W865" s="6">
        <v>24.0</v>
      </c>
      <c r="X865" s="1" t="s">
        <v>56</v>
      </c>
      <c r="Y865" s="1" t="s">
        <v>57</v>
      </c>
      <c r="Z865" s="6">
        <v>10.35</v>
      </c>
      <c r="AA865" s="6">
        <v>188821.0</v>
      </c>
      <c r="AB865" s="10">
        <v>0.19</v>
      </c>
      <c r="AC865" s="1" t="s">
        <v>8738</v>
      </c>
      <c r="AD865" s="1" t="s">
        <v>8739</v>
      </c>
      <c r="AE865" s="1" t="s">
        <v>3706</v>
      </c>
      <c r="AF865" s="1" t="s">
        <v>3707</v>
      </c>
      <c r="AG865" s="1" t="s">
        <v>3706</v>
      </c>
      <c r="AH865" s="1" t="s">
        <v>974</v>
      </c>
      <c r="AI865" s="6">
        <v>45237.0</v>
      </c>
      <c r="AJ865" s="1" t="s">
        <v>86</v>
      </c>
      <c r="AK865" s="1" t="s">
        <v>8740</v>
      </c>
      <c r="AL865" s="1" t="s">
        <v>8741</v>
      </c>
      <c r="AM865" s="11" t="str">
        <f>VLOOKUP(N865,Sheet3!$B$4:$C$10,2,1)</f>
        <v>31-40</v>
      </c>
      <c r="AN865" s="12" t="str">
        <f>VLOOKUP(Z865,Sheet3!$F$4:$G$10,2,1)</f>
        <v>5-10</v>
      </c>
      <c r="AO865" s="5" t="str">
        <f>VLOOKUP(AA865,Sheet3!$I$3:$J$16,2,1)</f>
        <v>180000-200000</v>
      </c>
      <c r="AP865" s="5" t="str">
        <f>VLOOKUP(AB865,Sheet3!$L$4:$M$14,2,1)</f>
        <v>16% - 20%</v>
      </c>
    </row>
    <row r="866">
      <c r="A866" s="6">
        <v>567269.0</v>
      </c>
      <c r="B866" s="1" t="s">
        <v>42</v>
      </c>
      <c r="C866" s="1" t="s">
        <v>8742</v>
      </c>
      <c r="D866" s="1" t="s">
        <v>257</v>
      </c>
      <c r="E866" s="1" t="s">
        <v>744</v>
      </c>
      <c r="F866" s="1" t="s">
        <v>46</v>
      </c>
      <c r="G866" s="1" t="s">
        <v>8743</v>
      </c>
      <c r="H866" s="1" t="s">
        <v>8579</v>
      </c>
      <c r="I866" s="1" t="s">
        <v>8744</v>
      </c>
      <c r="J866" s="1" t="s">
        <v>8745</v>
      </c>
      <c r="K866" s="1" t="s">
        <v>657</v>
      </c>
      <c r="L866" s="14">
        <v>32602.0</v>
      </c>
      <c r="M866" s="8">
        <v>0.3800810185185185</v>
      </c>
      <c r="N866" s="6">
        <v>28.33</v>
      </c>
      <c r="O866" s="6">
        <v>56.0</v>
      </c>
      <c r="P866" s="9">
        <v>41242.0</v>
      </c>
      <c r="Q866" s="1" t="s">
        <v>52</v>
      </c>
      <c r="R866" s="1" t="s">
        <v>53</v>
      </c>
      <c r="S866" s="6">
        <v>2012.0</v>
      </c>
      <c r="T866" s="6">
        <v>11.0</v>
      </c>
      <c r="U866" s="1" t="s">
        <v>148</v>
      </c>
      <c r="V866" s="1" t="s">
        <v>149</v>
      </c>
      <c r="W866" s="6">
        <v>29.0</v>
      </c>
      <c r="X866" s="1" t="s">
        <v>150</v>
      </c>
      <c r="Y866" s="1" t="s">
        <v>151</v>
      </c>
      <c r="Z866" s="6">
        <v>4.66</v>
      </c>
      <c r="AA866" s="6">
        <v>42988.0</v>
      </c>
      <c r="AB866" s="10">
        <v>0.11</v>
      </c>
      <c r="AC866" s="1" t="s">
        <v>8746</v>
      </c>
      <c r="AD866" s="1" t="s">
        <v>8747</v>
      </c>
      <c r="AE866" s="1" t="s">
        <v>8748</v>
      </c>
      <c r="AF866" s="1" t="s">
        <v>8749</v>
      </c>
      <c r="AG866" s="1" t="s">
        <v>8748</v>
      </c>
      <c r="AH866" s="1" t="s">
        <v>169</v>
      </c>
      <c r="AI866" s="6">
        <v>76271.0</v>
      </c>
      <c r="AJ866" s="1" t="s">
        <v>106</v>
      </c>
      <c r="AK866" s="1" t="s">
        <v>8750</v>
      </c>
      <c r="AL866" s="1" t="s">
        <v>8751</v>
      </c>
      <c r="AM866" s="11" t="str">
        <f>VLOOKUP(N866,Sheet3!$B$4:$C$10,2,1)</f>
        <v>21-30</v>
      </c>
      <c r="AN866" s="13" t="str">
        <f>VLOOKUP(Z866,Sheet3!$F$4:$G$10,2,1)</f>
        <v>&lt; 5</v>
      </c>
      <c r="AO866" s="5" t="str">
        <f>VLOOKUP(AA866,Sheet3!$I$3:$J$16,2,1)</f>
        <v>40000-60000</v>
      </c>
      <c r="AP866" s="5" t="str">
        <f>VLOOKUP(AB866,Sheet3!$L$4:$M$14,2,1)</f>
        <v>11% - 15%</v>
      </c>
    </row>
    <row r="867">
      <c r="A867" s="6">
        <v>749292.0</v>
      </c>
      <c r="B867" s="1" t="s">
        <v>42</v>
      </c>
      <c r="C867" s="1" t="s">
        <v>5279</v>
      </c>
      <c r="D867" s="1" t="s">
        <v>288</v>
      </c>
      <c r="E867" s="1" t="s">
        <v>3865</v>
      </c>
      <c r="F867" s="1" t="s">
        <v>46</v>
      </c>
      <c r="G867" s="1" t="s">
        <v>8752</v>
      </c>
      <c r="H867" s="1" t="s">
        <v>8579</v>
      </c>
      <c r="I867" s="1" t="s">
        <v>8753</v>
      </c>
      <c r="J867" s="1" t="s">
        <v>8754</v>
      </c>
      <c r="K867" s="1" t="s">
        <v>6448</v>
      </c>
      <c r="L867" s="9">
        <v>22998.0</v>
      </c>
      <c r="M867" s="8">
        <v>0.06646990740740741</v>
      </c>
      <c r="N867" s="6">
        <v>54.65</v>
      </c>
      <c r="O867" s="6">
        <v>42.0</v>
      </c>
      <c r="P867" s="9">
        <v>42519.0</v>
      </c>
      <c r="Q867" s="1" t="s">
        <v>75</v>
      </c>
      <c r="R867" s="1" t="s">
        <v>76</v>
      </c>
      <c r="S867" s="6">
        <v>2016.0</v>
      </c>
      <c r="T867" s="6">
        <v>5.0</v>
      </c>
      <c r="U867" s="1" t="s">
        <v>294</v>
      </c>
      <c r="V867" s="1" t="s">
        <v>294</v>
      </c>
      <c r="W867" s="6">
        <v>29.0</v>
      </c>
      <c r="X867" s="1" t="s">
        <v>534</v>
      </c>
      <c r="Y867" s="1" t="s">
        <v>535</v>
      </c>
      <c r="Z867" s="6">
        <v>1.16</v>
      </c>
      <c r="AA867" s="6">
        <v>113482.0</v>
      </c>
      <c r="AB867" s="10">
        <v>0.16</v>
      </c>
      <c r="AC867" s="1" t="s">
        <v>8755</v>
      </c>
      <c r="AD867" s="1" t="s">
        <v>8756</v>
      </c>
      <c r="AE867" s="1" t="s">
        <v>8757</v>
      </c>
      <c r="AF867" s="1" t="s">
        <v>2359</v>
      </c>
      <c r="AG867" s="1" t="s">
        <v>8757</v>
      </c>
      <c r="AH867" s="1" t="s">
        <v>857</v>
      </c>
      <c r="AI867" s="6">
        <v>64864.0</v>
      </c>
      <c r="AJ867" s="1" t="s">
        <v>86</v>
      </c>
      <c r="AK867" s="1" t="s">
        <v>8758</v>
      </c>
      <c r="AL867" s="1" t="s">
        <v>8759</v>
      </c>
      <c r="AM867" s="11" t="str">
        <f>VLOOKUP(N867,Sheet3!$B$4:$C$10,2,1)</f>
        <v>51-60</v>
      </c>
      <c r="AN867" s="13" t="str">
        <f>VLOOKUP(Z867,Sheet3!$F$4:$G$10,2,1)</f>
        <v>&lt; 5</v>
      </c>
      <c r="AO867" s="5" t="str">
        <f>VLOOKUP(AA867,Sheet3!$I$3:$J$16,2,1)</f>
        <v>100000-120000</v>
      </c>
      <c r="AP867" s="5" t="str">
        <f>VLOOKUP(AB867,Sheet3!$L$4:$M$14,2,1)</f>
        <v>16% - 20%</v>
      </c>
    </row>
    <row r="868">
      <c r="A868" s="6">
        <v>292144.0</v>
      </c>
      <c r="B868" s="1" t="s">
        <v>89</v>
      </c>
      <c r="C868" s="1" t="s">
        <v>8760</v>
      </c>
      <c r="D868" s="1" t="s">
        <v>554</v>
      </c>
      <c r="E868" s="1" t="s">
        <v>8761</v>
      </c>
      <c r="F868" s="1" t="s">
        <v>46</v>
      </c>
      <c r="G868" s="1" t="s">
        <v>8762</v>
      </c>
      <c r="H868" s="1" t="s">
        <v>8579</v>
      </c>
      <c r="I868" s="1" t="s">
        <v>8763</v>
      </c>
      <c r="J868" s="1" t="s">
        <v>8764</v>
      </c>
      <c r="K868" s="1" t="s">
        <v>1229</v>
      </c>
      <c r="L868" s="9">
        <v>31397.0</v>
      </c>
      <c r="M868" s="8">
        <v>0.1985763888888889</v>
      </c>
      <c r="N868" s="6">
        <v>31.64</v>
      </c>
      <c r="O868" s="6">
        <v>54.0</v>
      </c>
      <c r="P868" s="14">
        <v>41550.0</v>
      </c>
      <c r="Q868" s="1" t="s">
        <v>52</v>
      </c>
      <c r="R868" s="1" t="s">
        <v>53</v>
      </c>
      <c r="S868" s="6">
        <v>2013.0</v>
      </c>
      <c r="T868" s="6">
        <v>10.0</v>
      </c>
      <c r="U868" s="1" t="s">
        <v>133</v>
      </c>
      <c r="V868" s="1" t="s">
        <v>134</v>
      </c>
      <c r="W868" s="6">
        <v>3.0</v>
      </c>
      <c r="X868" s="1" t="s">
        <v>150</v>
      </c>
      <c r="Y868" s="1" t="s">
        <v>151</v>
      </c>
      <c r="Z868" s="6">
        <v>3.82</v>
      </c>
      <c r="AA868" s="6">
        <v>73007.0</v>
      </c>
      <c r="AB868" s="10">
        <v>0.07</v>
      </c>
      <c r="AC868" s="1" t="s">
        <v>8765</v>
      </c>
      <c r="AD868" s="1" t="s">
        <v>8766</v>
      </c>
      <c r="AE868" s="1" t="s">
        <v>8767</v>
      </c>
      <c r="AF868" s="1" t="s">
        <v>1791</v>
      </c>
      <c r="AG868" s="1" t="s">
        <v>8767</v>
      </c>
      <c r="AH868" s="1" t="s">
        <v>857</v>
      </c>
      <c r="AI868" s="6">
        <v>63043.0</v>
      </c>
      <c r="AJ868" s="1" t="s">
        <v>86</v>
      </c>
      <c r="AK868" s="1" t="s">
        <v>8768</v>
      </c>
      <c r="AL868" s="1" t="s">
        <v>8769</v>
      </c>
      <c r="AM868" s="11" t="str">
        <f>VLOOKUP(N868,Sheet3!$B$4:$C$10,2,1)</f>
        <v>31-40</v>
      </c>
      <c r="AN868" s="13" t="str">
        <f>VLOOKUP(Z868,Sheet3!$F$4:$G$10,2,1)</f>
        <v>&lt; 5</v>
      </c>
      <c r="AO868" s="5" t="str">
        <f>VLOOKUP(AA868,Sheet3!$I$3:$J$16,2,1)</f>
        <v>60000-80000</v>
      </c>
      <c r="AP868" s="5" t="str">
        <f>VLOOKUP(AB868,Sheet3!$L$4:$M$14,2,1)</f>
        <v>5% - 10%</v>
      </c>
    </row>
    <row r="869">
      <c r="A869" s="6">
        <v>896825.0</v>
      </c>
      <c r="B869" s="1" t="s">
        <v>42</v>
      </c>
      <c r="C869" s="1" t="s">
        <v>8770</v>
      </c>
      <c r="D869" s="1" t="s">
        <v>683</v>
      </c>
      <c r="E869" s="1" t="s">
        <v>1873</v>
      </c>
      <c r="F869" s="1" t="s">
        <v>46</v>
      </c>
      <c r="G869" s="1" t="s">
        <v>8771</v>
      </c>
      <c r="H869" s="1" t="s">
        <v>8579</v>
      </c>
      <c r="I869" s="1" t="s">
        <v>8772</v>
      </c>
      <c r="J869" s="1" t="s">
        <v>8773</v>
      </c>
      <c r="K869" s="1" t="s">
        <v>5874</v>
      </c>
      <c r="L869" s="14">
        <v>28010.0</v>
      </c>
      <c r="M869" s="8">
        <v>0.38068287037037035</v>
      </c>
      <c r="N869" s="6">
        <v>40.92</v>
      </c>
      <c r="O869" s="6">
        <v>60.0</v>
      </c>
      <c r="P869" s="9">
        <v>40135.0</v>
      </c>
      <c r="Q869" s="1" t="s">
        <v>52</v>
      </c>
      <c r="R869" s="1" t="s">
        <v>53</v>
      </c>
      <c r="S869" s="6">
        <v>2009.0</v>
      </c>
      <c r="T869" s="6">
        <v>11.0</v>
      </c>
      <c r="U869" s="1" t="s">
        <v>148</v>
      </c>
      <c r="V869" s="1" t="s">
        <v>149</v>
      </c>
      <c r="W869" s="6">
        <v>18.0</v>
      </c>
      <c r="X869" s="1" t="s">
        <v>278</v>
      </c>
      <c r="Y869" s="1" t="s">
        <v>279</v>
      </c>
      <c r="Z869" s="6">
        <v>7.7</v>
      </c>
      <c r="AA869" s="6">
        <v>71415.0</v>
      </c>
      <c r="AB869" s="10">
        <v>0.27</v>
      </c>
      <c r="AC869" s="1" t="s">
        <v>8774</v>
      </c>
      <c r="AD869" s="1" t="s">
        <v>8775</v>
      </c>
      <c r="AE869" s="1" t="s">
        <v>8776</v>
      </c>
      <c r="AF869" s="1" t="s">
        <v>8776</v>
      </c>
      <c r="AG869" s="1" t="s">
        <v>8776</v>
      </c>
      <c r="AH869" s="1" t="s">
        <v>1527</v>
      </c>
      <c r="AI869" s="6">
        <v>35161.0</v>
      </c>
      <c r="AJ869" s="1" t="s">
        <v>106</v>
      </c>
      <c r="AK869" s="1" t="s">
        <v>8777</v>
      </c>
      <c r="AL869" s="1" t="s">
        <v>8778</v>
      </c>
      <c r="AM869" s="11" t="str">
        <f>VLOOKUP(N869,Sheet3!$B$4:$C$10,2,1)</f>
        <v>31-40</v>
      </c>
      <c r="AN869" s="12" t="str">
        <f>VLOOKUP(Z869,Sheet3!$F$4:$G$10,2,1)</f>
        <v>5-10</v>
      </c>
      <c r="AO869" s="5" t="str">
        <f>VLOOKUP(AA869,Sheet3!$I$3:$J$16,2,1)</f>
        <v>60000-80000</v>
      </c>
      <c r="AP869" s="5" t="str">
        <f>VLOOKUP(AB869,Sheet3!$L$4:$M$14,2,1)</f>
        <v>26% - 30%</v>
      </c>
    </row>
    <row r="870">
      <c r="A870" s="6">
        <v>216408.0</v>
      </c>
      <c r="B870" s="1" t="s">
        <v>66</v>
      </c>
      <c r="C870" s="1" t="s">
        <v>2246</v>
      </c>
      <c r="D870" s="1" t="s">
        <v>242</v>
      </c>
      <c r="E870" s="1" t="s">
        <v>7428</v>
      </c>
      <c r="F870" s="1" t="s">
        <v>70</v>
      </c>
      <c r="G870" s="1" t="s">
        <v>8779</v>
      </c>
      <c r="H870" s="1" t="s">
        <v>8579</v>
      </c>
      <c r="I870" s="1" t="s">
        <v>8780</v>
      </c>
      <c r="J870" s="1" t="s">
        <v>8781</v>
      </c>
      <c r="K870" s="1" t="s">
        <v>7970</v>
      </c>
      <c r="L870" s="9">
        <v>34133.0</v>
      </c>
      <c r="M870" s="8">
        <v>0.8893171296296296</v>
      </c>
      <c r="N870" s="6">
        <v>24.14</v>
      </c>
      <c r="O870" s="6">
        <v>89.0</v>
      </c>
      <c r="P870" s="14">
        <v>42834.0</v>
      </c>
      <c r="Q870" s="1" t="s">
        <v>75</v>
      </c>
      <c r="R870" s="1" t="s">
        <v>76</v>
      </c>
      <c r="S870" s="6">
        <v>2017.0</v>
      </c>
      <c r="T870" s="6">
        <v>4.0</v>
      </c>
      <c r="U870" s="1" t="s">
        <v>77</v>
      </c>
      <c r="V870" s="1" t="s">
        <v>78</v>
      </c>
      <c r="W870" s="6">
        <v>9.0</v>
      </c>
      <c r="X870" s="1" t="s">
        <v>534</v>
      </c>
      <c r="Y870" s="1" t="s">
        <v>535</v>
      </c>
      <c r="Z870" s="6">
        <v>0.3</v>
      </c>
      <c r="AA870" s="6">
        <v>75243.0</v>
      </c>
      <c r="AB870" s="10">
        <v>0.08</v>
      </c>
      <c r="AC870" s="1" t="s">
        <v>8782</v>
      </c>
      <c r="AD870" s="1" t="s">
        <v>8783</v>
      </c>
      <c r="AE870" s="1" t="s">
        <v>4331</v>
      </c>
      <c r="AF870" s="1" t="s">
        <v>4331</v>
      </c>
      <c r="AG870" s="1" t="s">
        <v>4331</v>
      </c>
      <c r="AH870" s="1" t="s">
        <v>974</v>
      </c>
      <c r="AI870" s="6">
        <v>43069.0</v>
      </c>
      <c r="AJ870" s="1" t="s">
        <v>86</v>
      </c>
      <c r="AK870" s="1" t="s">
        <v>8784</v>
      </c>
      <c r="AL870" s="1" t="s">
        <v>8785</v>
      </c>
      <c r="AM870" s="11" t="str">
        <f>VLOOKUP(N870,Sheet3!$B$4:$C$10,2,1)</f>
        <v>21-30</v>
      </c>
      <c r="AN870" s="13" t="str">
        <f>VLOOKUP(Z870,Sheet3!$F$4:$G$10,2,1)</f>
        <v>&lt; 5</v>
      </c>
      <c r="AO870" s="5" t="str">
        <f>VLOOKUP(AA870,Sheet3!$I$3:$J$16,2,1)</f>
        <v>60000-80000</v>
      </c>
      <c r="AP870" s="5" t="str">
        <f>VLOOKUP(AB870,Sheet3!$L$4:$M$14,2,1)</f>
        <v>5% - 10%</v>
      </c>
    </row>
    <row r="871">
      <c r="A871" s="6">
        <v>579003.0</v>
      </c>
      <c r="B871" s="1" t="s">
        <v>227</v>
      </c>
      <c r="C871" s="1" t="s">
        <v>6903</v>
      </c>
      <c r="D871" s="1" t="s">
        <v>416</v>
      </c>
      <c r="E871" s="1" t="s">
        <v>8786</v>
      </c>
      <c r="F871" s="1" t="s">
        <v>70</v>
      </c>
      <c r="G871" s="1" t="s">
        <v>8787</v>
      </c>
      <c r="H871" s="1" t="s">
        <v>8579</v>
      </c>
      <c r="I871" s="1" t="s">
        <v>8788</v>
      </c>
      <c r="J871" s="1" t="s">
        <v>8789</v>
      </c>
      <c r="K871" s="1" t="s">
        <v>1134</v>
      </c>
      <c r="L871" s="9">
        <v>27231.0</v>
      </c>
      <c r="M871" s="8">
        <v>0.04150462962962963</v>
      </c>
      <c r="N871" s="6">
        <v>43.05</v>
      </c>
      <c r="O871" s="6">
        <v>57.0</v>
      </c>
      <c r="P871" s="9">
        <v>41573.0</v>
      </c>
      <c r="Q871" s="1" t="s">
        <v>52</v>
      </c>
      <c r="R871" s="1" t="s">
        <v>53</v>
      </c>
      <c r="S871" s="6">
        <v>2013.0</v>
      </c>
      <c r="T871" s="6">
        <v>10.0</v>
      </c>
      <c r="U871" s="1" t="s">
        <v>133</v>
      </c>
      <c r="V871" s="1" t="s">
        <v>134</v>
      </c>
      <c r="W871" s="6">
        <v>26.0</v>
      </c>
      <c r="X871" s="1" t="s">
        <v>56</v>
      </c>
      <c r="Y871" s="1" t="s">
        <v>57</v>
      </c>
      <c r="Z871" s="6">
        <v>3.76</v>
      </c>
      <c r="AA871" s="6">
        <v>56599.0</v>
      </c>
      <c r="AB871" s="10">
        <v>0.27</v>
      </c>
      <c r="AC871" s="1" t="s">
        <v>8790</v>
      </c>
      <c r="AD871" s="1" t="s">
        <v>8791</v>
      </c>
      <c r="AE871" s="1" t="s">
        <v>1148</v>
      </c>
      <c r="AF871" s="1" t="s">
        <v>1149</v>
      </c>
      <c r="AG871" s="1" t="s">
        <v>1148</v>
      </c>
      <c r="AH871" s="1" t="s">
        <v>169</v>
      </c>
      <c r="AI871" s="6">
        <v>77098.0</v>
      </c>
      <c r="AJ871" s="1" t="s">
        <v>106</v>
      </c>
      <c r="AK871" s="1" t="s">
        <v>8792</v>
      </c>
      <c r="AL871" s="1" t="s">
        <v>8793</v>
      </c>
      <c r="AM871" s="11" t="str">
        <f>VLOOKUP(N871,Sheet3!$B$4:$C$10,2,1)</f>
        <v>41-50</v>
      </c>
      <c r="AN871" s="13" t="str">
        <f>VLOOKUP(Z871,Sheet3!$F$4:$G$10,2,1)</f>
        <v>&lt; 5</v>
      </c>
      <c r="AO871" s="5" t="str">
        <f>VLOOKUP(AA871,Sheet3!$I$3:$J$16,2,1)</f>
        <v>40000-60000</v>
      </c>
      <c r="AP871" s="5" t="str">
        <f>VLOOKUP(AB871,Sheet3!$L$4:$M$14,2,1)</f>
        <v>26% - 30%</v>
      </c>
    </row>
    <row r="872">
      <c r="A872" s="6">
        <v>249410.0</v>
      </c>
      <c r="B872" s="1" t="s">
        <v>42</v>
      </c>
      <c r="C872" s="1" t="s">
        <v>1828</v>
      </c>
      <c r="D872" s="1" t="s">
        <v>111</v>
      </c>
      <c r="E872" s="1" t="s">
        <v>1270</v>
      </c>
      <c r="F872" s="1" t="s">
        <v>46</v>
      </c>
      <c r="G872" s="1" t="s">
        <v>8794</v>
      </c>
      <c r="H872" s="1" t="s">
        <v>8579</v>
      </c>
      <c r="I872" s="1" t="s">
        <v>8795</v>
      </c>
      <c r="J872" s="1" t="s">
        <v>8796</v>
      </c>
      <c r="K872" s="1" t="s">
        <v>4528</v>
      </c>
      <c r="L872" s="14">
        <v>26246.0</v>
      </c>
      <c r="M872" s="8">
        <v>0.06759259259259259</v>
      </c>
      <c r="N872" s="6">
        <v>45.75</v>
      </c>
      <c r="O872" s="6">
        <v>50.0</v>
      </c>
      <c r="P872" s="9">
        <v>38730.0</v>
      </c>
      <c r="Q872" s="1" t="s">
        <v>96</v>
      </c>
      <c r="R872" s="1" t="s">
        <v>76</v>
      </c>
      <c r="S872" s="6">
        <v>2006.0</v>
      </c>
      <c r="T872" s="6">
        <v>1.0</v>
      </c>
      <c r="U872" s="1" t="s">
        <v>276</v>
      </c>
      <c r="V872" s="1" t="s">
        <v>277</v>
      </c>
      <c r="W872" s="6">
        <v>13.0</v>
      </c>
      <c r="X872" s="1" t="s">
        <v>263</v>
      </c>
      <c r="Y872" s="1" t="s">
        <v>264</v>
      </c>
      <c r="Z872" s="6">
        <v>11.55</v>
      </c>
      <c r="AA872" s="6">
        <v>164007.0</v>
      </c>
      <c r="AB872" s="10">
        <v>0.27</v>
      </c>
      <c r="AC872" s="1" t="s">
        <v>8797</v>
      </c>
      <c r="AD872" s="1" t="s">
        <v>8798</v>
      </c>
      <c r="AE872" s="1" t="s">
        <v>8799</v>
      </c>
      <c r="AF872" s="1" t="s">
        <v>6137</v>
      </c>
      <c r="AG872" s="1" t="s">
        <v>8799</v>
      </c>
      <c r="AH872" s="1" t="s">
        <v>1344</v>
      </c>
      <c r="AI872" s="6">
        <v>6020.0</v>
      </c>
      <c r="AJ872" s="1" t="s">
        <v>224</v>
      </c>
      <c r="AK872" s="1" t="s">
        <v>8800</v>
      </c>
      <c r="AL872" s="1" t="s">
        <v>8801</v>
      </c>
      <c r="AM872" s="11" t="str">
        <f>VLOOKUP(N872,Sheet3!$B$4:$C$10,2,1)</f>
        <v>41-50</v>
      </c>
      <c r="AN872" s="12" t="str">
        <f>VLOOKUP(Z872,Sheet3!$F$4:$G$10,2,1)</f>
        <v>11-20</v>
      </c>
      <c r="AO872" s="5" t="str">
        <f>VLOOKUP(AA872,Sheet3!$I$3:$J$16,2,1)</f>
        <v>160000-180000</v>
      </c>
      <c r="AP872" s="5" t="str">
        <f>VLOOKUP(AB872,Sheet3!$L$4:$M$14,2,1)</f>
        <v>26% - 30%</v>
      </c>
    </row>
    <row r="873">
      <c r="A873" s="6">
        <v>241389.0</v>
      </c>
      <c r="B873" s="1" t="s">
        <v>66</v>
      </c>
      <c r="C873" s="1" t="s">
        <v>2629</v>
      </c>
      <c r="D873" s="1" t="s">
        <v>1300</v>
      </c>
      <c r="E873" s="1" t="s">
        <v>3278</v>
      </c>
      <c r="F873" s="1" t="s">
        <v>70</v>
      </c>
      <c r="G873" s="1" t="s">
        <v>8802</v>
      </c>
      <c r="H873" s="1" t="s">
        <v>8579</v>
      </c>
      <c r="I873" s="1" t="s">
        <v>8803</v>
      </c>
      <c r="J873" s="1" t="s">
        <v>8804</v>
      </c>
      <c r="K873" s="1" t="s">
        <v>5894</v>
      </c>
      <c r="L873" s="9">
        <v>33715.0</v>
      </c>
      <c r="M873" s="8">
        <v>0.06306712962962963</v>
      </c>
      <c r="N873" s="6">
        <v>25.28</v>
      </c>
      <c r="O873" s="6">
        <v>72.0</v>
      </c>
      <c r="P873" s="14">
        <v>42437.0</v>
      </c>
      <c r="Q873" s="1" t="s">
        <v>96</v>
      </c>
      <c r="R873" s="1" t="s">
        <v>76</v>
      </c>
      <c r="S873" s="6">
        <v>2016.0</v>
      </c>
      <c r="T873" s="6">
        <v>3.0</v>
      </c>
      <c r="U873" s="1" t="s">
        <v>97</v>
      </c>
      <c r="V873" s="1" t="s">
        <v>98</v>
      </c>
      <c r="W873" s="6">
        <v>8.0</v>
      </c>
      <c r="X873" s="1" t="s">
        <v>79</v>
      </c>
      <c r="Y873" s="1" t="s">
        <v>80</v>
      </c>
      <c r="Z873" s="6">
        <v>1.39</v>
      </c>
      <c r="AA873" s="6">
        <v>77362.0</v>
      </c>
      <c r="AB873" s="10">
        <v>0.27</v>
      </c>
      <c r="AC873" s="1" t="s">
        <v>8805</v>
      </c>
      <c r="AD873" s="1" t="s">
        <v>8806</v>
      </c>
      <c r="AE873" s="1" t="s">
        <v>8807</v>
      </c>
      <c r="AF873" s="1" t="s">
        <v>3035</v>
      </c>
      <c r="AG873" s="1" t="s">
        <v>8807</v>
      </c>
      <c r="AH873" s="1" t="s">
        <v>156</v>
      </c>
      <c r="AI873" s="6">
        <v>20155.0</v>
      </c>
      <c r="AJ873" s="1" t="s">
        <v>106</v>
      </c>
      <c r="AK873" s="1" t="s">
        <v>8808</v>
      </c>
      <c r="AL873" s="1" t="s">
        <v>8809</v>
      </c>
      <c r="AM873" s="11" t="str">
        <f>VLOOKUP(N873,Sheet3!$B$4:$C$10,2,1)</f>
        <v>21-30</v>
      </c>
      <c r="AN873" s="13" t="str">
        <f>VLOOKUP(Z873,Sheet3!$F$4:$G$10,2,1)</f>
        <v>&lt; 5</v>
      </c>
      <c r="AO873" s="5" t="str">
        <f>VLOOKUP(AA873,Sheet3!$I$3:$J$16,2,1)</f>
        <v>60000-80000</v>
      </c>
      <c r="AP873" s="5" t="str">
        <f>VLOOKUP(AB873,Sheet3!$L$4:$M$14,2,1)</f>
        <v>26% - 30%</v>
      </c>
    </row>
    <row r="874">
      <c r="A874" s="6">
        <v>311405.0</v>
      </c>
      <c r="B874" s="1" t="s">
        <v>42</v>
      </c>
      <c r="C874" s="1" t="s">
        <v>8810</v>
      </c>
      <c r="D874" s="1" t="s">
        <v>554</v>
      </c>
      <c r="E874" s="1" t="s">
        <v>3865</v>
      </c>
      <c r="F874" s="1" t="s">
        <v>46</v>
      </c>
      <c r="G874" s="1" t="s">
        <v>8811</v>
      </c>
      <c r="H874" s="1" t="s">
        <v>8579</v>
      </c>
      <c r="I874" s="1" t="s">
        <v>8812</v>
      </c>
      <c r="J874" s="1" t="s">
        <v>8813</v>
      </c>
      <c r="K874" s="1" t="s">
        <v>2564</v>
      </c>
      <c r="L874" s="9">
        <v>27327.0</v>
      </c>
      <c r="M874" s="8">
        <v>0.41694444444444445</v>
      </c>
      <c r="N874" s="6">
        <v>42.79</v>
      </c>
      <c r="O874" s="6">
        <v>42.0</v>
      </c>
      <c r="P874" s="9">
        <v>40678.0</v>
      </c>
      <c r="Q874" s="1" t="s">
        <v>75</v>
      </c>
      <c r="R874" s="1" t="s">
        <v>76</v>
      </c>
      <c r="S874" s="6">
        <v>2011.0</v>
      </c>
      <c r="T874" s="6">
        <v>5.0</v>
      </c>
      <c r="U874" s="1" t="s">
        <v>294</v>
      </c>
      <c r="V874" s="1" t="s">
        <v>294</v>
      </c>
      <c r="W874" s="6">
        <v>15.0</v>
      </c>
      <c r="X874" s="1" t="s">
        <v>534</v>
      </c>
      <c r="Y874" s="1" t="s">
        <v>535</v>
      </c>
      <c r="Z874" s="6">
        <v>6.21</v>
      </c>
      <c r="AA874" s="6">
        <v>60566.0</v>
      </c>
      <c r="AB874" s="10">
        <v>0.19</v>
      </c>
      <c r="AC874" s="1" t="s">
        <v>8814</v>
      </c>
      <c r="AD874" s="1" t="s">
        <v>8815</v>
      </c>
      <c r="AE874" s="1" t="s">
        <v>1888</v>
      </c>
      <c r="AF874" s="1" t="s">
        <v>8816</v>
      </c>
      <c r="AG874" s="1" t="s">
        <v>1888</v>
      </c>
      <c r="AH874" s="1" t="s">
        <v>1561</v>
      </c>
      <c r="AI874" s="6">
        <v>54819.0</v>
      </c>
      <c r="AJ874" s="1" t="s">
        <v>86</v>
      </c>
      <c r="AK874" s="1" t="s">
        <v>8817</v>
      </c>
      <c r="AL874" s="1" t="s">
        <v>8818</v>
      </c>
      <c r="AM874" s="11" t="str">
        <f>VLOOKUP(N874,Sheet3!$B$4:$C$10,2,1)</f>
        <v>41-50</v>
      </c>
      <c r="AN874" s="12" t="str">
        <f>VLOOKUP(Z874,Sheet3!$F$4:$G$10,2,1)</f>
        <v>5-10</v>
      </c>
      <c r="AO874" s="5" t="str">
        <f>VLOOKUP(AA874,Sheet3!$I$3:$J$16,2,1)</f>
        <v>60000-80000</v>
      </c>
      <c r="AP874" s="5" t="str">
        <f>VLOOKUP(AB874,Sheet3!$L$4:$M$14,2,1)</f>
        <v>16% - 20%</v>
      </c>
    </row>
    <row r="875">
      <c r="A875" s="6">
        <v>796832.0</v>
      </c>
      <c r="B875" s="1" t="s">
        <v>66</v>
      </c>
      <c r="C875" s="1" t="s">
        <v>1101</v>
      </c>
      <c r="D875" s="1" t="s">
        <v>68</v>
      </c>
      <c r="E875" s="1" t="s">
        <v>8819</v>
      </c>
      <c r="F875" s="1" t="s">
        <v>70</v>
      </c>
      <c r="G875" s="1" t="s">
        <v>8820</v>
      </c>
      <c r="H875" s="1" t="s">
        <v>8579</v>
      </c>
      <c r="I875" s="1" t="s">
        <v>8821</v>
      </c>
      <c r="J875" s="1" t="s">
        <v>8822</v>
      </c>
      <c r="K875" s="1" t="s">
        <v>8231</v>
      </c>
      <c r="L875" s="14">
        <v>26271.0</v>
      </c>
      <c r="M875" s="8">
        <v>0.02547453703703704</v>
      </c>
      <c r="N875" s="6">
        <v>45.68</v>
      </c>
      <c r="O875" s="6">
        <v>52.0</v>
      </c>
      <c r="P875" s="9">
        <v>37801.0</v>
      </c>
      <c r="Q875" s="1" t="s">
        <v>75</v>
      </c>
      <c r="R875" s="1" t="s">
        <v>76</v>
      </c>
      <c r="S875" s="6">
        <v>2003.0</v>
      </c>
      <c r="T875" s="6">
        <v>6.0</v>
      </c>
      <c r="U875" s="1" t="s">
        <v>324</v>
      </c>
      <c r="V875" s="1" t="s">
        <v>325</v>
      </c>
      <c r="W875" s="6">
        <v>29.0</v>
      </c>
      <c r="X875" s="1" t="s">
        <v>534</v>
      </c>
      <c r="Y875" s="1" t="s">
        <v>535</v>
      </c>
      <c r="Z875" s="6">
        <v>14.09</v>
      </c>
      <c r="AA875" s="6">
        <v>131141.0</v>
      </c>
      <c r="AB875" s="10">
        <v>0.03</v>
      </c>
      <c r="AC875" s="1" t="s">
        <v>8823</v>
      </c>
      <c r="AD875" s="1" t="s">
        <v>8824</v>
      </c>
      <c r="AE875" s="1" t="s">
        <v>8825</v>
      </c>
      <c r="AF875" s="1" t="s">
        <v>2525</v>
      </c>
      <c r="AG875" s="1" t="s">
        <v>8825</v>
      </c>
      <c r="AH875" s="1" t="s">
        <v>356</v>
      </c>
      <c r="AI875" s="6">
        <v>12052.0</v>
      </c>
      <c r="AJ875" s="1" t="s">
        <v>224</v>
      </c>
      <c r="AK875" s="1" t="s">
        <v>8826</v>
      </c>
      <c r="AL875" s="1" t="s">
        <v>8827</v>
      </c>
      <c r="AM875" s="11" t="str">
        <f>VLOOKUP(N875,Sheet3!$B$4:$C$10,2,1)</f>
        <v>41-50</v>
      </c>
      <c r="AN875" s="12" t="str">
        <f>VLOOKUP(Z875,Sheet3!$F$4:$G$10,2,1)</f>
        <v>11-20</v>
      </c>
      <c r="AO875" s="5" t="str">
        <f>VLOOKUP(AA875,Sheet3!$I$3:$J$16,2,1)</f>
        <v>120000-140000</v>
      </c>
      <c r="AP875" s="5" t="str">
        <f>VLOOKUP(AB875,Sheet3!$L$4:$M$14,2,1)</f>
        <v>&lt; 5%</v>
      </c>
    </row>
    <row r="876">
      <c r="A876" s="6">
        <v>976347.0</v>
      </c>
      <c r="B876" s="1" t="s">
        <v>42</v>
      </c>
      <c r="C876" s="1" t="s">
        <v>3803</v>
      </c>
      <c r="D876" s="1" t="s">
        <v>861</v>
      </c>
      <c r="E876" s="1" t="s">
        <v>1282</v>
      </c>
      <c r="F876" s="1" t="s">
        <v>46</v>
      </c>
      <c r="G876" s="1" t="s">
        <v>8828</v>
      </c>
      <c r="H876" s="1" t="s">
        <v>8579</v>
      </c>
      <c r="I876" s="1" t="s">
        <v>8829</v>
      </c>
      <c r="J876" s="1" t="s">
        <v>8830</v>
      </c>
      <c r="K876" s="1" t="s">
        <v>6178</v>
      </c>
      <c r="L876" s="14">
        <v>33517.0</v>
      </c>
      <c r="M876" s="8">
        <v>0.8291782407407408</v>
      </c>
      <c r="N876" s="6">
        <v>25.83</v>
      </c>
      <c r="O876" s="6">
        <v>42.0</v>
      </c>
      <c r="P876" s="14">
        <v>42193.0</v>
      </c>
      <c r="Q876" s="1" t="s">
        <v>308</v>
      </c>
      <c r="R876" s="1" t="s">
        <v>53</v>
      </c>
      <c r="S876" s="6">
        <v>2015.0</v>
      </c>
      <c r="T876" s="6">
        <v>7.0</v>
      </c>
      <c r="U876" s="1" t="s">
        <v>366</v>
      </c>
      <c r="V876" s="1" t="s">
        <v>367</v>
      </c>
      <c r="W876" s="6">
        <v>8.0</v>
      </c>
      <c r="X876" s="1" t="s">
        <v>278</v>
      </c>
      <c r="Y876" s="1" t="s">
        <v>279</v>
      </c>
      <c r="Z876" s="6">
        <v>2.06</v>
      </c>
      <c r="AA876" s="6">
        <v>48858.0</v>
      </c>
      <c r="AB876" s="10">
        <v>0.25</v>
      </c>
      <c r="AC876" s="1" t="s">
        <v>8831</v>
      </c>
      <c r="AD876" s="1" t="s">
        <v>8832</v>
      </c>
      <c r="AE876" s="1" t="s">
        <v>8833</v>
      </c>
      <c r="AF876" s="1" t="s">
        <v>2686</v>
      </c>
      <c r="AG876" s="1" t="s">
        <v>8833</v>
      </c>
      <c r="AH876" s="1" t="s">
        <v>1032</v>
      </c>
      <c r="AI876" s="6">
        <v>66734.0</v>
      </c>
      <c r="AJ876" s="1" t="s">
        <v>86</v>
      </c>
      <c r="AK876" s="1" t="s">
        <v>8834</v>
      </c>
      <c r="AL876" s="1" t="s">
        <v>8835</v>
      </c>
      <c r="AM876" s="11" t="str">
        <f>VLOOKUP(N876,Sheet3!$B$4:$C$10,2,1)</f>
        <v>21-30</v>
      </c>
      <c r="AN876" s="13" t="str">
        <f>VLOOKUP(Z876,Sheet3!$F$4:$G$10,2,1)</f>
        <v>&lt; 5</v>
      </c>
      <c r="AO876" s="5" t="str">
        <f>VLOOKUP(AA876,Sheet3!$I$3:$J$16,2,1)</f>
        <v>40000-60000</v>
      </c>
      <c r="AP876" s="5" t="str">
        <f>VLOOKUP(AB876,Sheet3!$L$4:$M$14,2,1)</f>
        <v>21% - 25%</v>
      </c>
    </row>
    <row r="877">
      <c r="A877" s="6">
        <v>363748.0</v>
      </c>
      <c r="B877" s="1" t="s">
        <v>66</v>
      </c>
      <c r="C877" s="1" t="s">
        <v>671</v>
      </c>
      <c r="D877" s="1" t="s">
        <v>288</v>
      </c>
      <c r="E877" s="1" t="s">
        <v>1148</v>
      </c>
      <c r="F877" s="1" t="s">
        <v>70</v>
      </c>
      <c r="G877" s="1" t="s">
        <v>8836</v>
      </c>
      <c r="H877" s="1" t="s">
        <v>8579</v>
      </c>
      <c r="I877" s="1" t="s">
        <v>8837</v>
      </c>
      <c r="J877" s="1" t="s">
        <v>8838</v>
      </c>
      <c r="K877" s="1" t="s">
        <v>8839</v>
      </c>
      <c r="L877" s="9">
        <v>28877.0</v>
      </c>
      <c r="M877" s="8">
        <v>0.1860300925925926</v>
      </c>
      <c r="N877" s="6">
        <v>38.54</v>
      </c>
      <c r="O877" s="6">
        <v>69.0</v>
      </c>
      <c r="P877" s="14">
        <v>41982.0</v>
      </c>
      <c r="Q877" s="1" t="s">
        <v>52</v>
      </c>
      <c r="R877" s="1" t="s">
        <v>53</v>
      </c>
      <c r="S877" s="6">
        <v>2014.0</v>
      </c>
      <c r="T877" s="6">
        <v>12.0</v>
      </c>
      <c r="U877" s="1" t="s">
        <v>54</v>
      </c>
      <c r="V877" s="1" t="s">
        <v>55</v>
      </c>
      <c r="W877" s="6">
        <v>9.0</v>
      </c>
      <c r="X877" s="1" t="s">
        <v>79</v>
      </c>
      <c r="Y877" s="1" t="s">
        <v>80</v>
      </c>
      <c r="Z877" s="6">
        <v>2.64</v>
      </c>
      <c r="AA877" s="6">
        <v>137375.0</v>
      </c>
      <c r="AB877" s="10">
        <v>0.2</v>
      </c>
      <c r="AC877" s="1" t="s">
        <v>8840</v>
      </c>
      <c r="AD877" s="1" t="s">
        <v>8841</v>
      </c>
      <c r="AE877" s="1" t="s">
        <v>8842</v>
      </c>
      <c r="AF877" s="1" t="s">
        <v>5217</v>
      </c>
      <c r="AG877" s="1" t="s">
        <v>8842</v>
      </c>
      <c r="AH877" s="1" t="s">
        <v>385</v>
      </c>
      <c r="AI877" s="6">
        <v>98930.0</v>
      </c>
      <c r="AJ877" s="1" t="s">
        <v>63</v>
      </c>
      <c r="AK877" s="1" t="s">
        <v>8843</v>
      </c>
      <c r="AL877" s="1" t="s">
        <v>8844</v>
      </c>
      <c r="AM877" s="11" t="str">
        <f>VLOOKUP(N877,Sheet3!$B$4:$C$10,2,1)</f>
        <v>31-40</v>
      </c>
      <c r="AN877" s="13" t="str">
        <f>VLOOKUP(Z877,Sheet3!$F$4:$G$10,2,1)</f>
        <v>&lt; 5</v>
      </c>
      <c r="AO877" s="5" t="str">
        <f>VLOOKUP(AA877,Sheet3!$I$3:$J$16,2,1)</f>
        <v>120000-140000</v>
      </c>
      <c r="AP877" s="5" t="str">
        <f>VLOOKUP(AB877,Sheet3!$L$4:$M$14,2,1)</f>
        <v>16% - 20%</v>
      </c>
    </row>
    <row r="878">
      <c r="A878" s="6">
        <v>368157.0</v>
      </c>
      <c r="B878" s="1" t="s">
        <v>125</v>
      </c>
      <c r="C878" s="1" t="s">
        <v>8845</v>
      </c>
      <c r="D878" s="1" t="s">
        <v>318</v>
      </c>
      <c r="E878" s="1" t="s">
        <v>116</v>
      </c>
      <c r="F878" s="1" t="s">
        <v>46</v>
      </c>
      <c r="G878" s="1" t="s">
        <v>8846</v>
      </c>
      <c r="H878" s="1" t="s">
        <v>8579</v>
      </c>
      <c r="I878" s="1" t="s">
        <v>8847</v>
      </c>
      <c r="J878" s="1" t="s">
        <v>8848</v>
      </c>
      <c r="K878" s="1" t="s">
        <v>2402</v>
      </c>
      <c r="L878" s="9">
        <v>34629.0</v>
      </c>
      <c r="M878" s="8">
        <v>0.3622800925925926</v>
      </c>
      <c r="N878" s="6">
        <v>22.78</v>
      </c>
      <c r="O878" s="6">
        <v>57.0</v>
      </c>
      <c r="P878" s="9">
        <v>42664.0</v>
      </c>
      <c r="Q878" s="1" t="s">
        <v>52</v>
      </c>
      <c r="R878" s="1" t="s">
        <v>53</v>
      </c>
      <c r="S878" s="6">
        <v>2016.0</v>
      </c>
      <c r="T878" s="6">
        <v>10.0</v>
      </c>
      <c r="U878" s="1" t="s">
        <v>133</v>
      </c>
      <c r="V878" s="1" t="s">
        <v>134</v>
      </c>
      <c r="W878" s="6">
        <v>21.0</v>
      </c>
      <c r="X878" s="1" t="s">
        <v>263</v>
      </c>
      <c r="Y878" s="1" t="s">
        <v>264</v>
      </c>
      <c r="Z878" s="6">
        <v>0.77</v>
      </c>
      <c r="AA878" s="6">
        <v>136817.0</v>
      </c>
      <c r="AB878" s="10">
        <v>0.28</v>
      </c>
      <c r="AC878" s="1" t="s">
        <v>8849</v>
      </c>
      <c r="AD878" s="1" t="s">
        <v>8850</v>
      </c>
      <c r="AE878" s="1" t="s">
        <v>963</v>
      </c>
      <c r="AF878" s="1" t="s">
        <v>3365</v>
      </c>
      <c r="AG878" s="1" t="s">
        <v>963</v>
      </c>
      <c r="AH878" s="1" t="s">
        <v>2483</v>
      </c>
      <c r="AI878" s="6">
        <v>29106.0</v>
      </c>
      <c r="AJ878" s="1" t="s">
        <v>106</v>
      </c>
      <c r="AK878" s="1" t="s">
        <v>8851</v>
      </c>
      <c r="AL878" s="1" t="s">
        <v>8852</v>
      </c>
      <c r="AM878" s="11" t="str">
        <f>VLOOKUP(N878,Sheet3!$B$4:$C$10,2,1)</f>
        <v>21-30</v>
      </c>
      <c r="AN878" s="13" t="str">
        <f>VLOOKUP(Z878,Sheet3!$F$4:$G$10,2,1)</f>
        <v>&lt; 5</v>
      </c>
      <c r="AO878" s="5" t="str">
        <f>VLOOKUP(AA878,Sheet3!$I$3:$J$16,2,1)</f>
        <v>120000-140000</v>
      </c>
      <c r="AP878" s="5" t="str">
        <f>VLOOKUP(AB878,Sheet3!$L$4:$M$14,2,1)</f>
        <v>26% - 30%</v>
      </c>
    </row>
    <row r="879">
      <c r="A879" s="6">
        <v>466203.0</v>
      </c>
      <c r="B879" s="1" t="s">
        <v>66</v>
      </c>
      <c r="C879" s="1" t="s">
        <v>8853</v>
      </c>
      <c r="D879" s="1" t="s">
        <v>466</v>
      </c>
      <c r="E879" s="1" t="s">
        <v>4977</v>
      </c>
      <c r="F879" s="1" t="s">
        <v>70</v>
      </c>
      <c r="G879" s="1" t="s">
        <v>8854</v>
      </c>
      <c r="H879" s="1" t="s">
        <v>8579</v>
      </c>
      <c r="I879" s="1" t="s">
        <v>8855</v>
      </c>
      <c r="J879" s="1" t="s">
        <v>8856</v>
      </c>
      <c r="K879" s="1" t="s">
        <v>8857</v>
      </c>
      <c r="L879" s="9">
        <v>22820.0</v>
      </c>
      <c r="M879" s="8">
        <v>0.9598032407407407</v>
      </c>
      <c r="N879" s="6">
        <v>55.13</v>
      </c>
      <c r="O879" s="6">
        <v>79.0</v>
      </c>
      <c r="P879" s="9">
        <v>39130.0</v>
      </c>
      <c r="Q879" s="1" t="s">
        <v>96</v>
      </c>
      <c r="R879" s="1" t="s">
        <v>76</v>
      </c>
      <c r="S879" s="6">
        <v>2007.0</v>
      </c>
      <c r="T879" s="6">
        <v>2.0</v>
      </c>
      <c r="U879" s="1" t="s">
        <v>117</v>
      </c>
      <c r="V879" s="1" t="s">
        <v>118</v>
      </c>
      <c r="W879" s="6">
        <v>17.0</v>
      </c>
      <c r="X879" s="1" t="s">
        <v>56</v>
      </c>
      <c r="Y879" s="1" t="s">
        <v>57</v>
      </c>
      <c r="Z879" s="6">
        <v>10.45</v>
      </c>
      <c r="AA879" s="6">
        <v>133522.0</v>
      </c>
      <c r="AB879" s="10">
        <v>0.25</v>
      </c>
      <c r="AC879" s="1" t="s">
        <v>8858</v>
      </c>
      <c r="AD879" s="1" t="s">
        <v>8859</v>
      </c>
      <c r="AE879" s="1" t="s">
        <v>8860</v>
      </c>
      <c r="AF879" s="1" t="s">
        <v>4840</v>
      </c>
      <c r="AG879" s="1" t="s">
        <v>8860</v>
      </c>
      <c r="AH879" s="1" t="s">
        <v>399</v>
      </c>
      <c r="AI879" s="6">
        <v>71485.0</v>
      </c>
      <c r="AJ879" s="1" t="s">
        <v>106</v>
      </c>
      <c r="AK879" s="1" t="s">
        <v>8861</v>
      </c>
      <c r="AL879" s="1" t="s">
        <v>8862</v>
      </c>
      <c r="AM879" s="11" t="str">
        <f>VLOOKUP(N879,Sheet3!$B$4:$C$10,2,1)</f>
        <v>51-60</v>
      </c>
      <c r="AN879" s="12" t="str">
        <f>VLOOKUP(Z879,Sheet3!$F$4:$G$10,2,1)</f>
        <v>5-10</v>
      </c>
      <c r="AO879" s="5" t="str">
        <f>VLOOKUP(AA879,Sheet3!$I$3:$J$16,2,1)</f>
        <v>120000-140000</v>
      </c>
      <c r="AP879" s="5" t="str">
        <f>VLOOKUP(AB879,Sheet3!$L$4:$M$14,2,1)</f>
        <v>21% - 25%</v>
      </c>
    </row>
    <row r="880">
      <c r="A880" s="6">
        <v>893798.0</v>
      </c>
      <c r="B880" s="1" t="s">
        <v>42</v>
      </c>
      <c r="C880" s="1" t="s">
        <v>8863</v>
      </c>
      <c r="D880" s="1" t="s">
        <v>318</v>
      </c>
      <c r="E880" s="1" t="s">
        <v>922</v>
      </c>
      <c r="F880" s="1" t="s">
        <v>46</v>
      </c>
      <c r="G880" s="1" t="s">
        <v>8864</v>
      </c>
      <c r="H880" s="1" t="s">
        <v>8579</v>
      </c>
      <c r="I880" s="1" t="s">
        <v>8865</v>
      </c>
      <c r="J880" s="1" t="s">
        <v>8866</v>
      </c>
      <c r="K880" s="1" t="s">
        <v>1934</v>
      </c>
      <c r="L880" s="9">
        <v>34838.0</v>
      </c>
      <c r="M880" s="8">
        <v>0.01587962962962963</v>
      </c>
      <c r="N880" s="6">
        <v>22.21</v>
      </c>
      <c r="O880" s="6">
        <v>59.0</v>
      </c>
      <c r="P880" s="14">
        <v>42562.0</v>
      </c>
      <c r="Q880" s="1" t="s">
        <v>308</v>
      </c>
      <c r="R880" s="1" t="s">
        <v>53</v>
      </c>
      <c r="S880" s="6">
        <v>2016.0</v>
      </c>
      <c r="T880" s="6">
        <v>7.0</v>
      </c>
      <c r="U880" s="1" t="s">
        <v>366</v>
      </c>
      <c r="V880" s="1" t="s">
        <v>367</v>
      </c>
      <c r="W880" s="6">
        <v>11.0</v>
      </c>
      <c r="X880" s="1" t="s">
        <v>99</v>
      </c>
      <c r="Y880" s="1" t="s">
        <v>100</v>
      </c>
      <c r="Z880" s="6">
        <v>1.05</v>
      </c>
      <c r="AA880" s="6">
        <v>188317.0</v>
      </c>
      <c r="AB880" s="10">
        <v>0.01</v>
      </c>
      <c r="AC880" s="1" t="s">
        <v>8867</v>
      </c>
      <c r="AD880" s="1" t="s">
        <v>8868</v>
      </c>
      <c r="AE880" s="1" t="s">
        <v>8869</v>
      </c>
      <c r="AF880" s="1" t="s">
        <v>8870</v>
      </c>
      <c r="AG880" s="1" t="s">
        <v>8869</v>
      </c>
      <c r="AH880" s="1" t="s">
        <v>169</v>
      </c>
      <c r="AI880" s="6">
        <v>79850.0</v>
      </c>
      <c r="AJ880" s="1" t="s">
        <v>106</v>
      </c>
      <c r="AK880" s="1" t="s">
        <v>931</v>
      </c>
      <c r="AL880" s="1" t="s">
        <v>8871</v>
      </c>
      <c r="AM880" s="11" t="str">
        <f>VLOOKUP(N880,Sheet3!$B$4:$C$10,2,1)</f>
        <v>21-30</v>
      </c>
      <c r="AN880" s="13" t="str">
        <f>VLOOKUP(Z880,Sheet3!$F$4:$G$10,2,1)</f>
        <v>&lt; 5</v>
      </c>
      <c r="AO880" s="5" t="str">
        <f>VLOOKUP(AA880,Sheet3!$I$3:$J$16,2,1)</f>
        <v>180000-200000</v>
      </c>
      <c r="AP880" s="5" t="str">
        <f>VLOOKUP(AB880,Sheet3!$L$4:$M$14,2,1)</f>
        <v>&lt; 5%</v>
      </c>
    </row>
    <row r="881">
      <c r="A881" s="6">
        <v>501368.0</v>
      </c>
      <c r="B881" s="1" t="s">
        <v>66</v>
      </c>
      <c r="C881" s="1" t="s">
        <v>8872</v>
      </c>
      <c r="D881" s="1" t="s">
        <v>257</v>
      </c>
      <c r="E881" s="1" t="s">
        <v>1245</v>
      </c>
      <c r="F881" s="1" t="s">
        <v>70</v>
      </c>
      <c r="G881" s="1" t="s">
        <v>8873</v>
      </c>
      <c r="H881" s="1" t="s">
        <v>8579</v>
      </c>
      <c r="I881" s="1" t="s">
        <v>8874</v>
      </c>
      <c r="J881" s="1" t="s">
        <v>8875</v>
      </c>
      <c r="K881" s="1" t="s">
        <v>1181</v>
      </c>
      <c r="L881" s="7">
        <v>33217.0</v>
      </c>
      <c r="M881" s="8">
        <v>0.5523842592592593</v>
      </c>
      <c r="N881" s="6">
        <v>26.65</v>
      </c>
      <c r="O881" s="6">
        <v>65.0</v>
      </c>
      <c r="P881" s="9">
        <v>41873.0</v>
      </c>
      <c r="Q881" s="1" t="s">
        <v>308</v>
      </c>
      <c r="R881" s="1" t="s">
        <v>53</v>
      </c>
      <c r="S881" s="6">
        <v>2014.0</v>
      </c>
      <c r="T881" s="6">
        <v>8.0</v>
      </c>
      <c r="U881" s="1" t="s">
        <v>433</v>
      </c>
      <c r="V881" s="1" t="s">
        <v>434</v>
      </c>
      <c r="W881" s="6">
        <v>22.0</v>
      </c>
      <c r="X881" s="1" t="s">
        <v>263</v>
      </c>
      <c r="Y881" s="1" t="s">
        <v>264</v>
      </c>
      <c r="Z881" s="6">
        <v>2.93</v>
      </c>
      <c r="AA881" s="6">
        <v>119198.0</v>
      </c>
      <c r="AB881" s="10">
        <v>0.28</v>
      </c>
      <c r="AC881" s="1" t="s">
        <v>8876</v>
      </c>
      <c r="AD881" s="1" t="s">
        <v>8877</v>
      </c>
      <c r="AE881" s="1" t="s">
        <v>4870</v>
      </c>
      <c r="AF881" s="1" t="s">
        <v>4871</v>
      </c>
      <c r="AG881" s="1" t="s">
        <v>4870</v>
      </c>
      <c r="AH881" s="1" t="s">
        <v>356</v>
      </c>
      <c r="AI881" s="6">
        <v>10165.0</v>
      </c>
      <c r="AJ881" s="1" t="s">
        <v>224</v>
      </c>
      <c r="AK881" s="1" t="s">
        <v>8878</v>
      </c>
      <c r="AL881" s="1" t="s">
        <v>8879</v>
      </c>
      <c r="AM881" s="11" t="str">
        <f>VLOOKUP(N881,Sheet3!$B$4:$C$10,2,1)</f>
        <v>21-30</v>
      </c>
      <c r="AN881" s="13" t="str">
        <f>VLOOKUP(Z881,Sheet3!$F$4:$G$10,2,1)</f>
        <v>&lt; 5</v>
      </c>
      <c r="AO881" s="5" t="str">
        <f>VLOOKUP(AA881,Sheet3!$I$3:$J$16,2,1)</f>
        <v>100000-120000</v>
      </c>
      <c r="AP881" s="5" t="str">
        <f>VLOOKUP(AB881,Sheet3!$L$4:$M$14,2,1)</f>
        <v>26% - 30%</v>
      </c>
    </row>
    <row r="882">
      <c r="A882" s="6">
        <v>507594.0</v>
      </c>
      <c r="B882" s="1" t="s">
        <v>42</v>
      </c>
      <c r="C882" s="1" t="s">
        <v>8880</v>
      </c>
      <c r="D882" s="1" t="s">
        <v>1663</v>
      </c>
      <c r="E882" s="1" t="s">
        <v>3431</v>
      </c>
      <c r="F882" s="1" t="s">
        <v>46</v>
      </c>
      <c r="G882" s="1" t="s">
        <v>8881</v>
      </c>
      <c r="H882" s="1" t="s">
        <v>8579</v>
      </c>
      <c r="I882" s="1" t="s">
        <v>8882</v>
      </c>
      <c r="J882" s="1" t="s">
        <v>8883</v>
      </c>
      <c r="K882" s="1" t="s">
        <v>6941</v>
      </c>
      <c r="L882" s="14">
        <v>34218.0</v>
      </c>
      <c r="M882" s="8">
        <v>0.5471643518518519</v>
      </c>
      <c r="N882" s="6">
        <v>23.91</v>
      </c>
      <c r="O882" s="6">
        <v>41.0</v>
      </c>
      <c r="P882" s="9">
        <v>42482.0</v>
      </c>
      <c r="Q882" s="1" t="s">
        <v>75</v>
      </c>
      <c r="R882" s="1" t="s">
        <v>76</v>
      </c>
      <c r="S882" s="6">
        <v>2016.0</v>
      </c>
      <c r="T882" s="6">
        <v>4.0</v>
      </c>
      <c r="U882" s="1" t="s">
        <v>77</v>
      </c>
      <c r="V882" s="1" t="s">
        <v>78</v>
      </c>
      <c r="W882" s="6">
        <v>22.0</v>
      </c>
      <c r="X882" s="1" t="s">
        <v>263</v>
      </c>
      <c r="Y882" s="1" t="s">
        <v>264</v>
      </c>
      <c r="Z882" s="6">
        <v>1.27</v>
      </c>
      <c r="AA882" s="6">
        <v>150763.0</v>
      </c>
      <c r="AB882" s="10">
        <v>0.13</v>
      </c>
      <c r="AC882" s="1" t="s">
        <v>8884</v>
      </c>
      <c r="AD882" s="1" t="s">
        <v>8885</v>
      </c>
      <c r="AE882" s="1" t="s">
        <v>8886</v>
      </c>
      <c r="AF882" s="1" t="s">
        <v>8887</v>
      </c>
      <c r="AG882" s="1" t="s">
        <v>8886</v>
      </c>
      <c r="AH882" s="1" t="s">
        <v>238</v>
      </c>
      <c r="AI882" s="6">
        <v>96117.0</v>
      </c>
      <c r="AJ882" s="1" t="s">
        <v>63</v>
      </c>
      <c r="AK882" s="1" t="s">
        <v>8888</v>
      </c>
      <c r="AL882" s="1" t="s">
        <v>8889</v>
      </c>
      <c r="AM882" s="11" t="str">
        <f>VLOOKUP(N882,Sheet3!$B$4:$C$10,2,1)</f>
        <v>21-30</v>
      </c>
      <c r="AN882" s="13" t="str">
        <f>VLOOKUP(Z882,Sheet3!$F$4:$G$10,2,1)</f>
        <v>&lt; 5</v>
      </c>
      <c r="AO882" s="5" t="str">
        <f>VLOOKUP(AA882,Sheet3!$I$3:$J$16,2,1)</f>
        <v>140000-160000</v>
      </c>
      <c r="AP882" s="5" t="str">
        <f>VLOOKUP(AB882,Sheet3!$L$4:$M$14,2,1)</f>
        <v>11% - 15%</v>
      </c>
    </row>
    <row r="883">
      <c r="A883" s="6">
        <v>390989.0</v>
      </c>
      <c r="B883" s="1" t="s">
        <v>89</v>
      </c>
      <c r="C883" s="1" t="s">
        <v>8890</v>
      </c>
      <c r="D883" s="1" t="s">
        <v>111</v>
      </c>
      <c r="E883" s="1" t="s">
        <v>684</v>
      </c>
      <c r="F883" s="1" t="s">
        <v>46</v>
      </c>
      <c r="G883" s="1" t="s">
        <v>8891</v>
      </c>
      <c r="H883" s="1" t="s">
        <v>8579</v>
      </c>
      <c r="I883" s="1" t="s">
        <v>8892</v>
      </c>
      <c r="J883" s="1" t="s">
        <v>8893</v>
      </c>
      <c r="K883" s="1" t="s">
        <v>491</v>
      </c>
      <c r="L883" s="9">
        <v>34041.0</v>
      </c>
      <c r="M883" s="8">
        <v>0.4870138888888889</v>
      </c>
      <c r="N883" s="6">
        <v>24.39</v>
      </c>
      <c r="O883" s="6">
        <v>46.0</v>
      </c>
      <c r="P883" s="9">
        <v>42334.0</v>
      </c>
      <c r="Q883" s="1" t="s">
        <v>52</v>
      </c>
      <c r="R883" s="1" t="s">
        <v>53</v>
      </c>
      <c r="S883" s="6">
        <v>2015.0</v>
      </c>
      <c r="T883" s="6">
        <v>11.0</v>
      </c>
      <c r="U883" s="1" t="s">
        <v>148</v>
      </c>
      <c r="V883" s="1" t="s">
        <v>149</v>
      </c>
      <c r="W883" s="6">
        <v>26.0</v>
      </c>
      <c r="X883" s="1" t="s">
        <v>150</v>
      </c>
      <c r="Y883" s="1" t="s">
        <v>151</v>
      </c>
      <c r="Z883" s="6">
        <v>1.67</v>
      </c>
      <c r="AA883" s="6">
        <v>93441.0</v>
      </c>
      <c r="AB883" s="10">
        <v>0.19</v>
      </c>
      <c r="AC883" s="1" t="s">
        <v>8894</v>
      </c>
      <c r="AD883" s="1" t="s">
        <v>8895</v>
      </c>
      <c r="AE883" s="1" t="s">
        <v>8612</v>
      </c>
      <c r="AF883" s="1" t="s">
        <v>5577</v>
      </c>
      <c r="AG883" s="1" t="s">
        <v>8612</v>
      </c>
      <c r="AH883" s="1" t="s">
        <v>223</v>
      </c>
      <c r="AI883" s="6">
        <v>17177.0</v>
      </c>
      <c r="AJ883" s="1" t="s">
        <v>224</v>
      </c>
      <c r="AK883" s="1" t="s">
        <v>8896</v>
      </c>
      <c r="AL883" s="1" t="s">
        <v>8897</v>
      </c>
      <c r="AM883" s="11" t="str">
        <f>VLOOKUP(N883,Sheet3!$B$4:$C$10,2,1)</f>
        <v>21-30</v>
      </c>
      <c r="AN883" s="13" t="str">
        <f>VLOOKUP(Z883,Sheet3!$F$4:$G$10,2,1)</f>
        <v>&lt; 5</v>
      </c>
      <c r="AO883" s="5" t="str">
        <f>VLOOKUP(AA883,Sheet3!$I$3:$J$16,2,1)</f>
        <v>80000-100000</v>
      </c>
      <c r="AP883" s="5" t="str">
        <f>VLOOKUP(AB883,Sheet3!$L$4:$M$14,2,1)</f>
        <v>16% - 20%</v>
      </c>
    </row>
    <row r="884">
      <c r="A884" s="6">
        <v>312364.0</v>
      </c>
      <c r="B884" s="1" t="s">
        <v>109</v>
      </c>
      <c r="C884" s="1" t="s">
        <v>8405</v>
      </c>
      <c r="D884" s="1" t="s">
        <v>318</v>
      </c>
      <c r="E884" s="1" t="s">
        <v>7498</v>
      </c>
      <c r="F884" s="1" t="s">
        <v>46</v>
      </c>
      <c r="G884" s="1" t="s">
        <v>8898</v>
      </c>
      <c r="H884" s="1" t="s">
        <v>8579</v>
      </c>
      <c r="I884" s="1" t="s">
        <v>8899</v>
      </c>
      <c r="J884" s="1" t="s">
        <v>8900</v>
      </c>
      <c r="K884" s="1" t="s">
        <v>2786</v>
      </c>
      <c r="L884" s="7">
        <v>28075.0</v>
      </c>
      <c r="M884" s="8">
        <v>0.7521064814814815</v>
      </c>
      <c r="N884" s="6">
        <v>40.74</v>
      </c>
      <c r="O884" s="6">
        <v>47.0</v>
      </c>
      <c r="P884" s="9">
        <v>36915.0</v>
      </c>
      <c r="Q884" s="1" t="s">
        <v>96</v>
      </c>
      <c r="R884" s="1" t="s">
        <v>76</v>
      </c>
      <c r="S884" s="6">
        <v>2001.0</v>
      </c>
      <c r="T884" s="6">
        <v>1.0</v>
      </c>
      <c r="U884" s="1" t="s">
        <v>276</v>
      </c>
      <c r="V884" s="1" t="s">
        <v>277</v>
      </c>
      <c r="W884" s="6">
        <v>24.0</v>
      </c>
      <c r="X884" s="1" t="s">
        <v>278</v>
      </c>
      <c r="Y884" s="1" t="s">
        <v>279</v>
      </c>
      <c r="Z884" s="6">
        <v>16.52</v>
      </c>
      <c r="AA884" s="6">
        <v>183288.0</v>
      </c>
      <c r="AB884" s="10">
        <v>0.0</v>
      </c>
      <c r="AC884" s="1" t="s">
        <v>8901</v>
      </c>
      <c r="AD884" s="1" t="s">
        <v>8902</v>
      </c>
      <c r="AE884" s="1" t="s">
        <v>8903</v>
      </c>
      <c r="AF884" s="1" t="s">
        <v>8904</v>
      </c>
      <c r="AG884" s="1" t="s">
        <v>8903</v>
      </c>
      <c r="AH884" s="1" t="s">
        <v>238</v>
      </c>
      <c r="AI884" s="6">
        <v>95415.0</v>
      </c>
      <c r="AJ884" s="1" t="s">
        <v>63</v>
      </c>
      <c r="AK884" s="1" t="s">
        <v>8905</v>
      </c>
      <c r="AL884" s="1" t="s">
        <v>8906</v>
      </c>
      <c r="AM884" s="11" t="str">
        <f>VLOOKUP(N884,Sheet3!$B$4:$C$10,2,1)</f>
        <v>31-40</v>
      </c>
      <c r="AN884" s="12" t="str">
        <f>VLOOKUP(Z884,Sheet3!$F$4:$G$10,2,1)</f>
        <v>11-20</v>
      </c>
      <c r="AO884" s="5" t="str">
        <f>VLOOKUP(AA884,Sheet3!$I$3:$J$16,2,1)</f>
        <v>180000-200000</v>
      </c>
      <c r="AP884" s="5" t="str">
        <f>VLOOKUP(AB884,Sheet3!$L$4:$M$14,2,1)</f>
        <v>&lt; 5%</v>
      </c>
    </row>
    <row r="885">
      <c r="A885" s="6">
        <v>444670.0</v>
      </c>
      <c r="B885" s="1" t="s">
        <v>66</v>
      </c>
      <c r="C885" s="1" t="s">
        <v>8907</v>
      </c>
      <c r="D885" s="1" t="s">
        <v>683</v>
      </c>
      <c r="E885" s="1" t="s">
        <v>8908</v>
      </c>
      <c r="F885" s="1" t="s">
        <v>70</v>
      </c>
      <c r="G885" s="1" t="s">
        <v>8909</v>
      </c>
      <c r="H885" s="1" t="s">
        <v>8579</v>
      </c>
      <c r="I885" s="1" t="s">
        <v>8910</v>
      </c>
      <c r="J885" s="1" t="s">
        <v>8911</v>
      </c>
      <c r="K885" s="1" t="s">
        <v>6671</v>
      </c>
      <c r="L885" s="9">
        <v>27528.0</v>
      </c>
      <c r="M885" s="8">
        <v>0.2295949074074074</v>
      </c>
      <c r="N885" s="6">
        <v>42.24</v>
      </c>
      <c r="O885" s="6">
        <v>51.0</v>
      </c>
      <c r="P885" s="9">
        <v>36087.0</v>
      </c>
      <c r="Q885" s="1" t="s">
        <v>52</v>
      </c>
      <c r="R885" s="1" t="s">
        <v>53</v>
      </c>
      <c r="S885" s="6">
        <v>1998.0</v>
      </c>
      <c r="T885" s="6">
        <v>10.0</v>
      </c>
      <c r="U885" s="1" t="s">
        <v>133</v>
      </c>
      <c r="V885" s="1" t="s">
        <v>134</v>
      </c>
      <c r="W885" s="6">
        <v>19.0</v>
      </c>
      <c r="X885" s="1" t="s">
        <v>99</v>
      </c>
      <c r="Y885" s="1" t="s">
        <v>100</v>
      </c>
      <c r="Z885" s="6">
        <v>18.79</v>
      </c>
      <c r="AA885" s="6">
        <v>70105.0</v>
      </c>
      <c r="AB885" s="10">
        <v>0.08</v>
      </c>
      <c r="AC885" s="1" t="s">
        <v>8912</v>
      </c>
      <c r="AD885" s="1" t="s">
        <v>8913</v>
      </c>
      <c r="AE885" s="1" t="s">
        <v>8914</v>
      </c>
      <c r="AF885" s="1" t="s">
        <v>6664</v>
      </c>
      <c r="AG885" s="1" t="s">
        <v>8914</v>
      </c>
      <c r="AH885" s="1" t="s">
        <v>385</v>
      </c>
      <c r="AI885" s="6">
        <v>99363.0</v>
      </c>
      <c r="AJ885" s="1" t="s">
        <v>63</v>
      </c>
      <c r="AK885" s="1" t="s">
        <v>8915</v>
      </c>
      <c r="AL885" s="1" t="s">
        <v>8916</v>
      </c>
      <c r="AM885" s="11" t="str">
        <f>VLOOKUP(N885,Sheet3!$B$4:$C$10,2,1)</f>
        <v>41-50</v>
      </c>
      <c r="AN885" s="12" t="str">
        <f>VLOOKUP(Z885,Sheet3!$F$4:$G$10,2,1)</f>
        <v>11-20</v>
      </c>
      <c r="AO885" s="5" t="str">
        <f>VLOOKUP(AA885,Sheet3!$I$3:$J$16,2,1)</f>
        <v>60000-80000</v>
      </c>
      <c r="AP885" s="5" t="str">
        <f>VLOOKUP(AB885,Sheet3!$L$4:$M$14,2,1)</f>
        <v>5% - 10%</v>
      </c>
    </row>
    <row r="886">
      <c r="A886" s="6">
        <v>969572.0</v>
      </c>
      <c r="B886" s="1" t="s">
        <v>66</v>
      </c>
      <c r="C886" s="1" t="s">
        <v>8917</v>
      </c>
      <c r="D886" s="1" t="s">
        <v>173</v>
      </c>
      <c r="E886" s="1" t="s">
        <v>2085</v>
      </c>
      <c r="F886" s="1" t="s">
        <v>70</v>
      </c>
      <c r="G886" s="1" t="s">
        <v>8918</v>
      </c>
      <c r="H886" s="1" t="s">
        <v>8579</v>
      </c>
      <c r="I886" s="1" t="s">
        <v>8919</v>
      </c>
      <c r="J886" s="1" t="s">
        <v>8920</v>
      </c>
      <c r="K886" s="1" t="s">
        <v>8921</v>
      </c>
      <c r="L886" s="9">
        <v>24073.0</v>
      </c>
      <c r="M886" s="8">
        <v>0.9237384259259259</v>
      </c>
      <c r="N886" s="6">
        <v>51.7</v>
      </c>
      <c r="O886" s="6">
        <v>85.0</v>
      </c>
      <c r="P886" s="9">
        <v>38764.0</v>
      </c>
      <c r="Q886" s="1" t="s">
        <v>96</v>
      </c>
      <c r="R886" s="1" t="s">
        <v>76</v>
      </c>
      <c r="S886" s="6">
        <v>2006.0</v>
      </c>
      <c r="T886" s="6">
        <v>2.0</v>
      </c>
      <c r="U886" s="1" t="s">
        <v>117</v>
      </c>
      <c r="V886" s="1" t="s">
        <v>118</v>
      </c>
      <c r="W886" s="6">
        <v>16.0</v>
      </c>
      <c r="X886" s="1" t="s">
        <v>150</v>
      </c>
      <c r="Y886" s="1" t="s">
        <v>151</v>
      </c>
      <c r="Z886" s="6">
        <v>11.45</v>
      </c>
      <c r="AA886" s="6">
        <v>50579.0</v>
      </c>
      <c r="AB886" s="10">
        <v>0.01</v>
      </c>
      <c r="AC886" s="1" t="s">
        <v>8922</v>
      </c>
      <c r="AD886" s="1" t="s">
        <v>8923</v>
      </c>
      <c r="AE886" s="1" t="s">
        <v>8924</v>
      </c>
      <c r="AF886" s="1" t="s">
        <v>8925</v>
      </c>
      <c r="AG886" s="1" t="s">
        <v>8924</v>
      </c>
      <c r="AH886" s="1" t="s">
        <v>156</v>
      </c>
      <c r="AI886" s="6">
        <v>22639.0</v>
      </c>
      <c r="AJ886" s="1" t="s">
        <v>106</v>
      </c>
      <c r="AK886" s="1" t="s">
        <v>8926</v>
      </c>
      <c r="AL886" s="1" t="s">
        <v>8927</v>
      </c>
      <c r="AM886" s="11" t="str">
        <f>VLOOKUP(N886,Sheet3!$B$4:$C$10,2,1)</f>
        <v>51-60</v>
      </c>
      <c r="AN886" s="12" t="str">
        <f>VLOOKUP(Z886,Sheet3!$F$4:$G$10,2,1)</f>
        <v>11-20</v>
      </c>
      <c r="AO886" s="5" t="str">
        <f>VLOOKUP(AA886,Sheet3!$I$3:$J$16,2,1)</f>
        <v>40000-60000</v>
      </c>
      <c r="AP886" s="5" t="str">
        <f>VLOOKUP(AB886,Sheet3!$L$4:$M$14,2,1)</f>
        <v>&lt; 5%</v>
      </c>
    </row>
    <row r="887">
      <c r="A887" s="6">
        <v>129405.0</v>
      </c>
      <c r="B887" s="1" t="s">
        <v>227</v>
      </c>
      <c r="C887" s="1" t="s">
        <v>8928</v>
      </c>
      <c r="D887" s="1" t="s">
        <v>416</v>
      </c>
      <c r="E887" s="1" t="s">
        <v>7251</v>
      </c>
      <c r="F887" s="1" t="s">
        <v>70</v>
      </c>
      <c r="G887" s="1" t="s">
        <v>8929</v>
      </c>
      <c r="H887" s="1" t="s">
        <v>8579</v>
      </c>
      <c r="I887" s="1" t="s">
        <v>8930</v>
      </c>
      <c r="J887" s="1" t="s">
        <v>8931</v>
      </c>
      <c r="K887" s="1" t="s">
        <v>4345</v>
      </c>
      <c r="L887" s="14">
        <v>27494.0</v>
      </c>
      <c r="M887" s="8">
        <v>0.16163194444444445</v>
      </c>
      <c r="N887" s="6">
        <v>42.33</v>
      </c>
      <c r="O887" s="6">
        <v>62.0</v>
      </c>
      <c r="P887" s="9">
        <v>36761.0</v>
      </c>
      <c r="Q887" s="1" t="s">
        <v>308</v>
      </c>
      <c r="R887" s="1" t="s">
        <v>53</v>
      </c>
      <c r="S887" s="6">
        <v>2000.0</v>
      </c>
      <c r="T887" s="6">
        <v>8.0</v>
      </c>
      <c r="U887" s="1" t="s">
        <v>433</v>
      </c>
      <c r="V887" s="1" t="s">
        <v>434</v>
      </c>
      <c r="W887" s="6">
        <v>23.0</v>
      </c>
      <c r="X887" s="1" t="s">
        <v>278</v>
      </c>
      <c r="Y887" s="1" t="s">
        <v>279</v>
      </c>
      <c r="Z887" s="6">
        <v>16.94</v>
      </c>
      <c r="AA887" s="6">
        <v>56375.0</v>
      </c>
      <c r="AB887" s="10">
        <v>0.01</v>
      </c>
      <c r="AC887" s="1" t="s">
        <v>8932</v>
      </c>
      <c r="AD887" s="1" t="s">
        <v>8933</v>
      </c>
      <c r="AE887" s="1" t="s">
        <v>8934</v>
      </c>
      <c r="AF887" s="1" t="s">
        <v>1705</v>
      </c>
      <c r="AG887" s="1" t="s">
        <v>8934</v>
      </c>
      <c r="AH887" s="1" t="s">
        <v>1103</v>
      </c>
      <c r="AI887" s="6">
        <v>3057.0</v>
      </c>
      <c r="AJ887" s="1" t="s">
        <v>224</v>
      </c>
      <c r="AK887" s="1" t="s">
        <v>8935</v>
      </c>
      <c r="AL887" s="1" t="s">
        <v>8936</v>
      </c>
      <c r="AM887" s="11" t="str">
        <f>VLOOKUP(N887,Sheet3!$B$4:$C$10,2,1)</f>
        <v>41-50</v>
      </c>
      <c r="AN887" s="12" t="str">
        <f>VLOOKUP(Z887,Sheet3!$F$4:$G$10,2,1)</f>
        <v>11-20</v>
      </c>
      <c r="AO887" s="5" t="str">
        <f>VLOOKUP(AA887,Sheet3!$I$3:$J$16,2,1)</f>
        <v>40000-60000</v>
      </c>
      <c r="AP887" s="5" t="str">
        <f>VLOOKUP(AB887,Sheet3!$L$4:$M$14,2,1)</f>
        <v>&lt; 5%</v>
      </c>
    </row>
    <row r="888">
      <c r="A888" s="6">
        <v>612960.0</v>
      </c>
      <c r="B888" s="1" t="s">
        <v>66</v>
      </c>
      <c r="C888" s="1" t="s">
        <v>7896</v>
      </c>
      <c r="D888" s="1" t="s">
        <v>1663</v>
      </c>
      <c r="E888" s="1" t="s">
        <v>2500</v>
      </c>
      <c r="F888" s="1" t="s">
        <v>70</v>
      </c>
      <c r="G888" s="1" t="s">
        <v>8937</v>
      </c>
      <c r="H888" s="1" t="s">
        <v>8579</v>
      </c>
      <c r="I888" s="1" t="s">
        <v>8938</v>
      </c>
      <c r="J888" s="1" t="s">
        <v>8939</v>
      </c>
      <c r="K888" s="1" t="s">
        <v>3058</v>
      </c>
      <c r="L888" s="9">
        <v>34450.0</v>
      </c>
      <c r="M888" s="8">
        <v>0.1769212962962963</v>
      </c>
      <c r="N888" s="6">
        <v>23.27</v>
      </c>
      <c r="O888" s="6">
        <v>56.0</v>
      </c>
      <c r="P888" s="9">
        <v>42687.0</v>
      </c>
      <c r="Q888" s="1" t="s">
        <v>52</v>
      </c>
      <c r="R888" s="1" t="s">
        <v>53</v>
      </c>
      <c r="S888" s="6">
        <v>2016.0</v>
      </c>
      <c r="T888" s="6">
        <v>11.0</v>
      </c>
      <c r="U888" s="1" t="s">
        <v>148</v>
      </c>
      <c r="V888" s="1" t="s">
        <v>149</v>
      </c>
      <c r="W888" s="6">
        <v>13.0</v>
      </c>
      <c r="X888" s="1" t="s">
        <v>534</v>
      </c>
      <c r="Y888" s="1" t="s">
        <v>535</v>
      </c>
      <c r="Z888" s="6">
        <v>0.7</v>
      </c>
      <c r="AA888" s="6">
        <v>67336.0</v>
      </c>
      <c r="AB888" s="10">
        <v>0.02</v>
      </c>
      <c r="AC888" s="1" t="s">
        <v>8940</v>
      </c>
      <c r="AD888" s="1" t="s">
        <v>8941</v>
      </c>
      <c r="AE888" s="1" t="s">
        <v>8942</v>
      </c>
      <c r="AF888" s="1" t="s">
        <v>8943</v>
      </c>
      <c r="AG888" s="1" t="s">
        <v>8942</v>
      </c>
      <c r="AH888" s="1" t="s">
        <v>169</v>
      </c>
      <c r="AI888" s="6">
        <v>76714.0</v>
      </c>
      <c r="AJ888" s="1" t="s">
        <v>106</v>
      </c>
      <c r="AK888" s="1" t="s">
        <v>8944</v>
      </c>
      <c r="AL888" s="1" t="s">
        <v>8945</v>
      </c>
      <c r="AM888" s="11" t="str">
        <f>VLOOKUP(N888,Sheet3!$B$4:$C$10,2,1)</f>
        <v>21-30</v>
      </c>
      <c r="AN888" s="13" t="str">
        <f>VLOOKUP(Z888,Sheet3!$F$4:$G$10,2,1)</f>
        <v>&lt; 5</v>
      </c>
      <c r="AO888" s="5" t="str">
        <f>VLOOKUP(AA888,Sheet3!$I$3:$J$16,2,1)</f>
        <v>60000-80000</v>
      </c>
      <c r="AP888" s="5" t="str">
        <f>VLOOKUP(AB888,Sheet3!$L$4:$M$14,2,1)</f>
        <v>&lt; 5%</v>
      </c>
    </row>
    <row r="889">
      <c r="A889" s="6">
        <v>328690.0</v>
      </c>
      <c r="B889" s="1" t="s">
        <v>109</v>
      </c>
      <c r="C889" s="1" t="s">
        <v>8946</v>
      </c>
      <c r="D889" s="1" t="s">
        <v>1663</v>
      </c>
      <c r="E889" s="1" t="s">
        <v>1722</v>
      </c>
      <c r="F889" s="1" t="s">
        <v>46</v>
      </c>
      <c r="G889" s="1" t="s">
        <v>8947</v>
      </c>
      <c r="H889" s="1" t="s">
        <v>8579</v>
      </c>
      <c r="I889" s="1" t="s">
        <v>8948</v>
      </c>
      <c r="J889" s="1" t="s">
        <v>8949</v>
      </c>
      <c r="K889" s="1" t="s">
        <v>2806</v>
      </c>
      <c r="L889" s="9">
        <v>31976.0</v>
      </c>
      <c r="M889" s="8">
        <v>0.8710532407407408</v>
      </c>
      <c r="N889" s="6">
        <v>30.05</v>
      </c>
      <c r="O889" s="6">
        <v>51.0</v>
      </c>
      <c r="P889" s="9">
        <v>39656.0</v>
      </c>
      <c r="Q889" s="1" t="s">
        <v>308</v>
      </c>
      <c r="R889" s="1" t="s">
        <v>53</v>
      </c>
      <c r="S889" s="6">
        <v>2008.0</v>
      </c>
      <c r="T889" s="6">
        <v>7.0</v>
      </c>
      <c r="U889" s="1" t="s">
        <v>366</v>
      </c>
      <c r="V889" s="1" t="s">
        <v>367</v>
      </c>
      <c r="W889" s="6">
        <v>27.0</v>
      </c>
      <c r="X889" s="1" t="s">
        <v>534</v>
      </c>
      <c r="Y889" s="1" t="s">
        <v>535</v>
      </c>
      <c r="Z889" s="6">
        <v>9.01</v>
      </c>
      <c r="AA889" s="6">
        <v>179405.0</v>
      </c>
      <c r="AB889" s="10">
        <v>0.08</v>
      </c>
      <c r="AC889" s="1" t="s">
        <v>8950</v>
      </c>
      <c r="AD889" s="1" t="s">
        <v>8951</v>
      </c>
      <c r="AE889" s="1" t="s">
        <v>8952</v>
      </c>
      <c r="AF889" s="1" t="s">
        <v>4804</v>
      </c>
      <c r="AG889" s="1" t="s">
        <v>8952</v>
      </c>
      <c r="AH889" s="1" t="s">
        <v>1561</v>
      </c>
      <c r="AI889" s="6">
        <v>53012.0</v>
      </c>
      <c r="AJ889" s="1" t="s">
        <v>86</v>
      </c>
      <c r="AK889" s="1" t="s">
        <v>8953</v>
      </c>
      <c r="AL889" s="1" t="s">
        <v>8954</v>
      </c>
      <c r="AM889" s="11" t="str">
        <f>VLOOKUP(N889,Sheet3!$B$4:$C$10,2,1)</f>
        <v>21-30</v>
      </c>
      <c r="AN889" s="12" t="str">
        <f>VLOOKUP(Z889,Sheet3!$F$4:$G$10,2,1)</f>
        <v>5-10</v>
      </c>
      <c r="AO889" s="5" t="str">
        <f>VLOOKUP(AA889,Sheet3!$I$3:$J$16,2,1)</f>
        <v>160000-180000</v>
      </c>
      <c r="AP889" s="5" t="str">
        <f>VLOOKUP(AB889,Sheet3!$L$4:$M$14,2,1)</f>
        <v>5% - 10%</v>
      </c>
    </row>
    <row r="890">
      <c r="A890" s="6">
        <v>960091.0</v>
      </c>
      <c r="B890" s="1" t="s">
        <v>66</v>
      </c>
      <c r="C890" s="1" t="s">
        <v>8955</v>
      </c>
      <c r="D890" s="1" t="s">
        <v>44</v>
      </c>
      <c r="E890" s="1" t="s">
        <v>2827</v>
      </c>
      <c r="F890" s="1" t="s">
        <v>70</v>
      </c>
      <c r="G890" s="1" t="s">
        <v>8956</v>
      </c>
      <c r="H890" s="1" t="s">
        <v>8579</v>
      </c>
      <c r="I890" s="1" t="s">
        <v>8957</v>
      </c>
      <c r="J890" s="1" t="s">
        <v>8958</v>
      </c>
      <c r="K890" s="1" t="s">
        <v>8959</v>
      </c>
      <c r="L890" s="9">
        <v>29084.0</v>
      </c>
      <c r="M890" s="8">
        <v>0.8741319444444444</v>
      </c>
      <c r="N890" s="6">
        <v>37.97</v>
      </c>
      <c r="O890" s="6">
        <v>77.0</v>
      </c>
      <c r="P890" s="9">
        <v>36815.0</v>
      </c>
      <c r="Q890" s="1" t="s">
        <v>52</v>
      </c>
      <c r="R890" s="1" t="s">
        <v>53</v>
      </c>
      <c r="S890" s="6">
        <v>2000.0</v>
      </c>
      <c r="T890" s="6">
        <v>10.0</v>
      </c>
      <c r="U890" s="1" t="s">
        <v>133</v>
      </c>
      <c r="V890" s="1" t="s">
        <v>134</v>
      </c>
      <c r="W890" s="6">
        <v>16.0</v>
      </c>
      <c r="X890" s="1" t="s">
        <v>99</v>
      </c>
      <c r="Y890" s="1" t="s">
        <v>100</v>
      </c>
      <c r="Z890" s="6">
        <v>16.79</v>
      </c>
      <c r="AA890" s="6">
        <v>158345.0</v>
      </c>
      <c r="AB890" s="10">
        <v>0.18</v>
      </c>
      <c r="AC890" s="1" t="s">
        <v>8960</v>
      </c>
      <c r="AD890" s="1" t="s">
        <v>8961</v>
      </c>
      <c r="AE890" s="1" t="s">
        <v>993</v>
      </c>
      <c r="AF890" s="1" t="s">
        <v>1883</v>
      </c>
      <c r="AG890" s="1" t="s">
        <v>993</v>
      </c>
      <c r="AH890" s="1" t="s">
        <v>62</v>
      </c>
      <c r="AI890" s="6">
        <v>89010.0</v>
      </c>
      <c r="AJ890" s="1" t="s">
        <v>63</v>
      </c>
      <c r="AK890" s="1" t="s">
        <v>8962</v>
      </c>
      <c r="AL890" s="1" t="s">
        <v>8963</v>
      </c>
      <c r="AM890" s="11" t="str">
        <f>VLOOKUP(N890,Sheet3!$B$4:$C$10,2,1)</f>
        <v>31-40</v>
      </c>
      <c r="AN890" s="12" t="str">
        <f>VLOOKUP(Z890,Sheet3!$F$4:$G$10,2,1)</f>
        <v>11-20</v>
      </c>
      <c r="AO890" s="5" t="str">
        <f>VLOOKUP(AA890,Sheet3!$I$3:$J$16,2,1)</f>
        <v>140000-160000</v>
      </c>
      <c r="AP890" s="5" t="str">
        <f>VLOOKUP(AB890,Sheet3!$L$4:$M$14,2,1)</f>
        <v>16% - 20%</v>
      </c>
    </row>
    <row r="891">
      <c r="A891" s="6">
        <v>563448.0</v>
      </c>
      <c r="B891" s="1" t="s">
        <v>89</v>
      </c>
      <c r="C891" s="1" t="s">
        <v>8964</v>
      </c>
      <c r="D891" s="1" t="s">
        <v>46</v>
      </c>
      <c r="E891" s="1" t="s">
        <v>675</v>
      </c>
      <c r="F891" s="1" t="s">
        <v>46</v>
      </c>
      <c r="G891" s="1" t="s">
        <v>8965</v>
      </c>
      <c r="H891" s="1" t="s">
        <v>8579</v>
      </c>
      <c r="I891" s="1" t="s">
        <v>8966</v>
      </c>
      <c r="J891" s="1" t="s">
        <v>8967</v>
      </c>
      <c r="K891" s="1" t="s">
        <v>1609</v>
      </c>
      <c r="L891" s="9">
        <v>27904.0</v>
      </c>
      <c r="M891" s="8">
        <v>0.21605324074074075</v>
      </c>
      <c r="N891" s="6">
        <v>41.21</v>
      </c>
      <c r="O891" s="6">
        <v>47.0</v>
      </c>
      <c r="P891" s="9">
        <v>36152.0</v>
      </c>
      <c r="Q891" s="1" t="s">
        <v>52</v>
      </c>
      <c r="R891" s="1" t="s">
        <v>53</v>
      </c>
      <c r="S891" s="6">
        <v>1998.0</v>
      </c>
      <c r="T891" s="6">
        <v>12.0</v>
      </c>
      <c r="U891" s="1" t="s">
        <v>54</v>
      </c>
      <c r="V891" s="1" t="s">
        <v>55</v>
      </c>
      <c r="W891" s="6">
        <v>23.0</v>
      </c>
      <c r="X891" s="1" t="s">
        <v>278</v>
      </c>
      <c r="Y891" s="1" t="s">
        <v>279</v>
      </c>
      <c r="Z891" s="6">
        <v>18.61</v>
      </c>
      <c r="AA891" s="6">
        <v>66085.0</v>
      </c>
      <c r="AB891" s="10">
        <v>0.01</v>
      </c>
      <c r="AC891" s="1" t="s">
        <v>8968</v>
      </c>
      <c r="AD891" s="1" t="s">
        <v>8969</v>
      </c>
      <c r="AE891" s="1" t="s">
        <v>8970</v>
      </c>
      <c r="AF891" s="1" t="s">
        <v>4860</v>
      </c>
      <c r="AG891" s="1" t="s">
        <v>8970</v>
      </c>
      <c r="AH891" s="1" t="s">
        <v>893</v>
      </c>
      <c r="AI891" s="6">
        <v>27832.0</v>
      </c>
      <c r="AJ891" s="1" t="s">
        <v>106</v>
      </c>
      <c r="AK891" s="1" t="s">
        <v>8971</v>
      </c>
      <c r="AL891" s="1" t="s">
        <v>8972</v>
      </c>
      <c r="AM891" s="11" t="str">
        <f>VLOOKUP(N891,Sheet3!$B$4:$C$10,2,1)</f>
        <v>41-50</v>
      </c>
      <c r="AN891" s="12" t="str">
        <f>VLOOKUP(Z891,Sheet3!$F$4:$G$10,2,1)</f>
        <v>11-20</v>
      </c>
      <c r="AO891" s="5" t="str">
        <f>VLOOKUP(AA891,Sheet3!$I$3:$J$16,2,1)</f>
        <v>60000-80000</v>
      </c>
      <c r="AP891" s="5" t="str">
        <f>VLOOKUP(AB891,Sheet3!$L$4:$M$14,2,1)</f>
        <v>&lt; 5%</v>
      </c>
    </row>
    <row r="892">
      <c r="A892" s="6">
        <v>982922.0</v>
      </c>
      <c r="B892" s="1" t="s">
        <v>42</v>
      </c>
      <c r="C892" s="1" t="s">
        <v>8973</v>
      </c>
      <c r="D892" s="1" t="s">
        <v>242</v>
      </c>
      <c r="E892" s="1" t="s">
        <v>421</v>
      </c>
      <c r="F892" s="1" t="s">
        <v>46</v>
      </c>
      <c r="G892" s="1" t="s">
        <v>8974</v>
      </c>
      <c r="H892" s="1" t="s">
        <v>8579</v>
      </c>
      <c r="I892" s="1" t="s">
        <v>8975</v>
      </c>
      <c r="J892" s="1" t="s">
        <v>8976</v>
      </c>
      <c r="K892" s="1" t="s">
        <v>803</v>
      </c>
      <c r="L892" s="9">
        <v>34478.0</v>
      </c>
      <c r="M892" s="8">
        <v>0.035798611111111114</v>
      </c>
      <c r="N892" s="6">
        <v>23.19</v>
      </c>
      <c r="O892" s="6">
        <v>47.0</v>
      </c>
      <c r="P892" s="9">
        <v>42398.0</v>
      </c>
      <c r="Q892" s="1" t="s">
        <v>96</v>
      </c>
      <c r="R892" s="1" t="s">
        <v>76</v>
      </c>
      <c r="S892" s="6">
        <v>2016.0</v>
      </c>
      <c r="T892" s="6">
        <v>1.0</v>
      </c>
      <c r="U892" s="1" t="s">
        <v>276</v>
      </c>
      <c r="V892" s="1" t="s">
        <v>277</v>
      </c>
      <c r="W892" s="6">
        <v>29.0</v>
      </c>
      <c r="X892" s="1" t="s">
        <v>263</v>
      </c>
      <c r="Y892" s="1" t="s">
        <v>264</v>
      </c>
      <c r="Z892" s="6">
        <v>1.5</v>
      </c>
      <c r="AA892" s="6">
        <v>199184.0</v>
      </c>
      <c r="AB892" s="10">
        <v>0.16</v>
      </c>
      <c r="AC892" s="1" t="s">
        <v>8977</v>
      </c>
      <c r="AD892" s="1" t="s">
        <v>8978</v>
      </c>
      <c r="AE892" s="1" t="s">
        <v>8979</v>
      </c>
      <c r="AF892" s="1" t="s">
        <v>1959</v>
      </c>
      <c r="AG892" s="1" t="s">
        <v>8979</v>
      </c>
      <c r="AH892" s="1" t="s">
        <v>488</v>
      </c>
      <c r="AI892" s="6">
        <v>33780.0</v>
      </c>
      <c r="AJ892" s="1" t="s">
        <v>106</v>
      </c>
      <c r="AK892" s="1" t="s">
        <v>8980</v>
      </c>
      <c r="AL892" s="1" t="s">
        <v>8981</v>
      </c>
      <c r="AM892" s="11" t="str">
        <f>VLOOKUP(N892,Sheet3!$B$4:$C$10,2,1)</f>
        <v>21-30</v>
      </c>
      <c r="AN892" s="13" t="str">
        <f>VLOOKUP(Z892,Sheet3!$F$4:$G$10,2,1)</f>
        <v>&lt; 5</v>
      </c>
      <c r="AO892" s="5" t="str">
        <f>VLOOKUP(AA892,Sheet3!$I$3:$J$16,2,1)</f>
        <v>180000-200000</v>
      </c>
      <c r="AP892" s="5" t="str">
        <f>VLOOKUP(AB892,Sheet3!$L$4:$M$14,2,1)</f>
        <v>16% - 20%</v>
      </c>
    </row>
    <row r="893">
      <c r="A893" s="6">
        <v>646972.0</v>
      </c>
      <c r="B893" s="1" t="s">
        <v>66</v>
      </c>
      <c r="C893" s="1" t="s">
        <v>1018</v>
      </c>
      <c r="D893" s="1" t="s">
        <v>46</v>
      </c>
      <c r="E893" s="1" t="s">
        <v>2682</v>
      </c>
      <c r="F893" s="1" t="s">
        <v>70</v>
      </c>
      <c r="G893" s="1" t="s">
        <v>8982</v>
      </c>
      <c r="H893" s="1" t="s">
        <v>8579</v>
      </c>
      <c r="I893" s="1" t="s">
        <v>8983</v>
      </c>
      <c r="J893" s="1" t="s">
        <v>8984</v>
      </c>
      <c r="K893" s="1" t="s">
        <v>6822</v>
      </c>
      <c r="L893" s="14">
        <v>27800.0</v>
      </c>
      <c r="M893" s="8">
        <v>0.4231597222222222</v>
      </c>
      <c r="N893" s="6">
        <v>41.49</v>
      </c>
      <c r="O893" s="6">
        <v>57.0</v>
      </c>
      <c r="P893" s="14">
        <v>39969.0</v>
      </c>
      <c r="Q893" s="1" t="s">
        <v>75</v>
      </c>
      <c r="R893" s="1" t="s">
        <v>76</v>
      </c>
      <c r="S893" s="6">
        <v>2009.0</v>
      </c>
      <c r="T893" s="6">
        <v>6.0</v>
      </c>
      <c r="U893" s="1" t="s">
        <v>324</v>
      </c>
      <c r="V893" s="1" t="s">
        <v>325</v>
      </c>
      <c r="W893" s="6">
        <v>5.0</v>
      </c>
      <c r="X893" s="1" t="s">
        <v>263</v>
      </c>
      <c r="Y893" s="1" t="s">
        <v>264</v>
      </c>
      <c r="Z893" s="6">
        <v>8.15</v>
      </c>
      <c r="AA893" s="6">
        <v>140934.0</v>
      </c>
      <c r="AB893" s="10">
        <v>0.02</v>
      </c>
      <c r="AC893" s="1" t="s">
        <v>8985</v>
      </c>
      <c r="AD893" s="1" t="s">
        <v>8986</v>
      </c>
      <c r="AE893" s="1" t="s">
        <v>3697</v>
      </c>
      <c r="AF893" s="1" t="s">
        <v>3697</v>
      </c>
      <c r="AG893" s="1" t="s">
        <v>3697</v>
      </c>
      <c r="AH893" s="1" t="s">
        <v>169</v>
      </c>
      <c r="AI893" s="6">
        <v>75360.0</v>
      </c>
      <c r="AJ893" s="1" t="s">
        <v>106</v>
      </c>
      <c r="AK893" s="1" t="s">
        <v>8987</v>
      </c>
      <c r="AL893" s="1" t="s">
        <v>8988</v>
      </c>
      <c r="AM893" s="11" t="str">
        <f>VLOOKUP(N893,Sheet3!$B$4:$C$10,2,1)</f>
        <v>41-50</v>
      </c>
      <c r="AN893" s="12" t="str">
        <f>VLOOKUP(Z893,Sheet3!$F$4:$G$10,2,1)</f>
        <v>5-10</v>
      </c>
      <c r="AO893" s="5" t="str">
        <f>VLOOKUP(AA893,Sheet3!$I$3:$J$16,2,1)</f>
        <v>140000-160000</v>
      </c>
      <c r="AP893" s="5" t="str">
        <f>VLOOKUP(AB893,Sheet3!$L$4:$M$14,2,1)</f>
        <v>&lt; 5%</v>
      </c>
    </row>
    <row r="894">
      <c r="A894" s="6">
        <v>387407.0</v>
      </c>
      <c r="B894" s="1" t="s">
        <v>227</v>
      </c>
      <c r="C894" s="1" t="s">
        <v>8989</v>
      </c>
      <c r="D894" s="1" t="s">
        <v>389</v>
      </c>
      <c r="E894" s="1" t="s">
        <v>711</v>
      </c>
      <c r="F894" s="1" t="s">
        <v>70</v>
      </c>
      <c r="G894" s="1" t="s">
        <v>8990</v>
      </c>
      <c r="H894" s="1" t="s">
        <v>8579</v>
      </c>
      <c r="I894" s="1" t="s">
        <v>8991</v>
      </c>
      <c r="J894" s="1" t="s">
        <v>8992</v>
      </c>
      <c r="K894" s="1" t="s">
        <v>4061</v>
      </c>
      <c r="L894" s="9">
        <v>22762.0</v>
      </c>
      <c r="M894" s="8">
        <v>0.18383101851851852</v>
      </c>
      <c r="N894" s="6">
        <v>55.29</v>
      </c>
      <c r="O894" s="6">
        <v>54.0</v>
      </c>
      <c r="P894" s="14">
        <v>40423.0</v>
      </c>
      <c r="Q894" s="1" t="s">
        <v>308</v>
      </c>
      <c r="R894" s="1" t="s">
        <v>53</v>
      </c>
      <c r="S894" s="6">
        <v>2010.0</v>
      </c>
      <c r="T894" s="6">
        <v>9.0</v>
      </c>
      <c r="U894" s="1" t="s">
        <v>309</v>
      </c>
      <c r="V894" s="1" t="s">
        <v>310</v>
      </c>
      <c r="W894" s="6">
        <v>2.0</v>
      </c>
      <c r="X894" s="1" t="s">
        <v>150</v>
      </c>
      <c r="Y894" s="1" t="s">
        <v>151</v>
      </c>
      <c r="Z894" s="6">
        <v>6.91</v>
      </c>
      <c r="AA894" s="6">
        <v>42547.0</v>
      </c>
      <c r="AB894" s="10">
        <v>0.05</v>
      </c>
      <c r="AC894" s="1" t="s">
        <v>8993</v>
      </c>
      <c r="AD894" s="1" t="s">
        <v>8994</v>
      </c>
      <c r="AE894" s="1" t="s">
        <v>833</v>
      </c>
      <c r="AF894" s="1" t="s">
        <v>635</v>
      </c>
      <c r="AG894" s="1" t="s">
        <v>833</v>
      </c>
      <c r="AH894" s="1" t="s">
        <v>356</v>
      </c>
      <c r="AI894" s="6">
        <v>14612.0</v>
      </c>
      <c r="AJ894" s="1" t="s">
        <v>224</v>
      </c>
      <c r="AK894" s="1" t="s">
        <v>8995</v>
      </c>
      <c r="AL894" s="1" t="s">
        <v>8996</v>
      </c>
      <c r="AM894" s="11" t="str">
        <f>VLOOKUP(N894,Sheet3!$B$4:$C$10,2,1)</f>
        <v>51-60</v>
      </c>
      <c r="AN894" s="12" t="str">
        <f>VLOOKUP(Z894,Sheet3!$F$4:$G$10,2,1)</f>
        <v>5-10</v>
      </c>
      <c r="AO894" s="5" t="str">
        <f>VLOOKUP(AA894,Sheet3!$I$3:$J$16,2,1)</f>
        <v>40000-60000</v>
      </c>
      <c r="AP894" s="5" t="str">
        <f>VLOOKUP(AB894,Sheet3!$L$4:$M$14,2,1)</f>
        <v>5% - 10%</v>
      </c>
    </row>
    <row r="895">
      <c r="A895" s="6">
        <v>468347.0</v>
      </c>
      <c r="B895" s="1" t="s">
        <v>66</v>
      </c>
      <c r="C895" s="1" t="s">
        <v>8997</v>
      </c>
      <c r="D895" s="1" t="s">
        <v>443</v>
      </c>
      <c r="E895" s="1" t="s">
        <v>51</v>
      </c>
      <c r="F895" s="1" t="s">
        <v>70</v>
      </c>
      <c r="G895" s="1" t="s">
        <v>8998</v>
      </c>
      <c r="H895" s="1" t="s">
        <v>8579</v>
      </c>
      <c r="I895" s="1" t="s">
        <v>8999</v>
      </c>
      <c r="J895" s="1" t="s">
        <v>9000</v>
      </c>
      <c r="K895" s="1" t="s">
        <v>4958</v>
      </c>
      <c r="L895" s="14">
        <v>24627.0</v>
      </c>
      <c r="M895" s="8">
        <v>0.2120949074074074</v>
      </c>
      <c r="N895" s="6">
        <v>50.18</v>
      </c>
      <c r="O895" s="6">
        <v>69.0</v>
      </c>
      <c r="P895" s="14">
        <v>41555.0</v>
      </c>
      <c r="Q895" s="1" t="s">
        <v>52</v>
      </c>
      <c r="R895" s="1" t="s">
        <v>53</v>
      </c>
      <c r="S895" s="6">
        <v>2013.0</v>
      </c>
      <c r="T895" s="6">
        <v>10.0</v>
      </c>
      <c r="U895" s="1" t="s">
        <v>133</v>
      </c>
      <c r="V895" s="1" t="s">
        <v>134</v>
      </c>
      <c r="W895" s="6">
        <v>8.0</v>
      </c>
      <c r="X895" s="1" t="s">
        <v>79</v>
      </c>
      <c r="Y895" s="1" t="s">
        <v>80</v>
      </c>
      <c r="Z895" s="6">
        <v>3.81</v>
      </c>
      <c r="AA895" s="6">
        <v>187112.0</v>
      </c>
      <c r="AB895" s="10">
        <v>0.18</v>
      </c>
      <c r="AC895" s="1" t="s">
        <v>9001</v>
      </c>
      <c r="AD895" s="1" t="s">
        <v>9002</v>
      </c>
      <c r="AE895" s="1" t="s">
        <v>9003</v>
      </c>
      <c r="AF895" s="1" t="s">
        <v>6253</v>
      </c>
      <c r="AG895" s="1" t="s">
        <v>9003</v>
      </c>
      <c r="AH895" s="1" t="s">
        <v>906</v>
      </c>
      <c r="AI895" s="6">
        <v>7502.0</v>
      </c>
      <c r="AJ895" s="1" t="s">
        <v>224</v>
      </c>
      <c r="AK895" s="1" t="s">
        <v>9004</v>
      </c>
      <c r="AL895" s="1" t="s">
        <v>9005</v>
      </c>
      <c r="AM895" s="11" t="str">
        <f>VLOOKUP(N895,Sheet3!$B$4:$C$10,2,1)</f>
        <v>41-50</v>
      </c>
      <c r="AN895" s="13" t="str">
        <f>VLOOKUP(Z895,Sheet3!$F$4:$G$10,2,1)</f>
        <v>&lt; 5</v>
      </c>
      <c r="AO895" s="5" t="str">
        <f>VLOOKUP(AA895,Sheet3!$I$3:$J$16,2,1)</f>
        <v>180000-200000</v>
      </c>
      <c r="AP895" s="5" t="str">
        <f>VLOOKUP(AB895,Sheet3!$L$4:$M$14,2,1)</f>
        <v>16% - 20%</v>
      </c>
    </row>
    <row r="896">
      <c r="A896" s="6">
        <v>707678.0</v>
      </c>
      <c r="B896" s="1" t="s">
        <v>125</v>
      </c>
      <c r="C896" s="1" t="s">
        <v>9006</v>
      </c>
      <c r="D896" s="1" t="s">
        <v>416</v>
      </c>
      <c r="E896" s="1" t="s">
        <v>444</v>
      </c>
      <c r="F896" s="1" t="s">
        <v>46</v>
      </c>
      <c r="G896" s="1" t="s">
        <v>9007</v>
      </c>
      <c r="H896" s="1" t="s">
        <v>8579</v>
      </c>
      <c r="I896" s="1" t="s">
        <v>9008</v>
      </c>
      <c r="J896" s="1" t="s">
        <v>9009</v>
      </c>
      <c r="K896" s="1" t="s">
        <v>1177</v>
      </c>
      <c r="L896" s="9">
        <v>32033.0</v>
      </c>
      <c r="M896" s="8">
        <v>0.8718402777777777</v>
      </c>
      <c r="N896" s="6">
        <v>29.89</v>
      </c>
      <c r="O896" s="6">
        <v>44.0</v>
      </c>
      <c r="P896" s="9">
        <v>42084.0</v>
      </c>
      <c r="Q896" s="1" t="s">
        <v>96</v>
      </c>
      <c r="R896" s="1" t="s">
        <v>76</v>
      </c>
      <c r="S896" s="6">
        <v>2015.0</v>
      </c>
      <c r="T896" s="6">
        <v>3.0</v>
      </c>
      <c r="U896" s="1" t="s">
        <v>97</v>
      </c>
      <c r="V896" s="1" t="s">
        <v>98</v>
      </c>
      <c r="W896" s="6">
        <v>21.0</v>
      </c>
      <c r="X896" s="1" t="s">
        <v>56</v>
      </c>
      <c r="Y896" s="1" t="s">
        <v>57</v>
      </c>
      <c r="Z896" s="6">
        <v>2.36</v>
      </c>
      <c r="AA896" s="6">
        <v>75205.0</v>
      </c>
      <c r="AB896" s="10">
        <v>0.12</v>
      </c>
      <c r="AC896" s="1" t="s">
        <v>9010</v>
      </c>
      <c r="AD896" s="1" t="s">
        <v>9011</v>
      </c>
      <c r="AE896" s="1" t="s">
        <v>786</v>
      </c>
      <c r="AF896" s="1" t="s">
        <v>6192</v>
      </c>
      <c r="AG896" s="1" t="s">
        <v>786</v>
      </c>
      <c r="AH896" s="1" t="s">
        <v>1413</v>
      </c>
      <c r="AI896" s="6">
        <v>81021.0</v>
      </c>
      <c r="AJ896" s="1" t="s">
        <v>63</v>
      </c>
      <c r="AK896" s="1" t="s">
        <v>9012</v>
      </c>
      <c r="AL896" s="1" t="s">
        <v>9013</v>
      </c>
      <c r="AM896" s="11" t="str">
        <f>VLOOKUP(N896,Sheet3!$B$4:$C$10,2,1)</f>
        <v>21-30</v>
      </c>
      <c r="AN896" s="13" t="str">
        <f>VLOOKUP(Z896,Sheet3!$F$4:$G$10,2,1)</f>
        <v>&lt; 5</v>
      </c>
      <c r="AO896" s="5" t="str">
        <f>VLOOKUP(AA896,Sheet3!$I$3:$J$16,2,1)</f>
        <v>60000-80000</v>
      </c>
      <c r="AP896" s="5" t="str">
        <f>VLOOKUP(AB896,Sheet3!$L$4:$M$14,2,1)</f>
        <v>11% - 15%</v>
      </c>
    </row>
    <row r="897">
      <c r="A897" s="6">
        <v>709899.0</v>
      </c>
      <c r="B897" s="1" t="s">
        <v>227</v>
      </c>
      <c r="C897" s="1" t="s">
        <v>9014</v>
      </c>
      <c r="D897" s="1" t="s">
        <v>186</v>
      </c>
      <c r="E897" s="1" t="s">
        <v>4000</v>
      </c>
      <c r="F897" s="1" t="s">
        <v>70</v>
      </c>
      <c r="G897" s="1" t="s">
        <v>9015</v>
      </c>
      <c r="H897" s="1" t="s">
        <v>8579</v>
      </c>
      <c r="I897" s="1" t="s">
        <v>9016</v>
      </c>
      <c r="J897" s="1" t="s">
        <v>9017</v>
      </c>
      <c r="K897" s="1" t="s">
        <v>2837</v>
      </c>
      <c r="L897" s="14">
        <v>21373.0</v>
      </c>
      <c r="M897" s="8">
        <v>0.17819444444444443</v>
      </c>
      <c r="N897" s="6">
        <v>59.1</v>
      </c>
      <c r="O897" s="6">
        <v>72.0</v>
      </c>
      <c r="P897" s="9">
        <v>29933.0</v>
      </c>
      <c r="Q897" s="1" t="s">
        <v>52</v>
      </c>
      <c r="R897" s="1" t="s">
        <v>53</v>
      </c>
      <c r="S897" s="6">
        <v>1981.0</v>
      </c>
      <c r="T897" s="6">
        <v>12.0</v>
      </c>
      <c r="U897" s="1" t="s">
        <v>54</v>
      </c>
      <c r="V897" s="1" t="s">
        <v>55</v>
      </c>
      <c r="W897" s="6">
        <v>13.0</v>
      </c>
      <c r="X897" s="1" t="s">
        <v>534</v>
      </c>
      <c r="Y897" s="1" t="s">
        <v>535</v>
      </c>
      <c r="Z897" s="6">
        <v>35.65</v>
      </c>
      <c r="AA897" s="6">
        <v>155562.0</v>
      </c>
      <c r="AB897" s="10">
        <v>0.05</v>
      </c>
      <c r="AC897" s="1" t="s">
        <v>9018</v>
      </c>
      <c r="AD897" s="1" t="s">
        <v>9019</v>
      </c>
      <c r="AE897" s="1" t="s">
        <v>9020</v>
      </c>
      <c r="AF897" s="1" t="s">
        <v>7767</v>
      </c>
      <c r="AG897" s="1" t="s">
        <v>9020</v>
      </c>
      <c r="AH897" s="1" t="s">
        <v>385</v>
      </c>
      <c r="AI897" s="6">
        <v>99148.0</v>
      </c>
      <c r="AJ897" s="1" t="s">
        <v>63</v>
      </c>
      <c r="AK897" s="1" t="s">
        <v>9021</v>
      </c>
      <c r="AL897" s="1" t="s">
        <v>9022</v>
      </c>
      <c r="AM897" s="11" t="str">
        <f>VLOOKUP(N897,Sheet3!$B$4:$C$10,2,1)</f>
        <v>51-60</v>
      </c>
      <c r="AN897" s="13" t="str">
        <f>VLOOKUP(Z897,Sheet3!$F$4:$G$10,2,1)</f>
        <v>31-40</v>
      </c>
      <c r="AO897" s="5" t="str">
        <f>VLOOKUP(AA897,Sheet3!$I$3:$J$16,2,1)</f>
        <v>140000-160000</v>
      </c>
      <c r="AP897" s="5" t="str">
        <f>VLOOKUP(AB897,Sheet3!$L$4:$M$14,2,1)</f>
        <v>5% - 10%</v>
      </c>
    </row>
    <row r="898">
      <c r="A898" s="6">
        <v>931481.0</v>
      </c>
      <c r="B898" s="1" t="s">
        <v>227</v>
      </c>
      <c r="C898" s="1" t="s">
        <v>8917</v>
      </c>
      <c r="D898" s="1" t="s">
        <v>173</v>
      </c>
      <c r="E898" s="1" t="s">
        <v>7428</v>
      </c>
      <c r="F898" s="1" t="s">
        <v>70</v>
      </c>
      <c r="G898" s="1" t="s">
        <v>9023</v>
      </c>
      <c r="H898" s="1" t="s">
        <v>8579</v>
      </c>
      <c r="I898" s="1" t="s">
        <v>9024</v>
      </c>
      <c r="J898" s="1" t="s">
        <v>9025</v>
      </c>
      <c r="K898" s="1" t="s">
        <v>5242</v>
      </c>
      <c r="L898" s="14">
        <v>34003.0</v>
      </c>
      <c r="M898" s="8">
        <v>0.4035416666666667</v>
      </c>
      <c r="N898" s="6">
        <v>24.5</v>
      </c>
      <c r="O898" s="6">
        <v>50.0</v>
      </c>
      <c r="P898" s="9">
        <v>42180.0</v>
      </c>
      <c r="Q898" s="1" t="s">
        <v>75</v>
      </c>
      <c r="R898" s="1" t="s">
        <v>76</v>
      </c>
      <c r="S898" s="6">
        <v>2015.0</v>
      </c>
      <c r="T898" s="6">
        <v>6.0</v>
      </c>
      <c r="U898" s="1" t="s">
        <v>324</v>
      </c>
      <c r="V898" s="1" t="s">
        <v>325</v>
      </c>
      <c r="W898" s="6">
        <v>25.0</v>
      </c>
      <c r="X898" s="1" t="s">
        <v>150</v>
      </c>
      <c r="Y898" s="1" t="s">
        <v>151</v>
      </c>
      <c r="Z898" s="6">
        <v>2.09</v>
      </c>
      <c r="AA898" s="6">
        <v>150578.0</v>
      </c>
      <c r="AB898" s="10">
        <v>0.27</v>
      </c>
      <c r="AC898" s="1" t="s">
        <v>9026</v>
      </c>
      <c r="AD898" s="1" t="s">
        <v>9027</v>
      </c>
      <c r="AE898" s="1" t="s">
        <v>1432</v>
      </c>
      <c r="AF898" s="1" t="s">
        <v>9028</v>
      </c>
      <c r="AG898" s="1" t="s">
        <v>1432</v>
      </c>
      <c r="AH898" s="1" t="s">
        <v>893</v>
      </c>
      <c r="AI898" s="6">
        <v>27529.0</v>
      </c>
      <c r="AJ898" s="1" t="s">
        <v>106</v>
      </c>
      <c r="AK898" s="1" t="s">
        <v>9029</v>
      </c>
      <c r="AL898" s="1" t="s">
        <v>9030</v>
      </c>
      <c r="AM898" s="11" t="str">
        <f>VLOOKUP(N898,Sheet3!$B$4:$C$10,2,1)</f>
        <v>21-30</v>
      </c>
      <c r="AN898" s="13" t="str">
        <f>VLOOKUP(Z898,Sheet3!$F$4:$G$10,2,1)</f>
        <v>&lt; 5</v>
      </c>
      <c r="AO898" s="5" t="str">
        <f>VLOOKUP(AA898,Sheet3!$I$3:$J$16,2,1)</f>
        <v>140000-160000</v>
      </c>
      <c r="AP898" s="5" t="str">
        <f>VLOOKUP(AB898,Sheet3!$L$4:$M$14,2,1)</f>
        <v>26% - 30%</v>
      </c>
    </row>
    <row r="899">
      <c r="A899" s="6">
        <v>415337.0</v>
      </c>
      <c r="B899" s="1" t="s">
        <v>89</v>
      </c>
      <c r="C899" s="1" t="s">
        <v>2928</v>
      </c>
      <c r="D899" s="1" t="s">
        <v>186</v>
      </c>
      <c r="E899" s="1" t="s">
        <v>9031</v>
      </c>
      <c r="F899" s="1" t="s">
        <v>46</v>
      </c>
      <c r="G899" s="1" t="s">
        <v>9032</v>
      </c>
      <c r="H899" s="1" t="s">
        <v>8579</v>
      </c>
      <c r="I899" s="1" t="s">
        <v>9033</v>
      </c>
      <c r="J899" s="1" t="s">
        <v>9034</v>
      </c>
      <c r="K899" s="1" t="s">
        <v>9035</v>
      </c>
      <c r="L899" s="9">
        <v>21482.0</v>
      </c>
      <c r="M899" s="8">
        <v>0.19961805555555556</v>
      </c>
      <c r="N899" s="6">
        <v>58.8</v>
      </c>
      <c r="O899" s="6">
        <v>57.0</v>
      </c>
      <c r="P899" s="14">
        <v>32916.0</v>
      </c>
      <c r="Q899" s="1" t="s">
        <v>96</v>
      </c>
      <c r="R899" s="1" t="s">
        <v>76</v>
      </c>
      <c r="S899" s="6">
        <v>1990.0</v>
      </c>
      <c r="T899" s="6">
        <v>2.0</v>
      </c>
      <c r="U899" s="1" t="s">
        <v>117</v>
      </c>
      <c r="V899" s="1" t="s">
        <v>118</v>
      </c>
      <c r="W899" s="6">
        <v>12.0</v>
      </c>
      <c r="X899" s="1" t="s">
        <v>99</v>
      </c>
      <c r="Y899" s="1" t="s">
        <v>100</v>
      </c>
      <c r="Z899" s="6">
        <v>27.47</v>
      </c>
      <c r="AA899" s="6">
        <v>87276.0</v>
      </c>
      <c r="AB899" s="10">
        <v>0.18</v>
      </c>
      <c r="AC899" s="1" t="s">
        <v>9036</v>
      </c>
      <c r="AD899" s="1" t="s">
        <v>9037</v>
      </c>
      <c r="AE899" s="1" t="s">
        <v>6363</v>
      </c>
      <c r="AF899" s="1" t="s">
        <v>6363</v>
      </c>
      <c r="AG899" s="1" t="s">
        <v>6363</v>
      </c>
      <c r="AH899" s="1" t="s">
        <v>1413</v>
      </c>
      <c r="AI899" s="6">
        <v>80220.0</v>
      </c>
      <c r="AJ899" s="1" t="s">
        <v>63</v>
      </c>
      <c r="AK899" s="1" t="s">
        <v>9038</v>
      </c>
      <c r="AL899" s="1" t="s">
        <v>9039</v>
      </c>
      <c r="AM899" s="11" t="str">
        <f>VLOOKUP(N899,Sheet3!$B$4:$C$10,2,1)</f>
        <v>51-60</v>
      </c>
      <c r="AN899" s="13" t="str">
        <f>VLOOKUP(Z899,Sheet3!$F$4:$G$10,2,1)</f>
        <v>21-30</v>
      </c>
      <c r="AO899" s="5" t="str">
        <f>VLOOKUP(AA899,Sheet3!$I$3:$J$16,2,1)</f>
        <v>80000-100000</v>
      </c>
      <c r="AP899" s="5" t="str">
        <f>VLOOKUP(AB899,Sheet3!$L$4:$M$14,2,1)</f>
        <v>16% - 20%</v>
      </c>
    </row>
    <row r="900">
      <c r="A900" s="6">
        <v>795746.0</v>
      </c>
      <c r="B900" s="1" t="s">
        <v>109</v>
      </c>
      <c r="C900" s="1" t="s">
        <v>9040</v>
      </c>
      <c r="D900" s="1" t="s">
        <v>1300</v>
      </c>
      <c r="E900" s="1" t="s">
        <v>631</v>
      </c>
      <c r="F900" s="1" t="s">
        <v>46</v>
      </c>
      <c r="G900" s="1" t="s">
        <v>9041</v>
      </c>
      <c r="H900" s="1" t="s">
        <v>8579</v>
      </c>
      <c r="I900" s="1" t="s">
        <v>9042</v>
      </c>
      <c r="J900" s="1" t="s">
        <v>9043</v>
      </c>
      <c r="K900" s="1" t="s">
        <v>1817</v>
      </c>
      <c r="L900" s="9">
        <v>32986.0</v>
      </c>
      <c r="M900" s="8">
        <v>0.01787037037037037</v>
      </c>
      <c r="N900" s="6">
        <v>27.28</v>
      </c>
      <c r="O900" s="6">
        <v>44.0</v>
      </c>
      <c r="P900" s="9">
        <v>41110.0</v>
      </c>
      <c r="Q900" s="1" t="s">
        <v>308</v>
      </c>
      <c r="R900" s="1" t="s">
        <v>53</v>
      </c>
      <c r="S900" s="6">
        <v>2012.0</v>
      </c>
      <c r="T900" s="6">
        <v>7.0</v>
      </c>
      <c r="U900" s="1" t="s">
        <v>366</v>
      </c>
      <c r="V900" s="1" t="s">
        <v>367</v>
      </c>
      <c r="W900" s="6">
        <v>20.0</v>
      </c>
      <c r="X900" s="1" t="s">
        <v>263</v>
      </c>
      <c r="Y900" s="1" t="s">
        <v>264</v>
      </c>
      <c r="Z900" s="6">
        <v>5.02</v>
      </c>
      <c r="AA900" s="6">
        <v>61936.0</v>
      </c>
      <c r="AB900" s="10">
        <v>0.02</v>
      </c>
      <c r="AC900" s="1" t="s">
        <v>9044</v>
      </c>
      <c r="AD900" s="1" t="s">
        <v>9045</v>
      </c>
      <c r="AE900" s="1" t="s">
        <v>3697</v>
      </c>
      <c r="AF900" s="1" t="s">
        <v>3697</v>
      </c>
      <c r="AG900" s="1" t="s">
        <v>3697</v>
      </c>
      <c r="AH900" s="1" t="s">
        <v>169</v>
      </c>
      <c r="AI900" s="6">
        <v>75376.0</v>
      </c>
      <c r="AJ900" s="1" t="s">
        <v>106</v>
      </c>
      <c r="AK900" s="1" t="s">
        <v>9046</v>
      </c>
      <c r="AL900" s="1" t="s">
        <v>9047</v>
      </c>
      <c r="AM900" s="11" t="str">
        <f>VLOOKUP(N900,Sheet3!$B$4:$C$10,2,1)</f>
        <v>21-30</v>
      </c>
      <c r="AN900" s="12" t="str">
        <f>VLOOKUP(Z900,Sheet3!$F$4:$G$10,2,1)</f>
        <v>5-10</v>
      </c>
      <c r="AO900" s="5" t="str">
        <f>VLOOKUP(AA900,Sheet3!$I$3:$J$16,2,1)</f>
        <v>60000-80000</v>
      </c>
      <c r="AP900" s="5" t="str">
        <f>VLOOKUP(AB900,Sheet3!$L$4:$M$14,2,1)</f>
        <v>&lt; 5%</v>
      </c>
    </row>
    <row r="901">
      <c r="A901" s="6">
        <v>880808.0</v>
      </c>
      <c r="B901" s="1" t="s">
        <v>66</v>
      </c>
      <c r="C901" s="1" t="s">
        <v>516</v>
      </c>
      <c r="D901" s="1" t="s">
        <v>466</v>
      </c>
      <c r="E901" s="1" t="s">
        <v>860</v>
      </c>
      <c r="F901" s="1" t="s">
        <v>70</v>
      </c>
      <c r="G901" s="1" t="s">
        <v>9048</v>
      </c>
      <c r="H901" s="1" t="s">
        <v>8579</v>
      </c>
      <c r="I901" s="1" t="s">
        <v>9049</v>
      </c>
      <c r="J901" s="1" t="s">
        <v>9050</v>
      </c>
      <c r="K901" s="1" t="s">
        <v>2989</v>
      </c>
      <c r="L901" s="9">
        <v>22852.0</v>
      </c>
      <c r="M901" s="8">
        <v>0.7505092592592593</v>
      </c>
      <c r="N901" s="6">
        <v>55.05</v>
      </c>
      <c r="O901" s="6">
        <v>68.0</v>
      </c>
      <c r="P901" s="14">
        <v>39854.0</v>
      </c>
      <c r="Q901" s="1" t="s">
        <v>96</v>
      </c>
      <c r="R901" s="1" t="s">
        <v>76</v>
      </c>
      <c r="S901" s="6">
        <v>2009.0</v>
      </c>
      <c r="T901" s="6">
        <v>2.0</v>
      </c>
      <c r="U901" s="1" t="s">
        <v>117</v>
      </c>
      <c r="V901" s="1" t="s">
        <v>118</v>
      </c>
      <c r="W901" s="6">
        <v>10.0</v>
      </c>
      <c r="X901" s="1" t="s">
        <v>79</v>
      </c>
      <c r="Y901" s="1" t="s">
        <v>80</v>
      </c>
      <c r="Z901" s="6">
        <v>8.47</v>
      </c>
      <c r="AA901" s="6">
        <v>53688.0</v>
      </c>
      <c r="AB901" s="10">
        <v>0.11</v>
      </c>
      <c r="AC901" s="1" t="s">
        <v>9051</v>
      </c>
      <c r="AD901" s="1" t="s">
        <v>9052</v>
      </c>
      <c r="AE901" s="1" t="s">
        <v>1225</v>
      </c>
      <c r="AF901" s="1" t="s">
        <v>9053</v>
      </c>
      <c r="AG901" s="1" t="s">
        <v>1225</v>
      </c>
      <c r="AH901" s="1" t="s">
        <v>525</v>
      </c>
      <c r="AI901" s="6">
        <v>72158.0</v>
      </c>
      <c r="AJ901" s="1" t="s">
        <v>106</v>
      </c>
      <c r="AK901" s="1" t="s">
        <v>9054</v>
      </c>
      <c r="AL901" s="1" t="s">
        <v>9055</v>
      </c>
      <c r="AM901" s="11" t="str">
        <f>VLOOKUP(N901,Sheet3!$B$4:$C$10,2,1)</f>
        <v>51-60</v>
      </c>
      <c r="AN901" s="12" t="str">
        <f>VLOOKUP(Z901,Sheet3!$F$4:$G$10,2,1)</f>
        <v>5-10</v>
      </c>
      <c r="AO901" s="5" t="str">
        <f>VLOOKUP(AA901,Sheet3!$I$3:$J$16,2,1)</f>
        <v>40000-60000</v>
      </c>
      <c r="AP901" s="5" t="str">
        <f>VLOOKUP(AB901,Sheet3!$L$4:$M$14,2,1)</f>
        <v>11% - 15%</v>
      </c>
    </row>
    <row r="902">
      <c r="A902" s="6">
        <v>224527.0</v>
      </c>
      <c r="B902" s="1" t="s">
        <v>227</v>
      </c>
      <c r="C902" s="1" t="s">
        <v>9056</v>
      </c>
      <c r="D902" s="1" t="s">
        <v>416</v>
      </c>
      <c r="E902" s="1" t="s">
        <v>116</v>
      </c>
      <c r="F902" s="1" t="s">
        <v>70</v>
      </c>
      <c r="G902" s="1" t="s">
        <v>9057</v>
      </c>
      <c r="H902" s="1" t="s">
        <v>8579</v>
      </c>
      <c r="I902" s="1" t="s">
        <v>9058</v>
      </c>
      <c r="J902" s="1" t="s">
        <v>9059</v>
      </c>
      <c r="K902" s="1" t="s">
        <v>3823</v>
      </c>
      <c r="L902" s="9">
        <v>26082.0</v>
      </c>
      <c r="M902" s="8">
        <v>0.7235763888888889</v>
      </c>
      <c r="N902" s="6">
        <v>46.2</v>
      </c>
      <c r="O902" s="6">
        <v>72.0</v>
      </c>
      <c r="P902" s="9">
        <v>34270.0</v>
      </c>
      <c r="Q902" s="1" t="s">
        <v>52</v>
      </c>
      <c r="R902" s="1" t="s">
        <v>53</v>
      </c>
      <c r="S902" s="6">
        <v>1993.0</v>
      </c>
      <c r="T902" s="6">
        <v>10.0</v>
      </c>
      <c r="U902" s="1" t="s">
        <v>133</v>
      </c>
      <c r="V902" s="1" t="s">
        <v>134</v>
      </c>
      <c r="W902" s="6">
        <v>28.0</v>
      </c>
      <c r="X902" s="1" t="s">
        <v>150</v>
      </c>
      <c r="Y902" s="1" t="s">
        <v>151</v>
      </c>
      <c r="Z902" s="6">
        <v>23.76</v>
      </c>
      <c r="AA902" s="6">
        <v>121236.0</v>
      </c>
      <c r="AB902" s="10">
        <v>0.27</v>
      </c>
      <c r="AC902" s="1" t="s">
        <v>9060</v>
      </c>
      <c r="AD902" s="1" t="s">
        <v>9061</v>
      </c>
      <c r="AE902" s="1" t="s">
        <v>5519</v>
      </c>
      <c r="AF902" s="1" t="s">
        <v>1539</v>
      </c>
      <c r="AG902" s="1" t="s">
        <v>5519</v>
      </c>
      <c r="AH902" s="1" t="s">
        <v>238</v>
      </c>
      <c r="AI902" s="6">
        <v>92846.0</v>
      </c>
      <c r="AJ902" s="1" t="s">
        <v>63</v>
      </c>
      <c r="AK902" s="1" t="s">
        <v>9062</v>
      </c>
      <c r="AL902" s="1" t="s">
        <v>9063</v>
      </c>
      <c r="AM902" s="11" t="str">
        <f>VLOOKUP(N902,Sheet3!$B$4:$C$10,2,1)</f>
        <v>41-50</v>
      </c>
      <c r="AN902" s="13" t="str">
        <f>VLOOKUP(Z902,Sheet3!$F$4:$G$10,2,1)</f>
        <v>21-30</v>
      </c>
      <c r="AO902" s="5" t="str">
        <f>VLOOKUP(AA902,Sheet3!$I$3:$J$16,2,1)</f>
        <v>120000-140000</v>
      </c>
      <c r="AP902" s="5" t="str">
        <f>VLOOKUP(AB902,Sheet3!$L$4:$M$14,2,1)</f>
        <v>26% - 30%</v>
      </c>
    </row>
    <row r="903">
      <c r="A903" s="6">
        <v>674436.0</v>
      </c>
      <c r="B903" s="1" t="s">
        <v>255</v>
      </c>
      <c r="C903" s="1" t="s">
        <v>7770</v>
      </c>
      <c r="D903" s="1" t="s">
        <v>443</v>
      </c>
      <c r="E903" s="1" t="s">
        <v>9064</v>
      </c>
      <c r="F903" s="1" t="s">
        <v>70</v>
      </c>
      <c r="G903" s="1" t="s">
        <v>9065</v>
      </c>
      <c r="H903" s="1" t="s">
        <v>8579</v>
      </c>
      <c r="I903" s="1" t="s">
        <v>9066</v>
      </c>
      <c r="J903" s="1" t="s">
        <v>9067</v>
      </c>
      <c r="K903" s="1" t="s">
        <v>1783</v>
      </c>
      <c r="L903" s="14">
        <v>29623.0</v>
      </c>
      <c r="M903" s="8">
        <v>0.7662731481481482</v>
      </c>
      <c r="N903" s="6">
        <v>36.5</v>
      </c>
      <c r="O903" s="6">
        <v>83.0</v>
      </c>
      <c r="P903" s="9">
        <v>39770.0</v>
      </c>
      <c r="Q903" s="1" t="s">
        <v>52</v>
      </c>
      <c r="R903" s="1" t="s">
        <v>53</v>
      </c>
      <c r="S903" s="6">
        <v>2008.0</v>
      </c>
      <c r="T903" s="6">
        <v>11.0</v>
      </c>
      <c r="U903" s="1" t="s">
        <v>148</v>
      </c>
      <c r="V903" s="1" t="s">
        <v>149</v>
      </c>
      <c r="W903" s="6">
        <v>18.0</v>
      </c>
      <c r="X903" s="1" t="s">
        <v>79</v>
      </c>
      <c r="Y903" s="1" t="s">
        <v>80</v>
      </c>
      <c r="Z903" s="6">
        <v>8.7</v>
      </c>
      <c r="AA903" s="6">
        <v>100184.0</v>
      </c>
      <c r="AB903" s="10">
        <v>0.0</v>
      </c>
      <c r="AC903" s="1" t="s">
        <v>9068</v>
      </c>
      <c r="AD903" s="1" t="s">
        <v>9069</v>
      </c>
      <c r="AE903" s="1" t="s">
        <v>9070</v>
      </c>
      <c r="AF903" s="1" t="s">
        <v>2750</v>
      </c>
      <c r="AG903" s="1" t="s">
        <v>9070</v>
      </c>
      <c r="AH903" s="1" t="s">
        <v>893</v>
      </c>
      <c r="AI903" s="6">
        <v>27503.0</v>
      </c>
      <c r="AJ903" s="1" t="s">
        <v>106</v>
      </c>
      <c r="AK903" s="1" t="s">
        <v>9071</v>
      </c>
      <c r="AL903" s="1" t="s">
        <v>9072</v>
      </c>
      <c r="AM903" s="11" t="str">
        <f>VLOOKUP(N903,Sheet3!$B$4:$C$10,2,1)</f>
        <v>31-40</v>
      </c>
      <c r="AN903" s="12" t="str">
        <f>VLOOKUP(Z903,Sheet3!$F$4:$G$10,2,1)</f>
        <v>5-10</v>
      </c>
      <c r="AO903" s="5" t="str">
        <f>VLOOKUP(AA903,Sheet3!$I$3:$J$16,2,1)</f>
        <v>100000-120000</v>
      </c>
      <c r="AP903" s="5" t="str">
        <f>VLOOKUP(AB903,Sheet3!$L$4:$M$14,2,1)</f>
        <v>&lt; 5%</v>
      </c>
    </row>
    <row r="904">
      <c r="A904" s="6">
        <v>492623.0</v>
      </c>
      <c r="B904" s="1" t="s">
        <v>109</v>
      </c>
      <c r="C904" s="1" t="s">
        <v>5880</v>
      </c>
      <c r="D904" s="1" t="s">
        <v>416</v>
      </c>
      <c r="E904" s="1" t="s">
        <v>3441</v>
      </c>
      <c r="F904" s="1" t="s">
        <v>46</v>
      </c>
      <c r="G904" s="1" t="s">
        <v>9073</v>
      </c>
      <c r="H904" s="1" t="s">
        <v>8579</v>
      </c>
      <c r="I904" s="1" t="s">
        <v>9074</v>
      </c>
      <c r="J904" s="1" t="s">
        <v>9075</v>
      </c>
      <c r="K904" s="1" t="s">
        <v>2225</v>
      </c>
      <c r="L904" s="9">
        <v>23861.0</v>
      </c>
      <c r="M904" s="8">
        <v>0.4713310185185185</v>
      </c>
      <c r="N904" s="6">
        <v>52.28</v>
      </c>
      <c r="O904" s="6">
        <v>43.0</v>
      </c>
      <c r="P904" s="9">
        <v>32160.0</v>
      </c>
      <c r="Q904" s="1" t="s">
        <v>96</v>
      </c>
      <c r="R904" s="1" t="s">
        <v>76</v>
      </c>
      <c r="S904" s="6">
        <v>1988.0</v>
      </c>
      <c r="T904" s="6">
        <v>1.0</v>
      </c>
      <c r="U904" s="1" t="s">
        <v>276</v>
      </c>
      <c r="V904" s="1" t="s">
        <v>277</v>
      </c>
      <c r="W904" s="6">
        <v>18.0</v>
      </c>
      <c r="X904" s="1" t="s">
        <v>99</v>
      </c>
      <c r="Y904" s="1" t="s">
        <v>100</v>
      </c>
      <c r="Z904" s="6">
        <v>29.55</v>
      </c>
      <c r="AA904" s="6">
        <v>128566.0</v>
      </c>
      <c r="AB904" s="10">
        <v>0.2</v>
      </c>
      <c r="AC904" s="1" t="s">
        <v>9076</v>
      </c>
      <c r="AD904" s="1" t="s">
        <v>9077</v>
      </c>
      <c r="AE904" s="1" t="s">
        <v>9078</v>
      </c>
      <c r="AF904" s="1" t="s">
        <v>9078</v>
      </c>
      <c r="AG904" s="1" t="s">
        <v>9078</v>
      </c>
      <c r="AH904" s="1" t="s">
        <v>2007</v>
      </c>
      <c r="AI904" s="6">
        <v>87507.0</v>
      </c>
      <c r="AJ904" s="1" t="s">
        <v>63</v>
      </c>
      <c r="AK904" s="1" t="s">
        <v>9079</v>
      </c>
      <c r="AL904" s="1" t="s">
        <v>9080</v>
      </c>
      <c r="AM904" s="11" t="str">
        <f>VLOOKUP(N904,Sheet3!$B$4:$C$10,2,1)</f>
        <v>51-60</v>
      </c>
      <c r="AN904" s="13" t="str">
        <f>VLOOKUP(Z904,Sheet3!$F$4:$G$10,2,1)</f>
        <v>21-30</v>
      </c>
      <c r="AO904" s="5" t="str">
        <f>VLOOKUP(AA904,Sheet3!$I$3:$J$16,2,1)</f>
        <v>120000-140000</v>
      </c>
      <c r="AP904" s="5" t="str">
        <f>VLOOKUP(AB904,Sheet3!$L$4:$M$14,2,1)</f>
        <v>16% - 20%</v>
      </c>
    </row>
    <row r="905">
      <c r="A905" s="6">
        <v>589874.0</v>
      </c>
      <c r="B905" s="1" t="s">
        <v>42</v>
      </c>
      <c r="C905" s="1" t="s">
        <v>9081</v>
      </c>
      <c r="D905" s="1" t="s">
        <v>46</v>
      </c>
      <c r="E905" s="1" t="s">
        <v>922</v>
      </c>
      <c r="F905" s="1" t="s">
        <v>46</v>
      </c>
      <c r="G905" s="1" t="s">
        <v>9082</v>
      </c>
      <c r="H905" s="1" t="s">
        <v>8579</v>
      </c>
      <c r="I905" s="1" t="s">
        <v>9083</v>
      </c>
      <c r="J905" s="1" t="s">
        <v>9084</v>
      </c>
      <c r="K905" s="1" t="s">
        <v>1047</v>
      </c>
      <c r="L905" s="9">
        <v>24819.0</v>
      </c>
      <c r="M905" s="8">
        <v>0.6526851851851851</v>
      </c>
      <c r="N905" s="6">
        <v>49.66</v>
      </c>
      <c r="O905" s="6">
        <v>60.0</v>
      </c>
      <c r="P905" s="9">
        <v>40077.0</v>
      </c>
      <c r="Q905" s="1" t="s">
        <v>308</v>
      </c>
      <c r="R905" s="1" t="s">
        <v>53</v>
      </c>
      <c r="S905" s="6">
        <v>2009.0</v>
      </c>
      <c r="T905" s="6">
        <v>9.0</v>
      </c>
      <c r="U905" s="1" t="s">
        <v>309</v>
      </c>
      <c r="V905" s="1" t="s">
        <v>310</v>
      </c>
      <c r="W905" s="6">
        <v>21.0</v>
      </c>
      <c r="X905" s="1" t="s">
        <v>99</v>
      </c>
      <c r="Y905" s="1" t="s">
        <v>100</v>
      </c>
      <c r="Z905" s="6">
        <v>7.85</v>
      </c>
      <c r="AA905" s="6">
        <v>57746.0</v>
      </c>
      <c r="AB905" s="10">
        <v>0.02</v>
      </c>
      <c r="AC905" s="1" t="s">
        <v>9085</v>
      </c>
      <c r="AD905" s="1" t="s">
        <v>9086</v>
      </c>
      <c r="AE905" s="1" t="s">
        <v>9087</v>
      </c>
      <c r="AF905" s="1" t="s">
        <v>5592</v>
      </c>
      <c r="AG905" s="1" t="s">
        <v>9087</v>
      </c>
      <c r="AH905" s="1" t="s">
        <v>169</v>
      </c>
      <c r="AI905" s="6">
        <v>79532.0</v>
      </c>
      <c r="AJ905" s="1" t="s">
        <v>106</v>
      </c>
      <c r="AK905" s="1" t="s">
        <v>9088</v>
      </c>
      <c r="AL905" s="1" t="s">
        <v>9089</v>
      </c>
      <c r="AM905" s="11" t="str">
        <f>VLOOKUP(N905,Sheet3!$B$4:$C$10,2,1)</f>
        <v>41-50</v>
      </c>
      <c r="AN905" s="12" t="str">
        <f>VLOOKUP(Z905,Sheet3!$F$4:$G$10,2,1)</f>
        <v>5-10</v>
      </c>
      <c r="AO905" s="5" t="str">
        <f>VLOOKUP(AA905,Sheet3!$I$3:$J$16,2,1)</f>
        <v>40000-60000</v>
      </c>
      <c r="AP905" s="5" t="str">
        <f>VLOOKUP(AB905,Sheet3!$L$4:$M$14,2,1)</f>
        <v>&lt; 5%</v>
      </c>
    </row>
    <row r="906">
      <c r="A906" s="6">
        <v>476018.0</v>
      </c>
      <c r="B906" s="1" t="s">
        <v>42</v>
      </c>
      <c r="C906" s="1" t="s">
        <v>9090</v>
      </c>
      <c r="D906" s="1" t="s">
        <v>1663</v>
      </c>
      <c r="E906" s="1" t="s">
        <v>5738</v>
      </c>
      <c r="F906" s="1" t="s">
        <v>46</v>
      </c>
      <c r="G906" s="1" t="s">
        <v>9091</v>
      </c>
      <c r="H906" s="1" t="s">
        <v>8579</v>
      </c>
      <c r="I906" s="1" t="s">
        <v>9092</v>
      </c>
      <c r="J906" s="1" t="s">
        <v>9093</v>
      </c>
      <c r="K906" s="1" t="s">
        <v>5136</v>
      </c>
      <c r="L906" s="14">
        <v>31901.0</v>
      </c>
      <c r="M906" s="8">
        <v>0.977037037037037</v>
      </c>
      <c r="N906" s="6">
        <v>30.25</v>
      </c>
      <c r="O906" s="6">
        <v>42.0</v>
      </c>
      <c r="P906" s="9">
        <v>40691.0</v>
      </c>
      <c r="Q906" s="1" t="s">
        <v>75</v>
      </c>
      <c r="R906" s="1" t="s">
        <v>76</v>
      </c>
      <c r="S906" s="6">
        <v>2011.0</v>
      </c>
      <c r="T906" s="6">
        <v>5.0</v>
      </c>
      <c r="U906" s="1" t="s">
        <v>294</v>
      </c>
      <c r="V906" s="1" t="s">
        <v>294</v>
      </c>
      <c r="W906" s="6">
        <v>28.0</v>
      </c>
      <c r="X906" s="1" t="s">
        <v>56</v>
      </c>
      <c r="Y906" s="1" t="s">
        <v>57</v>
      </c>
      <c r="Z906" s="6">
        <v>6.17</v>
      </c>
      <c r="AA906" s="6">
        <v>177228.0</v>
      </c>
      <c r="AB906" s="10">
        <v>0.14</v>
      </c>
      <c r="AC906" s="1" t="s">
        <v>9094</v>
      </c>
      <c r="AD906" s="1" t="s">
        <v>9095</v>
      </c>
      <c r="AE906" s="1" t="s">
        <v>9096</v>
      </c>
      <c r="AF906" s="1" t="s">
        <v>7578</v>
      </c>
      <c r="AG906" s="1" t="s">
        <v>9096</v>
      </c>
      <c r="AH906" s="1" t="s">
        <v>252</v>
      </c>
      <c r="AI906" s="6">
        <v>97624.0</v>
      </c>
      <c r="AJ906" s="1" t="s">
        <v>63</v>
      </c>
      <c r="AK906" s="1" t="s">
        <v>9097</v>
      </c>
      <c r="AL906" s="1" t="s">
        <v>9098</v>
      </c>
      <c r="AM906" s="11" t="str">
        <f>VLOOKUP(N906,Sheet3!$B$4:$C$10,2,1)</f>
        <v>21-30</v>
      </c>
      <c r="AN906" s="12" t="str">
        <f>VLOOKUP(Z906,Sheet3!$F$4:$G$10,2,1)</f>
        <v>5-10</v>
      </c>
      <c r="AO906" s="5" t="str">
        <f>VLOOKUP(AA906,Sheet3!$I$3:$J$16,2,1)</f>
        <v>160000-180000</v>
      </c>
      <c r="AP906" s="5" t="str">
        <f>VLOOKUP(AB906,Sheet3!$L$4:$M$14,2,1)</f>
        <v>11% - 15%</v>
      </c>
    </row>
    <row r="907">
      <c r="A907" s="6">
        <v>228339.0</v>
      </c>
      <c r="B907" s="1" t="s">
        <v>89</v>
      </c>
      <c r="C907" s="1" t="s">
        <v>9099</v>
      </c>
      <c r="D907" s="1" t="s">
        <v>318</v>
      </c>
      <c r="E907" s="1" t="s">
        <v>8629</v>
      </c>
      <c r="F907" s="1" t="s">
        <v>46</v>
      </c>
      <c r="G907" s="1" t="s">
        <v>9100</v>
      </c>
      <c r="H907" s="1" t="s">
        <v>8579</v>
      </c>
      <c r="I907" s="1" t="s">
        <v>9101</v>
      </c>
      <c r="J907" s="1" t="s">
        <v>9102</v>
      </c>
      <c r="K907" s="1" t="s">
        <v>5041</v>
      </c>
      <c r="L907" s="14">
        <v>31959.0</v>
      </c>
      <c r="M907" s="8">
        <v>0.9645601851851852</v>
      </c>
      <c r="N907" s="6">
        <v>30.1</v>
      </c>
      <c r="O907" s="6">
        <v>43.0</v>
      </c>
      <c r="P907" s="9">
        <v>41180.0</v>
      </c>
      <c r="Q907" s="1" t="s">
        <v>308</v>
      </c>
      <c r="R907" s="1" t="s">
        <v>53</v>
      </c>
      <c r="S907" s="6">
        <v>2012.0</v>
      </c>
      <c r="T907" s="6">
        <v>9.0</v>
      </c>
      <c r="U907" s="1" t="s">
        <v>309</v>
      </c>
      <c r="V907" s="1" t="s">
        <v>310</v>
      </c>
      <c r="W907" s="6">
        <v>28.0</v>
      </c>
      <c r="X907" s="1" t="s">
        <v>263</v>
      </c>
      <c r="Y907" s="1" t="s">
        <v>264</v>
      </c>
      <c r="Z907" s="6">
        <v>4.83</v>
      </c>
      <c r="AA907" s="6">
        <v>87718.0</v>
      </c>
      <c r="AB907" s="10">
        <v>0.1</v>
      </c>
      <c r="AC907" s="1" t="s">
        <v>9103</v>
      </c>
      <c r="AD907" s="1" t="s">
        <v>9104</v>
      </c>
      <c r="AE907" s="1" t="s">
        <v>9105</v>
      </c>
      <c r="AF907" s="1" t="s">
        <v>9106</v>
      </c>
      <c r="AG907" s="1" t="s">
        <v>9105</v>
      </c>
      <c r="AH907" s="1" t="s">
        <v>893</v>
      </c>
      <c r="AI907" s="6">
        <v>27941.0</v>
      </c>
      <c r="AJ907" s="1" t="s">
        <v>106</v>
      </c>
      <c r="AK907" s="1" t="s">
        <v>9107</v>
      </c>
      <c r="AL907" s="1" t="s">
        <v>9108</v>
      </c>
      <c r="AM907" s="11" t="str">
        <f>VLOOKUP(N907,Sheet3!$B$4:$C$10,2,1)</f>
        <v>21-30</v>
      </c>
      <c r="AN907" s="13" t="str">
        <f>VLOOKUP(Z907,Sheet3!$F$4:$G$10,2,1)</f>
        <v>&lt; 5</v>
      </c>
      <c r="AO907" s="5" t="str">
        <f>VLOOKUP(AA907,Sheet3!$I$3:$J$16,2,1)</f>
        <v>80000-100000</v>
      </c>
      <c r="AP907" s="5" t="str">
        <f>VLOOKUP(AB907,Sheet3!$L$4:$M$14,2,1)</f>
        <v>5% - 10%</v>
      </c>
    </row>
    <row r="908">
      <c r="A908" s="6">
        <v>239118.0</v>
      </c>
      <c r="B908" s="1" t="s">
        <v>109</v>
      </c>
      <c r="C908" s="1" t="s">
        <v>9109</v>
      </c>
      <c r="D908" s="1" t="s">
        <v>1300</v>
      </c>
      <c r="E908" s="1" t="s">
        <v>1513</v>
      </c>
      <c r="F908" s="1" t="s">
        <v>46</v>
      </c>
      <c r="G908" s="1" t="s">
        <v>9110</v>
      </c>
      <c r="H908" s="1" t="s">
        <v>8579</v>
      </c>
      <c r="I908" s="1" t="s">
        <v>9111</v>
      </c>
      <c r="J908" s="1" t="s">
        <v>9112</v>
      </c>
      <c r="K908" s="1" t="s">
        <v>1464</v>
      </c>
      <c r="L908" s="14">
        <v>21652.0</v>
      </c>
      <c r="M908" s="8">
        <v>0.200625</v>
      </c>
      <c r="N908" s="6">
        <v>58.33</v>
      </c>
      <c r="O908" s="6">
        <v>60.0</v>
      </c>
      <c r="P908" s="14">
        <v>32298.0</v>
      </c>
      <c r="Q908" s="1" t="s">
        <v>75</v>
      </c>
      <c r="R908" s="1" t="s">
        <v>76</v>
      </c>
      <c r="S908" s="6">
        <v>1988.0</v>
      </c>
      <c r="T908" s="6">
        <v>6.0</v>
      </c>
      <c r="U908" s="1" t="s">
        <v>324</v>
      </c>
      <c r="V908" s="1" t="s">
        <v>325</v>
      </c>
      <c r="W908" s="6">
        <v>4.0</v>
      </c>
      <c r="X908" s="1" t="s">
        <v>56</v>
      </c>
      <c r="Y908" s="1" t="s">
        <v>57</v>
      </c>
      <c r="Z908" s="6">
        <v>29.17</v>
      </c>
      <c r="AA908" s="6">
        <v>59439.0</v>
      </c>
      <c r="AB908" s="10">
        <v>0.28</v>
      </c>
      <c r="AC908" s="1" t="s">
        <v>9113</v>
      </c>
      <c r="AD908" s="1" t="s">
        <v>9114</v>
      </c>
      <c r="AE908" s="1" t="s">
        <v>9115</v>
      </c>
      <c r="AF908" s="1" t="s">
        <v>2856</v>
      </c>
      <c r="AG908" s="1" t="s">
        <v>9115</v>
      </c>
      <c r="AH908" s="1" t="s">
        <v>223</v>
      </c>
      <c r="AI908" s="6">
        <v>17312.0</v>
      </c>
      <c r="AJ908" s="1" t="s">
        <v>224</v>
      </c>
      <c r="AK908" s="1" t="s">
        <v>9116</v>
      </c>
      <c r="AL908" s="1" t="s">
        <v>9117</v>
      </c>
      <c r="AM908" s="11" t="str">
        <f>VLOOKUP(N908,Sheet3!$B$4:$C$10,2,1)</f>
        <v>51-60</v>
      </c>
      <c r="AN908" s="13" t="str">
        <f>VLOOKUP(Z908,Sheet3!$F$4:$G$10,2,1)</f>
        <v>21-30</v>
      </c>
      <c r="AO908" s="5" t="str">
        <f>VLOOKUP(AA908,Sheet3!$I$3:$J$16,2,1)</f>
        <v>40000-60000</v>
      </c>
      <c r="AP908" s="5" t="str">
        <f>VLOOKUP(AB908,Sheet3!$L$4:$M$14,2,1)</f>
        <v>26% - 30%</v>
      </c>
    </row>
    <row r="909">
      <c r="A909" s="6">
        <v>125780.0</v>
      </c>
      <c r="B909" s="1" t="s">
        <v>42</v>
      </c>
      <c r="C909" s="1" t="s">
        <v>2998</v>
      </c>
      <c r="D909" s="1" t="s">
        <v>127</v>
      </c>
      <c r="E909" s="1" t="s">
        <v>9118</v>
      </c>
      <c r="F909" s="1" t="s">
        <v>46</v>
      </c>
      <c r="G909" s="1" t="s">
        <v>9119</v>
      </c>
      <c r="H909" s="1" t="s">
        <v>8579</v>
      </c>
      <c r="I909" s="1" t="s">
        <v>9120</v>
      </c>
      <c r="J909" s="1" t="s">
        <v>9121</v>
      </c>
      <c r="K909" s="1" t="s">
        <v>2657</v>
      </c>
      <c r="L909" s="9">
        <v>23639.0</v>
      </c>
      <c r="M909" s="8">
        <v>0.7893402777777778</v>
      </c>
      <c r="N909" s="6">
        <v>52.89</v>
      </c>
      <c r="O909" s="6">
        <v>47.0</v>
      </c>
      <c r="P909" s="9">
        <v>34264.0</v>
      </c>
      <c r="Q909" s="1" t="s">
        <v>52</v>
      </c>
      <c r="R909" s="1" t="s">
        <v>53</v>
      </c>
      <c r="S909" s="6">
        <v>1993.0</v>
      </c>
      <c r="T909" s="6">
        <v>10.0</v>
      </c>
      <c r="U909" s="1" t="s">
        <v>133</v>
      </c>
      <c r="V909" s="1" t="s">
        <v>134</v>
      </c>
      <c r="W909" s="6">
        <v>22.0</v>
      </c>
      <c r="X909" s="1" t="s">
        <v>263</v>
      </c>
      <c r="Y909" s="1" t="s">
        <v>264</v>
      </c>
      <c r="Z909" s="6">
        <v>23.78</v>
      </c>
      <c r="AA909" s="6">
        <v>144698.0</v>
      </c>
      <c r="AB909" s="10">
        <v>0.27</v>
      </c>
      <c r="AC909" s="1" t="s">
        <v>9122</v>
      </c>
      <c r="AD909" s="1" t="s">
        <v>9123</v>
      </c>
      <c r="AE909" s="1" t="s">
        <v>2186</v>
      </c>
      <c r="AF909" s="1" t="s">
        <v>9124</v>
      </c>
      <c r="AG909" s="1" t="s">
        <v>2186</v>
      </c>
      <c r="AH909" s="1" t="s">
        <v>882</v>
      </c>
      <c r="AI909" s="6">
        <v>30145.0</v>
      </c>
      <c r="AJ909" s="1" t="s">
        <v>106</v>
      </c>
      <c r="AK909" s="1" t="s">
        <v>9125</v>
      </c>
      <c r="AL909" s="1" t="s">
        <v>9126</v>
      </c>
      <c r="AM909" s="11" t="str">
        <f>VLOOKUP(N909,Sheet3!$B$4:$C$10,2,1)</f>
        <v>51-60</v>
      </c>
      <c r="AN909" s="13" t="str">
        <f>VLOOKUP(Z909,Sheet3!$F$4:$G$10,2,1)</f>
        <v>21-30</v>
      </c>
      <c r="AO909" s="5" t="str">
        <f>VLOOKUP(AA909,Sheet3!$I$3:$J$16,2,1)</f>
        <v>140000-160000</v>
      </c>
      <c r="AP909" s="5" t="str">
        <f>VLOOKUP(AB909,Sheet3!$L$4:$M$14,2,1)</f>
        <v>26% - 30%</v>
      </c>
    </row>
    <row r="910">
      <c r="A910" s="6">
        <v>431018.0</v>
      </c>
      <c r="B910" s="1" t="s">
        <v>66</v>
      </c>
      <c r="C910" s="1" t="s">
        <v>6793</v>
      </c>
      <c r="D910" s="1" t="s">
        <v>186</v>
      </c>
      <c r="E910" s="1" t="s">
        <v>4451</v>
      </c>
      <c r="F910" s="1" t="s">
        <v>70</v>
      </c>
      <c r="G910" s="1" t="s">
        <v>9127</v>
      </c>
      <c r="H910" s="1" t="s">
        <v>8579</v>
      </c>
      <c r="I910" s="1" t="s">
        <v>9128</v>
      </c>
      <c r="J910" s="1" t="s">
        <v>9129</v>
      </c>
      <c r="K910" s="1" t="s">
        <v>6941</v>
      </c>
      <c r="L910" s="9">
        <v>32976.0</v>
      </c>
      <c r="M910" s="8">
        <v>0.36668981481481483</v>
      </c>
      <c r="N910" s="6">
        <v>27.31</v>
      </c>
      <c r="O910" s="6">
        <v>60.0</v>
      </c>
      <c r="P910" s="9">
        <v>42080.0</v>
      </c>
      <c r="Q910" s="1" t="s">
        <v>96</v>
      </c>
      <c r="R910" s="1" t="s">
        <v>76</v>
      </c>
      <c r="S910" s="6">
        <v>2015.0</v>
      </c>
      <c r="T910" s="6">
        <v>3.0</v>
      </c>
      <c r="U910" s="1" t="s">
        <v>97</v>
      </c>
      <c r="V910" s="1" t="s">
        <v>98</v>
      </c>
      <c r="W910" s="6">
        <v>17.0</v>
      </c>
      <c r="X910" s="1" t="s">
        <v>79</v>
      </c>
      <c r="Y910" s="1" t="s">
        <v>80</v>
      </c>
      <c r="Z910" s="6">
        <v>2.37</v>
      </c>
      <c r="AA910" s="6">
        <v>157663.0</v>
      </c>
      <c r="AB910" s="10">
        <v>0.15</v>
      </c>
      <c r="AC910" s="1" t="s">
        <v>9130</v>
      </c>
      <c r="AD910" s="1" t="s">
        <v>9131</v>
      </c>
      <c r="AE910" s="1" t="s">
        <v>9132</v>
      </c>
      <c r="AF910" s="1" t="s">
        <v>195</v>
      </c>
      <c r="AG910" s="1" t="s">
        <v>9132</v>
      </c>
      <c r="AH910" s="1" t="s">
        <v>284</v>
      </c>
      <c r="AI910" s="6">
        <v>50392.0</v>
      </c>
      <c r="AJ910" s="1" t="s">
        <v>86</v>
      </c>
      <c r="AK910" s="1" t="s">
        <v>9133</v>
      </c>
      <c r="AL910" s="1" t="s">
        <v>9134</v>
      </c>
      <c r="AM910" s="11" t="str">
        <f>VLOOKUP(N910,Sheet3!$B$4:$C$10,2,1)</f>
        <v>21-30</v>
      </c>
      <c r="AN910" s="13" t="str">
        <f>VLOOKUP(Z910,Sheet3!$F$4:$G$10,2,1)</f>
        <v>&lt; 5</v>
      </c>
      <c r="AO910" s="5" t="str">
        <f>VLOOKUP(AA910,Sheet3!$I$3:$J$16,2,1)</f>
        <v>140000-160000</v>
      </c>
      <c r="AP910" s="5" t="str">
        <f>VLOOKUP(AB910,Sheet3!$L$4:$M$14,2,1)</f>
        <v>11% - 15%</v>
      </c>
    </row>
    <row r="911">
      <c r="A911" s="6">
        <v>452967.0</v>
      </c>
      <c r="B911" s="1" t="s">
        <v>255</v>
      </c>
      <c r="C911" s="1" t="s">
        <v>9135</v>
      </c>
      <c r="D911" s="1" t="s">
        <v>360</v>
      </c>
      <c r="E911" s="1" t="s">
        <v>1656</v>
      </c>
      <c r="F911" s="1" t="s">
        <v>70</v>
      </c>
      <c r="G911" s="1" t="s">
        <v>9136</v>
      </c>
      <c r="H911" s="1" t="s">
        <v>8579</v>
      </c>
      <c r="I911" s="1" t="s">
        <v>9137</v>
      </c>
      <c r="J911" s="1" t="s">
        <v>9138</v>
      </c>
      <c r="K911" s="1" t="s">
        <v>2999</v>
      </c>
      <c r="L911" s="14">
        <v>32973.0</v>
      </c>
      <c r="M911" s="8">
        <v>0.7563888888888889</v>
      </c>
      <c r="N911" s="6">
        <v>27.32</v>
      </c>
      <c r="O911" s="6">
        <v>82.0</v>
      </c>
      <c r="P911" s="9">
        <v>42754.0</v>
      </c>
      <c r="Q911" s="1" t="s">
        <v>96</v>
      </c>
      <c r="R911" s="1" t="s">
        <v>76</v>
      </c>
      <c r="S911" s="6">
        <v>2017.0</v>
      </c>
      <c r="T911" s="6">
        <v>1.0</v>
      </c>
      <c r="U911" s="1" t="s">
        <v>276</v>
      </c>
      <c r="V911" s="1" t="s">
        <v>277</v>
      </c>
      <c r="W911" s="6">
        <v>19.0</v>
      </c>
      <c r="X911" s="1" t="s">
        <v>150</v>
      </c>
      <c r="Y911" s="1" t="s">
        <v>151</v>
      </c>
      <c r="Z911" s="6">
        <v>0.52</v>
      </c>
      <c r="AA911" s="6">
        <v>102546.0</v>
      </c>
      <c r="AB911" s="10">
        <v>0.02</v>
      </c>
      <c r="AC911" s="1" t="s">
        <v>9139</v>
      </c>
      <c r="AD911" s="1" t="s">
        <v>9140</v>
      </c>
      <c r="AE911" s="1" t="s">
        <v>9141</v>
      </c>
      <c r="AF911" s="1" t="s">
        <v>2471</v>
      </c>
      <c r="AG911" s="1" t="s">
        <v>9141</v>
      </c>
      <c r="AH911" s="1" t="s">
        <v>439</v>
      </c>
      <c r="AI911" s="6">
        <v>4037.0</v>
      </c>
      <c r="AJ911" s="1" t="s">
        <v>224</v>
      </c>
      <c r="AK911" s="1" t="s">
        <v>9142</v>
      </c>
      <c r="AL911" s="1" t="s">
        <v>9143</v>
      </c>
      <c r="AM911" s="11" t="str">
        <f>VLOOKUP(N911,Sheet3!$B$4:$C$10,2,1)</f>
        <v>21-30</v>
      </c>
      <c r="AN911" s="13" t="str">
        <f>VLOOKUP(Z911,Sheet3!$F$4:$G$10,2,1)</f>
        <v>&lt; 5</v>
      </c>
      <c r="AO911" s="5" t="str">
        <f>VLOOKUP(AA911,Sheet3!$I$3:$J$16,2,1)</f>
        <v>100000-120000</v>
      </c>
      <c r="AP911" s="5" t="str">
        <f>VLOOKUP(AB911,Sheet3!$L$4:$M$14,2,1)</f>
        <v>&lt; 5%</v>
      </c>
    </row>
    <row r="912">
      <c r="A912" s="6">
        <v>407464.0</v>
      </c>
      <c r="B912" s="1" t="s">
        <v>66</v>
      </c>
      <c r="C912" s="1" t="s">
        <v>9144</v>
      </c>
      <c r="D912" s="1" t="s">
        <v>186</v>
      </c>
      <c r="E912" s="1" t="s">
        <v>9145</v>
      </c>
      <c r="F912" s="1" t="s">
        <v>70</v>
      </c>
      <c r="G912" s="1" t="s">
        <v>9146</v>
      </c>
      <c r="H912" s="1" t="s">
        <v>8579</v>
      </c>
      <c r="I912" s="1" t="s">
        <v>9147</v>
      </c>
      <c r="J912" s="1" t="s">
        <v>9148</v>
      </c>
      <c r="K912" s="1" t="s">
        <v>5752</v>
      </c>
      <c r="L912" s="9">
        <v>24004.0</v>
      </c>
      <c r="M912" s="8">
        <v>0.4988078703703704</v>
      </c>
      <c r="N912" s="6">
        <v>51.89</v>
      </c>
      <c r="O912" s="6">
        <v>89.0</v>
      </c>
      <c r="P912" s="9">
        <v>39411.0</v>
      </c>
      <c r="Q912" s="1" t="s">
        <v>52</v>
      </c>
      <c r="R912" s="1" t="s">
        <v>53</v>
      </c>
      <c r="S912" s="6">
        <v>2007.0</v>
      </c>
      <c r="T912" s="6">
        <v>11.0</v>
      </c>
      <c r="U912" s="1" t="s">
        <v>148</v>
      </c>
      <c r="V912" s="1" t="s">
        <v>149</v>
      </c>
      <c r="W912" s="6">
        <v>25.0</v>
      </c>
      <c r="X912" s="1" t="s">
        <v>534</v>
      </c>
      <c r="Y912" s="1" t="s">
        <v>535</v>
      </c>
      <c r="Z912" s="6">
        <v>9.68</v>
      </c>
      <c r="AA912" s="6">
        <v>186558.0</v>
      </c>
      <c r="AB912" s="10">
        <v>0.1</v>
      </c>
      <c r="AC912" s="1" t="s">
        <v>9149</v>
      </c>
      <c r="AD912" s="1" t="s">
        <v>9150</v>
      </c>
      <c r="AE912" s="1" t="s">
        <v>9151</v>
      </c>
      <c r="AF912" s="1" t="s">
        <v>9152</v>
      </c>
      <c r="AG912" s="1" t="s">
        <v>9151</v>
      </c>
      <c r="AH912" s="1" t="s">
        <v>169</v>
      </c>
      <c r="AI912" s="6">
        <v>79313.0</v>
      </c>
      <c r="AJ912" s="1" t="s">
        <v>106</v>
      </c>
      <c r="AK912" s="1" t="s">
        <v>9153</v>
      </c>
      <c r="AL912" s="1" t="s">
        <v>9154</v>
      </c>
      <c r="AM912" s="11" t="str">
        <f>VLOOKUP(N912,Sheet3!$B$4:$C$10,2,1)</f>
        <v>51-60</v>
      </c>
      <c r="AN912" s="12" t="str">
        <f>VLOOKUP(Z912,Sheet3!$F$4:$G$10,2,1)</f>
        <v>5-10</v>
      </c>
      <c r="AO912" s="5" t="str">
        <f>VLOOKUP(AA912,Sheet3!$I$3:$J$16,2,1)</f>
        <v>180000-200000</v>
      </c>
      <c r="AP912" s="5" t="str">
        <f>VLOOKUP(AB912,Sheet3!$L$4:$M$14,2,1)</f>
        <v>5% - 10%</v>
      </c>
    </row>
    <row r="913">
      <c r="A913" s="6">
        <v>871827.0</v>
      </c>
      <c r="B913" s="1" t="s">
        <v>66</v>
      </c>
      <c r="C913" s="1" t="s">
        <v>9155</v>
      </c>
      <c r="D913" s="1" t="s">
        <v>1663</v>
      </c>
      <c r="E913" s="1" t="s">
        <v>6652</v>
      </c>
      <c r="F913" s="1" t="s">
        <v>70</v>
      </c>
      <c r="G913" s="1" t="s">
        <v>9156</v>
      </c>
      <c r="H913" s="1" t="s">
        <v>8579</v>
      </c>
      <c r="I913" s="1" t="s">
        <v>9157</v>
      </c>
      <c r="J913" s="1" t="s">
        <v>9158</v>
      </c>
      <c r="K913" s="1" t="s">
        <v>6091</v>
      </c>
      <c r="L913" s="14">
        <v>26577.0</v>
      </c>
      <c r="M913" s="8">
        <v>0.5566782407407408</v>
      </c>
      <c r="N913" s="6">
        <v>44.84</v>
      </c>
      <c r="O913" s="6">
        <v>61.0</v>
      </c>
      <c r="P913" s="14">
        <v>36902.0</v>
      </c>
      <c r="Q913" s="1" t="s">
        <v>96</v>
      </c>
      <c r="R913" s="1" t="s">
        <v>76</v>
      </c>
      <c r="S913" s="6">
        <v>2001.0</v>
      </c>
      <c r="T913" s="6">
        <v>1.0</v>
      </c>
      <c r="U913" s="1" t="s">
        <v>276</v>
      </c>
      <c r="V913" s="1" t="s">
        <v>277</v>
      </c>
      <c r="W913" s="6">
        <v>11.0</v>
      </c>
      <c r="X913" s="1" t="s">
        <v>150</v>
      </c>
      <c r="Y913" s="1" t="s">
        <v>151</v>
      </c>
      <c r="Z913" s="6">
        <v>16.55</v>
      </c>
      <c r="AA913" s="6">
        <v>88536.0</v>
      </c>
      <c r="AB913" s="10">
        <v>0.06</v>
      </c>
      <c r="AC913" s="1" t="s">
        <v>9159</v>
      </c>
      <c r="AD913" s="1" t="s">
        <v>9160</v>
      </c>
      <c r="AE913" s="1" t="s">
        <v>9161</v>
      </c>
      <c r="AF913" s="1" t="s">
        <v>9162</v>
      </c>
      <c r="AG913" s="1" t="s">
        <v>9161</v>
      </c>
      <c r="AH913" s="1" t="s">
        <v>974</v>
      </c>
      <c r="AI913" s="6">
        <v>44888.0</v>
      </c>
      <c r="AJ913" s="1" t="s">
        <v>86</v>
      </c>
      <c r="AK913" s="1" t="s">
        <v>9163</v>
      </c>
      <c r="AL913" s="1" t="s">
        <v>9164</v>
      </c>
      <c r="AM913" s="11" t="str">
        <f>VLOOKUP(N913,Sheet3!$B$4:$C$10,2,1)</f>
        <v>41-50</v>
      </c>
      <c r="AN913" s="12" t="str">
        <f>VLOOKUP(Z913,Sheet3!$F$4:$G$10,2,1)</f>
        <v>11-20</v>
      </c>
      <c r="AO913" s="5" t="str">
        <f>VLOOKUP(AA913,Sheet3!$I$3:$J$16,2,1)</f>
        <v>80000-100000</v>
      </c>
      <c r="AP913" s="5" t="str">
        <f>VLOOKUP(AB913,Sheet3!$L$4:$M$14,2,1)</f>
        <v>5% - 10%</v>
      </c>
    </row>
    <row r="914">
      <c r="A914" s="6">
        <v>884068.0</v>
      </c>
      <c r="B914" s="1" t="s">
        <v>255</v>
      </c>
      <c r="C914" s="1" t="s">
        <v>9165</v>
      </c>
      <c r="D914" s="1" t="s">
        <v>200</v>
      </c>
      <c r="E914" s="1" t="s">
        <v>5136</v>
      </c>
      <c r="F914" s="1" t="s">
        <v>70</v>
      </c>
      <c r="G914" s="1" t="s">
        <v>9166</v>
      </c>
      <c r="H914" s="1" t="s">
        <v>8579</v>
      </c>
      <c r="I914" s="1" t="s">
        <v>9167</v>
      </c>
      <c r="J914" s="1" t="s">
        <v>9168</v>
      </c>
      <c r="K914" s="1" t="s">
        <v>6619</v>
      </c>
      <c r="L914" s="14">
        <v>23503.0</v>
      </c>
      <c r="M914" s="8">
        <v>0.49894675925925924</v>
      </c>
      <c r="N914" s="6">
        <v>53.26</v>
      </c>
      <c r="O914" s="6">
        <v>88.0</v>
      </c>
      <c r="P914" s="14">
        <v>38878.0</v>
      </c>
      <c r="Q914" s="1" t="s">
        <v>75</v>
      </c>
      <c r="R914" s="1" t="s">
        <v>76</v>
      </c>
      <c r="S914" s="6">
        <v>2006.0</v>
      </c>
      <c r="T914" s="6">
        <v>6.0</v>
      </c>
      <c r="U914" s="1" t="s">
        <v>324</v>
      </c>
      <c r="V914" s="1" t="s">
        <v>325</v>
      </c>
      <c r="W914" s="6">
        <v>10.0</v>
      </c>
      <c r="X914" s="1" t="s">
        <v>56</v>
      </c>
      <c r="Y914" s="1" t="s">
        <v>57</v>
      </c>
      <c r="Z914" s="6">
        <v>11.14</v>
      </c>
      <c r="AA914" s="6">
        <v>190560.0</v>
      </c>
      <c r="AB914" s="10">
        <v>0.09</v>
      </c>
      <c r="AC914" s="1" t="s">
        <v>9169</v>
      </c>
      <c r="AD914" s="1" t="s">
        <v>9170</v>
      </c>
      <c r="AE914" s="1" t="s">
        <v>9171</v>
      </c>
      <c r="AF914" s="1" t="s">
        <v>9171</v>
      </c>
      <c r="AG914" s="1" t="s">
        <v>9171</v>
      </c>
      <c r="AH914" s="1" t="s">
        <v>238</v>
      </c>
      <c r="AI914" s="6">
        <v>94141.0</v>
      </c>
      <c r="AJ914" s="1" t="s">
        <v>63</v>
      </c>
      <c r="AK914" s="1" t="s">
        <v>9172</v>
      </c>
      <c r="AL914" s="1" t="s">
        <v>9173</v>
      </c>
      <c r="AM914" s="11" t="str">
        <f>VLOOKUP(N914,Sheet3!$B$4:$C$10,2,1)</f>
        <v>51-60</v>
      </c>
      <c r="AN914" s="12" t="str">
        <f>VLOOKUP(Z914,Sheet3!$F$4:$G$10,2,1)</f>
        <v>11-20</v>
      </c>
      <c r="AO914" s="5" t="str">
        <f>VLOOKUP(AA914,Sheet3!$I$3:$J$16,2,1)</f>
        <v>180000-200000</v>
      </c>
      <c r="AP914" s="5" t="str">
        <f>VLOOKUP(AB914,Sheet3!$L$4:$M$14,2,1)</f>
        <v>5% - 10%</v>
      </c>
    </row>
    <row r="915">
      <c r="A915" s="6">
        <v>131361.0</v>
      </c>
      <c r="B915" s="1" t="s">
        <v>42</v>
      </c>
      <c r="C915" s="1" t="s">
        <v>9174</v>
      </c>
      <c r="D915" s="1" t="s">
        <v>44</v>
      </c>
      <c r="E915" s="1" t="s">
        <v>1031</v>
      </c>
      <c r="F915" s="1" t="s">
        <v>46</v>
      </c>
      <c r="G915" s="1" t="s">
        <v>9175</v>
      </c>
      <c r="H915" s="1" t="s">
        <v>8579</v>
      </c>
      <c r="I915" s="1" t="s">
        <v>9176</v>
      </c>
      <c r="J915" s="1" t="s">
        <v>9177</v>
      </c>
      <c r="K915" s="1" t="s">
        <v>9178</v>
      </c>
      <c r="L915" s="14">
        <v>23134.0</v>
      </c>
      <c r="M915" s="8">
        <v>0.3425</v>
      </c>
      <c r="N915" s="6">
        <v>54.27</v>
      </c>
      <c r="O915" s="6">
        <v>59.0</v>
      </c>
      <c r="P915" s="14">
        <v>34371.0</v>
      </c>
      <c r="Q915" s="1" t="s">
        <v>96</v>
      </c>
      <c r="R915" s="1" t="s">
        <v>76</v>
      </c>
      <c r="S915" s="6">
        <v>1994.0</v>
      </c>
      <c r="T915" s="6">
        <v>2.0</v>
      </c>
      <c r="U915" s="1" t="s">
        <v>117</v>
      </c>
      <c r="V915" s="1" t="s">
        <v>118</v>
      </c>
      <c r="W915" s="6">
        <v>6.0</v>
      </c>
      <c r="X915" s="1" t="s">
        <v>534</v>
      </c>
      <c r="Y915" s="1" t="s">
        <v>535</v>
      </c>
      <c r="Z915" s="6">
        <v>23.49</v>
      </c>
      <c r="AA915" s="6">
        <v>130614.0</v>
      </c>
      <c r="AB915" s="10">
        <v>0.22</v>
      </c>
      <c r="AC915" s="1" t="s">
        <v>9179</v>
      </c>
      <c r="AD915" s="1" t="s">
        <v>9180</v>
      </c>
      <c r="AE915" s="1" t="s">
        <v>1447</v>
      </c>
      <c r="AF915" s="1" t="s">
        <v>1448</v>
      </c>
      <c r="AG915" s="1" t="s">
        <v>1447</v>
      </c>
      <c r="AH915" s="1" t="s">
        <v>252</v>
      </c>
      <c r="AI915" s="6">
        <v>97282.0</v>
      </c>
      <c r="AJ915" s="1" t="s">
        <v>63</v>
      </c>
      <c r="AK915" s="1" t="s">
        <v>9181</v>
      </c>
      <c r="AL915" s="1" t="s">
        <v>9182</v>
      </c>
      <c r="AM915" s="11" t="str">
        <f>VLOOKUP(N915,Sheet3!$B$4:$C$10,2,1)</f>
        <v>51-60</v>
      </c>
      <c r="AN915" s="13" t="str">
        <f>VLOOKUP(Z915,Sheet3!$F$4:$G$10,2,1)</f>
        <v>21-30</v>
      </c>
      <c r="AO915" s="5" t="str">
        <f>VLOOKUP(AA915,Sheet3!$I$3:$J$16,2,1)</f>
        <v>120000-140000</v>
      </c>
      <c r="AP915" s="5" t="str">
        <f>VLOOKUP(AB915,Sheet3!$L$4:$M$14,2,1)</f>
        <v>21% - 25%</v>
      </c>
    </row>
    <row r="916">
      <c r="A916" s="6">
        <v>259652.0</v>
      </c>
      <c r="B916" s="1" t="s">
        <v>66</v>
      </c>
      <c r="C916" s="1" t="s">
        <v>1439</v>
      </c>
      <c r="D916" s="1" t="s">
        <v>360</v>
      </c>
      <c r="E916" s="1" t="s">
        <v>8456</v>
      </c>
      <c r="F916" s="1" t="s">
        <v>70</v>
      </c>
      <c r="G916" s="1" t="s">
        <v>9183</v>
      </c>
      <c r="H916" s="1" t="s">
        <v>8579</v>
      </c>
      <c r="I916" s="1" t="s">
        <v>9184</v>
      </c>
      <c r="J916" s="1" t="s">
        <v>9185</v>
      </c>
      <c r="K916" s="1" t="s">
        <v>9186</v>
      </c>
      <c r="L916" s="14">
        <v>30561.0</v>
      </c>
      <c r="M916" s="8">
        <v>0.6882175925925926</v>
      </c>
      <c r="N916" s="6">
        <v>33.93</v>
      </c>
      <c r="O916" s="6">
        <v>74.0</v>
      </c>
      <c r="P916" s="14">
        <v>38385.0</v>
      </c>
      <c r="Q916" s="1" t="s">
        <v>96</v>
      </c>
      <c r="R916" s="1" t="s">
        <v>76</v>
      </c>
      <c r="S916" s="6">
        <v>2005.0</v>
      </c>
      <c r="T916" s="6">
        <v>2.0</v>
      </c>
      <c r="U916" s="1" t="s">
        <v>117</v>
      </c>
      <c r="V916" s="1" t="s">
        <v>118</v>
      </c>
      <c r="W916" s="6">
        <v>2.0</v>
      </c>
      <c r="X916" s="1" t="s">
        <v>278</v>
      </c>
      <c r="Y916" s="1" t="s">
        <v>279</v>
      </c>
      <c r="Z916" s="6">
        <v>12.49</v>
      </c>
      <c r="AA916" s="6">
        <v>82080.0</v>
      </c>
      <c r="AB916" s="10">
        <v>0.11</v>
      </c>
      <c r="AC916" s="1" t="s">
        <v>9187</v>
      </c>
      <c r="AD916" s="1" t="s">
        <v>9188</v>
      </c>
      <c r="AE916" s="1" t="s">
        <v>9189</v>
      </c>
      <c r="AF916" s="1" t="s">
        <v>2113</v>
      </c>
      <c r="AG916" s="1" t="s">
        <v>9189</v>
      </c>
      <c r="AH916" s="1" t="s">
        <v>196</v>
      </c>
      <c r="AI916" s="6">
        <v>37831.0</v>
      </c>
      <c r="AJ916" s="1" t="s">
        <v>106</v>
      </c>
      <c r="AK916" s="1" t="s">
        <v>9190</v>
      </c>
      <c r="AL916" s="1" t="s">
        <v>9191</v>
      </c>
      <c r="AM916" s="11" t="str">
        <f>VLOOKUP(N916,Sheet3!$B$4:$C$10,2,1)</f>
        <v>31-40</v>
      </c>
      <c r="AN916" s="12" t="str">
        <f>VLOOKUP(Z916,Sheet3!$F$4:$G$10,2,1)</f>
        <v>11-20</v>
      </c>
      <c r="AO916" s="5" t="str">
        <f>VLOOKUP(AA916,Sheet3!$I$3:$J$16,2,1)</f>
        <v>80000-100000</v>
      </c>
      <c r="AP916" s="5" t="str">
        <f>VLOOKUP(AB916,Sheet3!$L$4:$M$14,2,1)</f>
        <v>11% - 15%</v>
      </c>
    </row>
    <row r="917">
      <c r="A917" s="6">
        <v>430932.0</v>
      </c>
      <c r="B917" s="1" t="s">
        <v>125</v>
      </c>
      <c r="C917" s="1" t="s">
        <v>9192</v>
      </c>
      <c r="D917" s="1" t="s">
        <v>257</v>
      </c>
      <c r="E917" s="1" t="s">
        <v>91</v>
      </c>
      <c r="F917" s="1" t="s">
        <v>70</v>
      </c>
      <c r="G917" s="1" t="s">
        <v>9193</v>
      </c>
      <c r="H917" s="1" t="s">
        <v>8579</v>
      </c>
      <c r="I917" s="1" t="s">
        <v>9194</v>
      </c>
      <c r="J917" s="1" t="s">
        <v>9195</v>
      </c>
      <c r="K917" s="1" t="s">
        <v>5186</v>
      </c>
      <c r="L917" s="14">
        <v>30441.0</v>
      </c>
      <c r="M917" s="8">
        <v>0.024756944444444446</v>
      </c>
      <c r="N917" s="6">
        <v>34.25</v>
      </c>
      <c r="O917" s="6">
        <v>70.0</v>
      </c>
      <c r="P917" s="14">
        <v>38359.0</v>
      </c>
      <c r="Q917" s="1" t="s">
        <v>96</v>
      </c>
      <c r="R917" s="1" t="s">
        <v>76</v>
      </c>
      <c r="S917" s="6">
        <v>2005.0</v>
      </c>
      <c r="T917" s="6">
        <v>1.0</v>
      </c>
      <c r="U917" s="1" t="s">
        <v>276</v>
      </c>
      <c r="V917" s="1" t="s">
        <v>277</v>
      </c>
      <c r="W917" s="6">
        <v>7.0</v>
      </c>
      <c r="X917" s="1" t="s">
        <v>263</v>
      </c>
      <c r="Y917" s="1" t="s">
        <v>264</v>
      </c>
      <c r="Z917" s="6">
        <v>12.56</v>
      </c>
      <c r="AA917" s="6">
        <v>182789.0</v>
      </c>
      <c r="AB917" s="10">
        <v>0.1</v>
      </c>
      <c r="AC917" s="1" t="s">
        <v>9196</v>
      </c>
      <c r="AD917" s="1" t="s">
        <v>9197</v>
      </c>
      <c r="AE917" s="1" t="s">
        <v>9198</v>
      </c>
      <c r="AF917" s="1" t="s">
        <v>7684</v>
      </c>
      <c r="AG917" s="1" t="s">
        <v>9198</v>
      </c>
      <c r="AH917" s="1" t="s">
        <v>501</v>
      </c>
      <c r="AI917" s="6">
        <v>82638.0</v>
      </c>
      <c r="AJ917" s="1" t="s">
        <v>63</v>
      </c>
      <c r="AK917" s="1" t="s">
        <v>9199</v>
      </c>
      <c r="AL917" s="1" t="s">
        <v>9200</v>
      </c>
      <c r="AM917" s="11" t="str">
        <f>VLOOKUP(N917,Sheet3!$B$4:$C$10,2,1)</f>
        <v>31-40</v>
      </c>
      <c r="AN917" s="12" t="str">
        <f>VLOOKUP(Z917,Sheet3!$F$4:$G$10,2,1)</f>
        <v>11-20</v>
      </c>
      <c r="AO917" s="5" t="str">
        <f>VLOOKUP(AA917,Sheet3!$I$3:$J$16,2,1)</f>
        <v>180000-200000</v>
      </c>
      <c r="AP917" s="5" t="str">
        <f>VLOOKUP(AB917,Sheet3!$L$4:$M$14,2,1)</f>
        <v>5% - 10%</v>
      </c>
    </row>
    <row r="918">
      <c r="A918" s="6">
        <v>637522.0</v>
      </c>
      <c r="B918" s="1" t="s">
        <v>125</v>
      </c>
      <c r="C918" s="1" t="s">
        <v>9201</v>
      </c>
      <c r="D918" s="1" t="s">
        <v>334</v>
      </c>
      <c r="E918" s="1" t="s">
        <v>1712</v>
      </c>
      <c r="F918" s="1" t="s">
        <v>70</v>
      </c>
      <c r="G918" s="1" t="s">
        <v>9202</v>
      </c>
      <c r="H918" s="1" t="s">
        <v>8579</v>
      </c>
      <c r="I918" s="1" t="s">
        <v>9203</v>
      </c>
      <c r="J918" s="1" t="s">
        <v>9204</v>
      </c>
      <c r="K918" s="1" t="s">
        <v>3711</v>
      </c>
      <c r="L918" s="9">
        <v>31710.0</v>
      </c>
      <c r="M918" s="8">
        <v>0.9528472222222222</v>
      </c>
      <c r="N918" s="6">
        <v>30.78</v>
      </c>
      <c r="O918" s="6">
        <v>60.0</v>
      </c>
      <c r="P918" s="9">
        <v>42853.0</v>
      </c>
      <c r="Q918" s="1" t="s">
        <v>75</v>
      </c>
      <c r="R918" s="1" t="s">
        <v>76</v>
      </c>
      <c r="S918" s="6">
        <v>2017.0</v>
      </c>
      <c r="T918" s="6">
        <v>4.0</v>
      </c>
      <c r="U918" s="1" t="s">
        <v>77</v>
      </c>
      <c r="V918" s="1" t="s">
        <v>78</v>
      </c>
      <c r="W918" s="6">
        <v>28.0</v>
      </c>
      <c r="X918" s="1" t="s">
        <v>263</v>
      </c>
      <c r="Y918" s="1" t="s">
        <v>264</v>
      </c>
      <c r="Z918" s="6">
        <v>0.25</v>
      </c>
      <c r="AA918" s="6">
        <v>125341.0</v>
      </c>
      <c r="AB918" s="10">
        <v>0.13</v>
      </c>
      <c r="AC918" s="1" t="s">
        <v>9205</v>
      </c>
      <c r="AD918" s="1" t="s">
        <v>9206</v>
      </c>
      <c r="AE918" s="1" t="s">
        <v>9207</v>
      </c>
      <c r="AF918" s="1" t="s">
        <v>9208</v>
      </c>
      <c r="AG918" s="1" t="s">
        <v>9207</v>
      </c>
      <c r="AH918" s="1" t="s">
        <v>169</v>
      </c>
      <c r="AI918" s="6">
        <v>79540.0</v>
      </c>
      <c r="AJ918" s="1" t="s">
        <v>106</v>
      </c>
      <c r="AK918" s="1" t="s">
        <v>9209</v>
      </c>
      <c r="AL918" s="1" t="s">
        <v>9210</v>
      </c>
      <c r="AM918" s="11" t="str">
        <f>VLOOKUP(N918,Sheet3!$B$4:$C$10,2,1)</f>
        <v>21-30</v>
      </c>
      <c r="AN918" s="13" t="str">
        <f>VLOOKUP(Z918,Sheet3!$F$4:$G$10,2,1)</f>
        <v>&lt; 5</v>
      </c>
      <c r="AO918" s="5" t="str">
        <f>VLOOKUP(AA918,Sheet3!$I$3:$J$16,2,1)</f>
        <v>120000-140000</v>
      </c>
      <c r="AP918" s="5" t="str">
        <f>VLOOKUP(AB918,Sheet3!$L$4:$M$14,2,1)</f>
        <v>11% - 15%</v>
      </c>
    </row>
    <row r="919">
      <c r="A919" s="6">
        <v>467568.0</v>
      </c>
      <c r="B919" s="1" t="s">
        <v>227</v>
      </c>
      <c r="C919" s="1" t="s">
        <v>9211</v>
      </c>
      <c r="D919" s="1" t="s">
        <v>46</v>
      </c>
      <c r="E919" s="1" t="s">
        <v>2686</v>
      </c>
      <c r="F919" s="1" t="s">
        <v>70</v>
      </c>
      <c r="G919" s="1" t="s">
        <v>9212</v>
      </c>
      <c r="H919" s="1" t="s">
        <v>8579</v>
      </c>
      <c r="I919" s="1" t="s">
        <v>9213</v>
      </c>
      <c r="J919" s="1" t="s">
        <v>9214</v>
      </c>
      <c r="K919" s="1" t="s">
        <v>3476</v>
      </c>
      <c r="L919" s="9">
        <v>28725.0</v>
      </c>
      <c r="M919" s="8">
        <v>0.28729166666666667</v>
      </c>
      <c r="N919" s="6">
        <v>38.96</v>
      </c>
      <c r="O919" s="6">
        <v>90.0</v>
      </c>
      <c r="P919" s="14">
        <v>40058.0</v>
      </c>
      <c r="Q919" s="1" t="s">
        <v>308</v>
      </c>
      <c r="R919" s="1" t="s">
        <v>53</v>
      </c>
      <c r="S919" s="6">
        <v>2009.0</v>
      </c>
      <c r="T919" s="6">
        <v>9.0</v>
      </c>
      <c r="U919" s="1" t="s">
        <v>309</v>
      </c>
      <c r="V919" s="1" t="s">
        <v>310</v>
      </c>
      <c r="W919" s="6">
        <v>2.0</v>
      </c>
      <c r="X919" s="1" t="s">
        <v>278</v>
      </c>
      <c r="Y919" s="1" t="s">
        <v>279</v>
      </c>
      <c r="Z919" s="6">
        <v>7.91</v>
      </c>
      <c r="AA919" s="6">
        <v>193651.0</v>
      </c>
      <c r="AB919" s="10">
        <v>0.3</v>
      </c>
      <c r="AC919" s="1" t="s">
        <v>9215</v>
      </c>
      <c r="AD919" s="1" t="s">
        <v>9216</v>
      </c>
      <c r="AE919" s="1" t="s">
        <v>9217</v>
      </c>
      <c r="AF919" s="1" t="s">
        <v>3632</v>
      </c>
      <c r="AG919" s="1" t="s">
        <v>9217</v>
      </c>
      <c r="AH919" s="1" t="s">
        <v>299</v>
      </c>
      <c r="AI919" s="6">
        <v>74644.0</v>
      </c>
      <c r="AJ919" s="1" t="s">
        <v>106</v>
      </c>
      <c r="AK919" s="1" t="s">
        <v>9218</v>
      </c>
      <c r="AL919" s="1" t="s">
        <v>9219</v>
      </c>
      <c r="AM919" s="11" t="str">
        <f>VLOOKUP(N919,Sheet3!$B$4:$C$10,2,1)</f>
        <v>31-40</v>
      </c>
      <c r="AN919" s="12" t="str">
        <f>VLOOKUP(Z919,Sheet3!$F$4:$G$10,2,1)</f>
        <v>5-10</v>
      </c>
      <c r="AO919" s="5" t="str">
        <f>VLOOKUP(AA919,Sheet3!$I$3:$J$16,2,1)</f>
        <v>180000-200000</v>
      </c>
      <c r="AP919" s="5" t="str">
        <f>VLOOKUP(AB919,Sheet3!$L$4:$M$14,2,1)</f>
        <v>26% - 30%</v>
      </c>
    </row>
    <row r="920">
      <c r="A920" s="6">
        <v>683539.0</v>
      </c>
      <c r="B920" s="1" t="s">
        <v>66</v>
      </c>
      <c r="C920" s="1" t="s">
        <v>9220</v>
      </c>
      <c r="D920" s="1" t="s">
        <v>68</v>
      </c>
      <c r="E920" s="1" t="s">
        <v>1301</v>
      </c>
      <c r="F920" s="1" t="s">
        <v>70</v>
      </c>
      <c r="G920" s="1" t="s">
        <v>9221</v>
      </c>
      <c r="H920" s="1" t="s">
        <v>8579</v>
      </c>
      <c r="I920" s="1" t="s">
        <v>9222</v>
      </c>
      <c r="J920" s="1" t="s">
        <v>9223</v>
      </c>
      <c r="K920" s="1" t="s">
        <v>3711</v>
      </c>
      <c r="L920" s="14">
        <v>21617.0</v>
      </c>
      <c r="M920" s="8">
        <v>0.3654513888888889</v>
      </c>
      <c r="N920" s="6">
        <v>58.43</v>
      </c>
      <c r="O920" s="6">
        <v>77.0</v>
      </c>
      <c r="P920" s="9">
        <v>41759.0</v>
      </c>
      <c r="Q920" s="1" t="s">
        <v>75</v>
      </c>
      <c r="R920" s="1" t="s">
        <v>76</v>
      </c>
      <c r="S920" s="6">
        <v>2014.0</v>
      </c>
      <c r="T920" s="6">
        <v>4.0</v>
      </c>
      <c r="U920" s="1" t="s">
        <v>77</v>
      </c>
      <c r="V920" s="1" t="s">
        <v>78</v>
      </c>
      <c r="W920" s="6">
        <v>30.0</v>
      </c>
      <c r="X920" s="1" t="s">
        <v>278</v>
      </c>
      <c r="Y920" s="1" t="s">
        <v>279</v>
      </c>
      <c r="Z920" s="6">
        <v>3.25</v>
      </c>
      <c r="AA920" s="6">
        <v>170822.0</v>
      </c>
      <c r="AB920" s="10">
        <v>0.03</v>
      </c>
      <c r="AC920" s="1" t="s">
        <v>9224</v>
      </c>
      <c r="AD920" s="1" t="s">
        <v>9225</v>
      </c>
      <c r="AE920" s="1" t="s">
        <v>7183</v>
      </c>
      <c r="AF920" s="1" t="s">
        <v>4851</v>
      </c>
      <c r="AG920" s="1" t="s">
        <v>7183</v>
      </c>
      <c r="AH920" s="1" t="s">
        <v>1505</v>
      </c>
      <c r="AI920" s="6">
        <v>55404.0</v>
      </c>
      <c r="AJ920" s="1" t="s">
        <v>86</v>
      </c>
      <c r="AK920" s="1" t="s">
        <v>9226</v>
      </c>
      <c r="AL920" s="1" t="s">
        <v>9227</v>
      </c>
      <c r="AM920" s="11" t="str">
        <f>VLOOKUP(N920,Sheet3!$B$4:$C$10,2,1)</f>
        <v>51-60</v>
      </c>
      <c r="AN920" s="13" t="str">
        <f>VLOOKUP(Z920,Sheet3!$F$4:$G$10,2,1)</f>
        <v>&lt; 5</v>
      </c>
      <c r="AO920" s="5" t="str">
        <f>VLOOKUP(AA920,Sheet3!$I$3:$J$16,2,1)</f>
        <v>160000-180000</v>
      </c>
      <c r="AP920" s="5" t="str">
        <f>VLOOKUP(AB920,Sheet3!$L$4:$M$14,2,1)</f>
        <v>&lt; 5%</v>
      </c>
    </row>
    <row r="921">
      <c r="A921" s="6">
        <v>417301.0</v>
      </c>
      <c r="B921" s="1" t="s">
        <v>42</v>
      </c>
      <c r="C921" s="1" t="s">
        <v>4787</v>
      </c>
      <c r="D921" s="1" t="s">
        <v>389</v>
      </c>
      <c r="E921" s="1" t="s">
        <v>623</v>
      </c>
      <c r="F921" s="1" t="s">
        <v>46</v>
      </c>
      <c r="G921" s="1" t="s">
        <v>9228</v>
      </c>
      <c r="H921" s="1" t="s">
        <v>8579</v>
      </c>
      <c r="I921" s="1" t="s">
        <v>9229</v>
      </c>
      <c r="J921" s="1" t="s">
        <v>9230</v>
      </c>
      <c r="K921" s="1" t="s">
        <v>7678</v>
      </c>
      <c r="L921" s="14">
        <v>28704.0</v>
      </c>
      <c r="M921" s="8">
        <v>0.2193402777777778</v>
      </c>
      <c r="N921" s="6">
        <v>39.01</v>
      </c>
      <c r="O921" s="6">
        <v>41.0</v>
      </c>
      <c r="P921" s="9">
        <v>38803.0</v>
      </c>
      <c r="Q921" s="1" t="s">
        <v>96</v>
      </c>
      <c r="R921" s="1" t="s">
        <v>76</v>
      </c>
      <c r="S921" s="6">
        <v>2006.0</v>
      </c>
      <c r="T921" s="6">
        <v>3.0</v>
      </c>
      <c r="U921" s="1" t="s">
        <v>97</v>
      </c>
      <c r="V921" s="1" t="s">
        <v>98</v>
      </c>
      <c r="W921" s="6">
        <v>27.0</v>
      </c>
      <c r="X921" s="1" t="s">
        <v>99</v>
      </c>
      <c r="Y921" s="1" t="s">
        <v>100</v>
      </c>
      <c r="Z921" s="6">
        <v>11.35</v>
      </c>
      <c r="AA921" s="6">
        <v>83011.0</v>
      </c>
      <c r="AB921" s="10">
        <v>0.26</v>
      </c>
      <c r="AC921" s="1" t="s">
        <v>9231</v>
      </c>
      <c r="AD921" s="1" t="s">
        <v>9232</v>
      </c>
      <c r="AE921" s="1" t="s">
        <v>9233</v>
      </c>
      <c r="AF921" s="1" t="s">
        <v>9234</v>
      </c>
      <c r="AG921" s="1" t="s">
        <v>9233</v>
      </c>
      <c r="AH921" s="1" t="s">
        <v>2483</v>
      </c>
      <c r="AI921" s="6">
        <v>29078.0</v>
      </c>
      <c r="AJ921" s="1" t="s">
        <v>106</v>
      </c>
      <c r="AK921" s="1" t="s">
        <v>9235</v>
      </c>
      <c r="AL921" s="1" t="s">
        <v>9236</v>
      </c>
      <c r="AM921" s="11" t="str">
        <f>VLOOKUP(N921,Sheet3!$B$4:$C$10,2,1)</f>
        <v>31-40</v>
      </c>
      <c r="AN921" s="12" t="str">
        <f>VLOOKUP(Z921,Sheet3!$F$4:$G$10,2,1)</f>
        <v>11-20</v>
      </c>
      <c r="AO921" s="5" t="str">
        <f>VLOOKUP(AA921,Sheet3!$I$3:$J$16,2,1)</f>
        <v>80000-100000</v>
      </c>
      <c r="AP921" s="5" t="str">
        <f>VLOOKUP(AB921,Sheet3!$L$4:$M$14,2,1)</f>
        <v>26% - 30%</v>
      </c>
    </row>
    <row r="922">
      <c r="A922" s="6">
        <v>682104.0</v>
      </c>
      <c r="B922" s="1" t="s">
        <v>109</v>
      </c>
      <c r="C922" s="1" t="s">
        <v>6061</v>
      </c>
      <c r="D922" s="1" t="s">
        <v>70</v>
      </c>
      <c r="E922" s="1" t="s">
        <v>2978</v>
      </c>
      <c r="F922" s="1" t="s">
        <v>46</v>
      </c>
      <c r="G922" s="1" t="s">
        <v>9237</v>
      </c>
      <c r="H922" s="1" t="s">
        <v>8579</v>
      </c>
      <c r="I922" s="1" t="s">
        <v>9238</v>
      </c>
      <c r="J922" s="1" t="s">
        <v>9239</v>
      </c>
      <c r="K922" s="1" t="s">
        <v>4308</v>
      </c>
      <c r="L922" s="9">
        <v>27326.0</v>
      </c>
      <c r="M922" s="8">
        <v>0.5060532407407408</v>
      </c>
      <c r="N922" s="6">
        <v>42.79</v>
      </c>
      <c r="O922" s="6">
        <v>52.0</v>
      </c>
      <c r="P922" s="9">
        <v>38676.0</v>
      </c>
      <c r="Q922" s="1" t="s">
        <v>52</v>
      </c>
      <c r="R922" s="1" t="s">
        <v>53</v>
      </c>
      <c r="S922" s="6">
        <v>2005.0</v>
      </c>
      <c r="T922" s="6">
        <v>11.0</v>
      </c>
      <c r="U922" s="1" t="s">
        <v>148</v>
      </c>
      <c r="V922" s="1" t="s">
        <v>149</v>
      </c>
      <c r="W922" s="6">
        <v>20.0</v>
      </c>
      <c r="X922" s="1" t="s">
        <v>534</v>
      </c>
      <c r="Y922" s="1" t="s">
        <v>535</v>
      </c>
      <c r="Z922" s="6">
        <v>11.69</v>
      </c>
      <c r="AA922" s="6">
        <v>125339.0</v>
      </c>
      <c r="AB922" s="10">
        <v>0.27</v>
      </c>
      <c r="AC922" s="1" t="s">
        <v>9240</v>
      </c>
      <c r="AD922" s="1" t="s">
        <v>9241</v>
      </c>
      <c r="AE922" s="1" t="s">
        <v>2822</v>
      </c>
      <c r="AF922" s="1" t="s">
        <v>2823</v>
      </c>
      <c r="AG922" s="1" t="s">
        <v>2822</v>
      </c>
      <c r="AH922" s="1" t="s">
        <v>906</v>
      </c>
      <c r="AI922" s="6">
        <v>7021.0</v>
      </c>
      <c r="AJ922" s="1" t="s">
        <v>224</v>
      </c>
      <c r="AK922" s="1" t="s">
        <v>9242</v>
      </c>
      <c r="AL922" s="1" t="s">
        <v>9243</v>
      </c>
      <c r="AM922" s="11" t="str">
        <f>VLOOKUP(N922,Sheet3!$B$4:$C$10,2,1)</f>
        <v>41-50</v>
      </c>
      <c r="AN922" s="12" t="str">
        <f>VLOOKUP(Z922,Sheet3!$F$4:$G$10,2,1)</f>
        <v>11-20</v>
      </c>
      <c r="AO922" s="5" t="str">
        <f>VLOOKUP(AA922,Sheet3!$I$3:$J$16,2,1)</f>
        <v>120000-140000</v>
      </c>
      <c r="AP922" s="5" t="str">
        <f>VLOOKUP(AB922,Sheet3!$L$4:$M$14,2,1)</f>
        <v>26% - 30%</v>
      </c>
    </row>
    <row r="923">
      <c r="A923" s="6">
        <v>544977.0</v>
      </c>
      <c r="B923" s="1" t="s">
        <v>66</v>
      </c>
      <c r="C923" s="1" t="s">
        <v>9244</v>
      </c>
      <c r="D923" s="1" t="s">
        <v>127</v>
      </c>
      <c r="E923" s="1" t="s">
        <v>4740</v>
      </c>
      <c r="F923" s="1" t="s">
        <v>70</v>
      </c>
      <c r="G923" s="1" t="s">
        <v>9245</v>
      </c>
      <c r="H923" s="1" t="s">
        <v>8579</v>
      </c>
      <c r="I923" s="1" t="s">
        <v>9246</v>
      </c>
      <c r="J923" s="1" t="s">
        <v>9247</v>
      </c>
      <c r="K923" s="1" t="s">
        <v>877</v>
      </c>
      <c r="L923" s="14">
        <v>33543.0</v>
      </c>
      <c r="M923" s="8">
        <v>0.03817129629629629</v>
      </c>
      <c r="N923" s="6">
        <v>25.76</v>
      </c>
      <c r="O923" s="6">
        <v>77.0</v>
      </c>
      <c r="P923" s="9">
        <v>42300.0</v>
      </c>
      <c r="Q923" s="1" t="s">
        <v>52</v>
      </c>
      <c r="R923" s="1" t="s">
        <v>53</v>
      </c>
      <c r="S923" s="6">
        <v>2015.0</v>
      </c>
      <c r="T923" s="6">
        <v>10.0</v>
      </c>
      <c r="U923" s="1" t="s">
        <v>133</v>
      </c>
      <c r="V923" s="1" t="s">
        <v>134</v>
      </c>
      <c r="W923" s="6">
        <v>23.0</v>
      </c>
      <c r="X923" s="1" t="s">
        <v>263</v>
      </c>
      <c r="Y923" s="1" t="s">
        <v>264</v>
      </c>
      <c r="Z923" s="6">
        <v>1.76</v>
      </c>
      <c r="AA923" s="6">
        <v>171667.0</v>
      </c>
      <c r="AB923" s="10">
        <v>0.3</v>
      </c>
      <c r="AC923" s="1" t="s">
        <v>9248</v>
      </c>
      <c r="AD923" s="1" t="s">
        <v>9249</v>
      </c>
      <c r="AE923" s="1" t="s">
        <v>9250</v>
      </c>
      <c r="AF923" s="1" t="s">
        <v>7460</v>
      </c>
      <c r="AG923" s="1" t="s">
        <v>9250</v>
      </c>
      <c r="AH923" s="1" t="s">
        <v>488</v>
      </c>
      <c r="AI923" s="6">
        <v>34120.0</v>
      </c>
      <c r="AJ923" s="1" t="s">
        <v>106</v>
      </c>
      <c r="AK923" s="1" t="s">
        <v>9251</v>
      </c>
      <c r="AL923" s="1" t="s">
        <v>9252</v>
      </c>
      <c r="AM923" s="11" t="str">
        <f>VLOOKUP(N923,Sheet3!$B$4:$C$10,2,1)</f>
        <v>21-30</v>
      </c>
      <c r="AN923" s="13" t="str">
        <f>VLOOKUP(Z923,Sheet3!$F$4:$G$10,2,1)</f>
        <v>&lt; 5</v>
      </c>
      <c r="AO923" s="5" t="str">
        <f>VLOOKUP(AA923,Sheet3!$I$3:$J$16,2,1)</f>
        <v>160000-180000</v>
      </c>
      <c r="AP923" s="5" t="str">
        <f>VLOOKUP(AB923,Sheet3!$L$4:$M$14,2,1)</f>
        <v>26% - 30%</v>
      </c>
    </row>
    <row r="924">
      <c r="A924" s="6">
        <v>928962.0</v>
      </c>
      <c r="B924" s="1" t="s">
        <v>66</v>
      </c>
      <c r="C924" s="1" t="s">
        <v>9253</v>
      </c>
      <c r="D924" s="1" t="s">
        <v>1300</v>
      </c>
      <c r="E924" s="1" t="s">
        <v>2379</v>
      </c>
      <c r="F924" s="1" t="s">
        <v>70</v>
      </c>
      <c r="G924" s="1" t="s">
        <v>9254</v>
      </c>
      <c r="H924" s="1" t="s">
        <v>8579</v>
      </c>
      <c r="I924" s="1" t="s">
        <v>9255</v>
      </c>
      <c r="J924" s="1" t="s">
        <v>9256</v>
      </c>
      <c r="K924" s="1" t="s">
        <v>1289</v>
      </c>
      <c r="L924" s="9">
        <v>22176.0</v>
      </c>
      <c r="M924" s="8">
        <v>0.3348611111111111</v>
      </c>
      <c r="N924" s="6">
        <v>56.9</v>
      </c>
      <c r="O924" s="6">
        <v>57.0</v>
      </c>
      <c r="P924" s="9">
        <v>37123.0</v>
      </c>
      <c r="Q924" s="1" t="s">
        <v>308</v>
      </c>
      <c r="R924" s="1" t="s">
        <v>53</v>
      </c>
      <c r="S924" s="6">
        <v>2001.0</v>
      </c>
      <c r="T924" s="6">
        <v>8.0</v>
      </c>
      <c r="U924" s="1" t="s">
        <v>433</v>
      </c>
      <c r="V924" s="1" t="s">
        <v>434</v>
      </c>
      <c r="W924" s="6">
        <v>20.0</v>
      </c>
      <c r="X924" s="1" t="s">
        <v>99</v>
      </c>
      <c r="Y924" s="1" t="s">
        <v>100</v>
      </c>
      <c r="Z924" s="6">
        <v>15.95</v>
      </c>
      <c r="AA924" s="6">
        <v>182752.0</v>
      </c>
      <c r="AB924" s="10">
        <v>0.04</v>
      </c>
      <c r="AC924" s="1" t="s">
        <v>9257</v>
      </c>
      <c r="AD924" s="1" t="s">
        <v>9258</v>
      </c>
      <c r="AE924" s="1" t="s">
        <v>6560</v>
      </c>
      <c r="AF924" s="1" t="s">
        <v>6560</v>
      </c>
      <c r="AG924" s="1" t="s">
        <v>6560</v>
      </c>
      <c r="AH924" s="1" t="s">
        <v>1527</v>
      </c>
      <c r="AI924" s="6">
        <v>36644.0</v>
      </c>
      <c r="AJ924" s="1" t="s">
        <v>106</v>
      </c>
      <c r="AK924" s="1" t="s">
        <v>9259</v>
      </c>
      <c r="AL924" s="1" t="s">
        <v>9260</v>
      </c>
      <c r="AM924" s="11" t="str">
        <f>VLOOKUP(N924,Sheet3!$B$4:$C$10,2,1)</f>
        <v>51-60</v>
      </c>
      <c r="AN924" s="12" t="str">
        <f>VLOOKUP(Z924,Sheet3!$F$4:$G$10,2,1)</f>
        <v>11-20</v>
      </c>
      <c r="AO924" s="5" t="str">
        <f>VLOOKUP(AA924,Sheet3!$I$3:$J$16,2,1)</f>
        <v>180000-200000</v>
      </c>
      <c r="AP924" s="5" t="str">
        <f>VLOOKUP(AB924,Sheet3!$L$4:$M$14,2,1)</f>
        <v>&lt; 5%</v>
      </c>
    </row>
    <row r="925">
      <c r="A925" s="6">
        <v>248088.0</v>
      </c>
      <c r="B925" s="1" t="s">
        <v>109</v>
      </c>
      <c r="C925" s="1" t="s">
        <v>9261</v>
      </c>
      <c r="D925" s="1" t="s">
        <v>360</v>
      </c>
      <c r="E925" s="1" t="s">
        <v>1840</v>
      </c>
      <c r="F925" s="1" t="s">
        <v>46</v>
      </c>
      <c r="G925" s="1" t="s">
        <v>9262</v>
      </c>
      <c r="H925" s="1" t="s">
        <v>8579</v>
      </c>
      <c r="I925" s="1" t="s">
        <v>9263</v>
      </c>
      <c r="J925" s="1" t="s">
        <v>9264</v>
      </c>
      <c r="K925" s="1" t="s">
        <v>6667</v>
      </c>
      <c r="L925" s="9">
        <v>32857.0</v>
      </c>
      <c r="M925" s="8">
        <v>0.8704976851851852</v>
      </c>
      <c r="N925" s="6">
        <v>27.64</v>
      </c>
      <c r="O925" s="6">
        <v>47.0</v>
      </c>
      <c r="P925" s="14">
        <v>41339.0</v>
      </c>
      <c r="Q925" s="1" t="s">
        <v>96</v>
      </c>
      <c r="R925" s="1" t="s">
        <v>76</v>
      </c>
      <c r="S925" s="6">
        <v>2013.0</v>
      </c>
      <c r="T925" s="6">
        <v>3.0</v>
      </c>
      <c r="U925" s="1" t="s">
        <v>97</v>
      </c>
      <c r="V925" s="1" t="s">
        <v>98</v>
      </c>
      <c r="W925" s="6">
        <v>6.0</v>
      </c>
      <c r="X925" s="1" t="s">
        <v>278</v>
      </c>
      <c r="Y925" s="1" t="s">
        <v>279</v>
      </c>
      <c r="Z925" s="6">
        <v>4.4</v>
      </c>
      <c r="AA925" s="6">
        <v>89291.0</v>
      </c>
      <c r="AB925" s="10">
        <v>0.27</v>
      </c>
      <c r="AC925" s="1" t="s">
        <v>9265</v>
      </c>
      <c r="AD925" s="1" t="s">
        <v>9266</v>
      </c>
      <c r="AE925" s="1" t="s">
        <v>9267</v>
      </c>
      <c r="AF925" s="1" t="s">
        <v>649</v>
      </c>
      <c r="AG925" s="1" t="s">
        <v>9267</v>
      </c>
      <c r="AH925" s="1" t="s">
        <v>169</v>
      </c>
      <c r="AI925" s="6">
        <v>77629.0</v>
      </c>
      <c r="AJ925" s="1" t="s">
        <v>106</v>
      </c>
      <c r="AK925" s="1" t="s">
        <v>9268</v>
      </c>
      <c r="AL925" s="1" t="s">
        <v>9269</v>
      </c>
      <c r="AM925" s="11" t="str">
        <f>VLOOKUP(N925,Sheet3!$B$4:$C$10,2,1)</f>
        <v>21-30</v>
      </c>
      <c r="AN925" s="13" t="str">
        <f>VLOOKUP(Z925,Sheet3!$F$4:$G$10,2,1)</f>
        <v>&lt; 5</v>
      </c>
      <c r="AO925" s="5" t="str">
        <f>VLOOKUP(AA925,Sheet3!$I$3:$J$16,2,1)</f>
        <v>80000-100000</v>
      </c>
      <c r="AP925" s="5" t="str">
        <f>VLOOKUP(AB925,Sheet3!$L$4:$M$14,2,1)</f>
        <v>26% - 30%</v>
      </c>
    </row>
    <row r="926">
      <c r="A926" s="6">
        <v>599683.0</v>
      </c>
      <c r="B926" s="1" t="s">
        <v>66</v>
      </c>
      <c r="C926" s="1" t="s">
        <v>4864</v>
      </c>
      <c r="D926" s="1" t="s">
        <v>68</v>
      </c>
      <c r="E926" s="1" t="s">
        <v>1165</v>
      </c>
      <c r="F926" s="1" t="s">
        <v>70</v>
      </c>
      <c r="G926" s="1" t="s">
        <v>9270</v>
      </c>
      <c r="H926" s="1" t="s">
        <v>8579</v>
      </c>
      <c r="I926" s="1" t="s">
        <v>9271</v>
      </c>
      <c r="J926" s="1" t="s">
        <v>9272</v>
      </c>
      <c r="K926" s="1" t="s">
        <v>3531</v>
      </c>
      <c r="L926" s="14">
        <v>28346.0</v>
      </c>
      <c r="M926" s="8">
        <v>0.6033912037037037</v>
      </c>
      <c r="N926" s="6">
        <v>39.99</v>
      </c>
      <c r="O926" s="6">
        <v>73.0</v>
      </c>
      <c r="P926" s="9">
        <v>41758.0</v>
      </c>
      <c r="Q926" s="1" t="s">
        <v>75</v>
      </c>
      <c r="R926" s="1" t="s">
        <v>76</v>
      </c>
      <c r="S926" s="6">
        <v>2014.0</v>
      </c>
      <c r="T926" s="6">
        <v>4.0</v>
      </c>
      <c r="U926" s="1" t="s">
        <v>77</v>
      </c>
      <c r="V926" s="1" t="s">
        <v>78</v>
      </c>
      <c r="W926" s="6">
        <v>29.0</v>
      </c>
      <c r="X926" s="1" t="s">
        <v>79</v>
      </c>
      <c r="Y926" s="1" t="s">
        <v>80</v>
      </c>
      <c r="Z926" s="6">
        <v>3.25</v>
      </c>
      <c r="AA926" s="6">
        <v>180288.0</v>
      </c>
      <c r="AB926" s="10">
        <v>0.22</v>
      </c>
      <c r="AC926" s="1" t="s">
        <v>9273</v>
      </c>
      <c r="AD926" s="1" t="s">
        <v>9274</v>
      </c>
      <c r="AE926" s="1" t="s">
        <v>9275</v>
      </c>
      <c r="AF926" s="1" t="s">
        <v>9276</v>
      </c>
      <c r="AG926" s="1" t="s">
        <v>9275</v>
      </c>
      <c r="AH926" s="1" t="s">
        <v>525</v>
      </c>
      <c r="AI926" s="6">
        <v>72040.0</v>
      </c>
      <c r="AJ926" s="1" t="s">
        <v>106</v>
      </c>
      <c r="AK926" s="1" t="s">
        <v>9277</v>
      </c>
      <c r="AL926" s="1" t="s">
        <v>9278</v>
      </c>
      <c r="AM926" s="11" t="str">
        <f>VLOOKUP(N926,Sheet3!$B$4:$C$10,2,1)</f>
        <v>31-40</v>
      </c>
      <c r="AN926" s="13" t="str">
        <f>VLOOKUP(Z926,Sheet3!$F$4:$G$10,2,1)</f>
        <v>&lt; 5</v>
      </c>
      <c r="AO926" s="5" t="str">
        <f>VLOOKUP(AA926,Sheet3!$I$3:$J$16,2,1)</f>
        <v>180000-200000</v>
      </c>
      <c r="AP926" s="5" t="str">
        <f>VLOOKUP(AB926,Sheet3!$L$4:$M$14,2,1)</f>
        <v>21% - 25%</v>
      </c>
    </row>
    <row r="927">
      <c r="A927" s="6">
        <v>117980.0</v>
      </c>
      <c r="B927" s="1" t="s">
        <v>42</v>
      </c>
      <c r="C927" s="1" t="s">
        <v>558</v>
      </c>
      <c r="D927" s="1" t="s">
        <v>683</v>
      </c>
      <c r="E927" s="1" t="s">
        <v>4014</v>
      </c>
      <c r="F927" s="1" t="s">
        <v>46</v>
      </c>
      <c r="G927" s="1" t="s">
        <v>9279</v>
      </c>
      <c r="H927" s="1" t="s">
        <v>8579</v>
      </c>
      <c r="I927" s="1" t="s">
        <v>9280</v>
      </c>
      <c r="J927" s="1" t="s">
        <v>9281</v>
      </c>
      <c r="K927" s="1" t="s">
        <v>9282</v>
      </c>
      <c r="L927" s="9">
        <v>28726.0</v>
      </c>
      <c r="M927" s="8">
        <v>0.7402662037037037</v>
      </c>
      <c r="N927" s="6">
        <v>38.95</v>
      </c>
      <c r="O927" s="6">
        <v>58.0</v>
      </c>
      <c r="P927" s="9">
        <v>42087.0</v>
      </c>
      <c r="Q927" s="1" t="s">
        <v>96</v>
      </c>
      <c r="R927" s="1" t="s">
        <v>76</v>
      </c>
      <c r="S927" s="6">
        <v>2015.0</v>
      </c>
      <c r="T927" s="6">
        <v>3.0</v>
      </c>
      <c r="U927" s="1" t="s">
        <v>97</v>
      </c>
      <c r="V927" s="1" t="s">
        <v>98</v>
      </c>
      <c r="W927" s="6">
        <v>24.0</v>
      </c>
      <c r="X927" s="1" t="s">
        <v>79</v>
      </c>
      <c r="Y927" s="1" t="s">
        <v>80</v>
      </c>
      <c r="Z927" s="6">
        <v>2.35</v>
      </c>
      <c r="AA927" s="6">
        <v>145452.0</v>
      </c>
      <c r="AB927" s="10">
        <v>0.02</v>
      </c>
      <c r="AC927" s="1" t="s">
        <v>9283</v>
      </c>
      <c r="AD927" s="1" t="s">
        <v>9284</v>
      </c>
      <c r="AE927" s="1" t="s">
        <v>9285</v>
      </c>
      <c r="AF927" s="1" t="s">
        <v>4158</v>
      </c>
      <c r="AG927" s="1" t="s">
        <v>9285</v>
      </c>
      <c r="AH927" s="1" t="s">
        <v>2007</v>
      </c>
      <c r="AI927" s="6">
        <v>87831.0</v>
      </c>
      <c r="AJ927" s="1" t="s">
        <v>63</v>
      </c>
      <c r="AK927" s="1" t="s">
        <v>9286</v>
      </c>
      <c r="AL927" s="1" t="s">
        <v>9287</v>
      </c>
      <c r="AM927" s="11" t="str">
        <f>VLOOKUP(N927,Sheet3!$B$4:$C$10,2,1)</f>
        <v>31-40</v>
      </c>
      <c r="AN927" s="13" t="str">
        <f>VLOOKUP(Z927,Sheet3!$F$4:$G$10,2,1)</f>
        <v>&lt; 5</v>
      </c>
      <c r="AO927" s="5" t="str">
        <f>VLOOKUP(AA927,Sheet3!$I$3:$J$16,2,1)</f>
        <v>140000-160000</v>
      </c>
      <c r="AP927" s="5" t="str">
        <f>VLOOKUP(AB927,Sheet3!$L$4:$M$14,2,1)</f>
        <v>&lt; 5%</v>
      </c>
    </row>
    <row r="928">
      <c r="A928" s="6">
        <v>899405.0</v>
      </c>
      <c r="B928" s="1" t="s">
        <v>66</v>
      </c>
      <c r="C928" s="1" t="s">
        <v>9288</v>
      </c>
      <c r="D928" s="1" t="s">
        <v>554</v>
      </c>
      <c r="E928" s="1" t="s">
        <v>653</v>
      </c>
      <c r="F928" s="1" t="s">
        <v>70</v>
      </c>
      <c r="G928" s="1" t="s">
        <v>9289</v>
      </c>
      <c r="H928" s="1" t="s">
        <v>8579</v>
      </c>
      <c r="I928" s="1" t="s">
        <v>9290</v>
      </c>
      <c r="J928" s="1" t="s">
        <v>9291</v>
      </c>
      <c r="K928" s="1" t="s">
        <v>4544</v>
      </c>
      <c r="L928" s="14">
        <v>23652.0</v>
      </c>
      <c r="M928" s="8">
        <v>0.42332175925925924</v>
      </c>
      <c r="N928" s="6">
        <v>52.85</v>
      </c>
      <c r="O928" s="6">
        <v>64.0</v>
      </c>
      <c r="P928" s="14">
        <v>34461.0</v>
      </c>
      <c r="Q928" s="1" t="s">
        <v>75</v>
      </c>
      <c r="R928" s="1" t="s">
        <v>76</v>
      </c>
      <c r="S928" s="6">
        <v>1994.0</v>
      </c>
      <c r="T928" s="6">
        <v>5.0</v>
      </c>
      <c r="U928" s="1" t="s">
        <v>294</v>
      </c>
      <c r="V928" s="1" t="s">
        <v>294</v>
      </c>
      <c r="W928" s="6">
        <v>7.0</v>
      </c>
      <c r="X928" s="1" t="s">
        <v>56</v>
      </c>
      <c r="Y928" s="1" t="s">
        <v>57</v>
      </c>
      <c r="Z928" s="6">
        <v>23.24</v>
      </c>
      <c r="AA928" s="6">
        <v>45497.0</v>
      </c>
      <c r="AB928" s="10">
        <v>0.15</v>
      </c>
      <c r="AC928" s="1" t="s">
        <v>9292</v>
      </c>
      <c r="AD928" s="1" t="s">
        <v>9293</v>
      </c>
      <c r="AE928" s="1" t="s">
        <v>9294</v>
      </c>
      <c r="AF928" s="1" t="s">
        <v>1495</v>
      </c>
      <c r="AG928" s="1" t="s">
        <v>9294</v>
      </c>
      <c r="AH928" s="1" t="s">
        <v>1103</v>
      </c>
      <c r="AI928" s="6">
        <v>3896.0</v>
      </c>
      <c r="AJ928" s="1" t="s">
        <v>224</v>
      </c>
      <c r="AK928" s="1" t="s">
        <v>9295</v>
      </c>
      <c r="AL928" s="1" t="s">
        <v>9296</v>
      </c>
      <c r="AM928" s="11" t="str">
        <f>VLOOKUP(N928,Sheet3!$B$4:$C$10,2,1)</f>
        <v>51-60</v>
      </c>
      <c r="AN928" s="13" t="str">
        <f>VLOOKUP(Z928,Sheet3!$F$4:$G$10,2,1)</f>
        <v>21-30</v>
      </c>
      <c r="AO928" s="5" t="str">
        <f>VLOOKUP(AA928,Sheet3!$I$3:$J$16,2,1)</f>
        <v>40000-60000</v>
      </c>
      <c r="AP928" s="5" t="str">
        <f>VLOOKUP(AB928,Sheet3!$L$4:$M$14,2,1)</f>
        <v>11% - 15%</v>
      </c>
    </row>
    <row r="929">
      <c r="A929" s="6">
        <v>935067.0</v>
      </c>
      <c r="B929" s="1" t="s">
        <v>66</v>
      </c>
      <c r="C929" s="1" t="s">
        <v>5364</v>
      </c>
      <c r="D929" s="1" t="s">
        <v>1300</v>
      </c>
      <c r="E929" s="1" t="s">
        <v>346</v>
      </c>
      <c r="F929" s="1" t="s">
        <v>70</v>
      </c>
      <c r="G929" s="1" t="s">
        <v>9297</v>
      </c>
      <c r="H929" s="1" t="s">
        <v>8579</v>
      </c>
      <c r="I929" s="1" t="s">
        <v>9298</v>
      </c>
      <c r="J929" s="1" t="s">
        <v>9299</v>
      </c>
      <c r="K929" s="1" t="s">
        <v>8349</v>
      </c>
      <c r="L929" s="9">
        <v>22581.0</v>
      </c>
      <c r="M929" s="8">
        <v>0.13299768518518518</v>
      </c>
      <c r="N929" s="6">
        <v>55.79</v>
      </c>
      <c r="O929" s="6">
        <v>84.0</v>
      </c>
      <c r="P929" s="9">
        <v>39588.0</v>
      </c>
      <c r="Q929" s="1" t="s">
        <v>75</v>
      </c>
      <c r="R929" s="1" t="s">
        <v>76</v>
      </c>
      <c r="S929" s="6">
        <v>2008.0</v>
      </c>
      <c r="T929" s="6">
        <v>5.0</v>
      </c>
      <c r="U929" s="1" t="s">
        <v>294</v>
      </c>
      <c r="V929" s="1" t="s">
        <v>294</v>
      </c>
      <c r="W929" s="6">
        <v>20.0</v>
      </c>
      <c r="X929" s="1" t="s">
        <v>79</v>
      </c>
      <c r="Y929" s="1" t="s">
        <v>80</v>
      </c>
      <c r="Z929" s="6">
        <v>9.19</v>
      </c>
      <c r="AA929" s="6">
        <v>68748.0</v>
      </c>
      <c r="AB929" s="10">
        <v>0.02</v>
      </c>
      <c r="AC929" s="1" t="s">
        <v>9300</v>
      </c>
      <c r="AD929" s="1" t="s">
        <v>9301</v>
      </c>
      <c r="AE929" s="1" t="s">
        <v>7160</v>
      </c>
      <c r="AF929" s="1" t="s">
        <v>6370</v>
      </c>
      <c r="AG929" s="1" t="s">
        <v>7160</v>
      </c>
      <c r="AH929" s="1" t="s">
        <v>372</v>
      </c>
      <c r="AI929" s="6">
        <v>69151.0</v>
      </c>
      <c r="AJ929" s="1" t="s">
        <v>86</v>
      </c>
      <c r="AK929" s="1" t="s">
        <v>9302</v>
      </c>
      <c r="AL929" s="1" t="s">
        <v>9303</v>
      </c>
      <c r="AM929" s="11" t="str">
        <f>VLOOKUP(N929,Sheet3!$B$4:$C$10,2,1)</f>
        <v>51-60</v>
      </c>
      <c r="AN929" s="12" t="str">
        <f>VLOOKUP(Z929,Sheet3!$F$4:$G$10,2,1)</f>
        <v>5-10</v>
      </c>
      <c r="AO929" s="5" t="str">
        <f>VLOOKUP(AA929,Sheet3!$I$3:$J$16,2,1)</f>
        <v>60000-80000</v>
      </c>
      <c r="AP929" s="5" t="str">
        <f>VLOOKUP(AB929,Sheet3!$L$4:$M$14,2,1)</f>
        <v>&lt; 5%</v>
      </c>
    </row>
    <row r="930">
      <c r="A930" s="6">
        <v>521604.0</v>
      </c>
      <c r="B930" s="1" t="s">
        <v>125</v>
      </c>
      <c r="C930" s="1" t="s">
        <v>9304</v>
      </c>
      <c r="D930" s="1" t="s">
        <v>861</v>
      </c>
      <c r="E930" s="1" t="s">
        <v>4579</v>
      </c>
      <c r="F930" s="1" t="s">
        <v>70</v>
      </c>
      <c r="G930" s="1" t="s">
        <v>9305</v>
      </c>
      <c r="H930" s="1" t="s">
        <v>8579</v>
      </c>
      <c r="I930" s="1" t="s">
        <v>9306</v>
      </c>
      <c r="J930" s="1" t="s">
        <v>9307</v>
      </c>
      <c r="K930" s="1" t="s">
        <v>2947</v>
      </c>
      <c r="L930" s="14">
        <v>22739.0</v>
      </c>
      <c r="M930" s="8">
        <v>0.7645023148148148</v>
      </c>
      <c r="N930" s="6">
        <v>55.36</v>
      </c>
      <c r="O930" s="6">
        <v>53.0</v>
      </c>
      <c r="P930" s="9">
        <v>31743.0</v>
      </c>
      <c r="Q930" s="1" t="s">
        <v>52</v>
      </c>
      <c r="R930" s="1" t="s">
        <v>53</v>
      </c>
      <c r="S930" s="6">
        <v>1986.0</v>
      </c>
      <c r="T930" s="6">
        <v>11.0</v>
      </c>
      <c r="U930" s="1" t="s">
        <v>148</v>
      </c>
      <c r="V930" s="1" t="s">
        <v>149</v>
      </c>
      <c r="W930" s="6">
        <v>27.0</v>
      </c>
      <c r="X930" s="1" t="s">
        <v>150</v>
      </c>
      <c r="Y930" s="1" t="s">
        <v>151</v>
      </c>
      <c r="Z930" s="6">
        <v>30.69</v>
      </c>
      <c r="AA930" s="6">
        <v>138832.0</v>
      </c>
      <c r="AB930" s="10">
        <v>0.15</v>
      </c>
      <c r="AC930" s="1" t="s">
        <v>9308</v>
      </c>
      <c r="AD930" s="1" t="s">
        <v>9309</v>
      </c>
      <c r="AE930" s="1" t="s">
        <v>9310</v>
      </c>
      <c r="AF930" s="1" t="s">
        <v>748</v>
      </c>
      <c r="AG930" s="1" t="s">
        <v>9310</v>
      </c>
      <c r="AH930" s="1" t="s">
        <v>563</v>
      </c>
      <c r="AI930" s="6">
        <v>25181.0</v>
      </c>
      <c r="AJ930" s="1" t="s">
        <v>106</v>
      </c>
      <c r="AK930" s="1" t="s">
        <v>9311</v>
      </c>
      <c r="AL930" s="1" t="s">
        <v>9312</v>
      </c>
      <c r="AM930" s="11" t="str">
        <f>VLOOKUP(N930,Sheet3!$B$4:$C$10,2,1)</f>
        <v>51-60</v>
      </c>
      <c r="AN930" s="13" t="str">
        <f>VLOOKUP(Z930,Sheet3!$F$4:$G$10,2,1)</f>
        <v>21-30</v>
      </c>
      <c r="AO930" s="5" t="str">
        <f>VLOOKUP(AA930,Sheet3!$I$3:$J$16,2,1)</f>
        <v>120000-140000</v>
      </c>
      <c r="AP930" s="5" t="str">
        <f>VLOOKUP(AB930,Sheet3!$L$4:$M$14,2,1)</f>
        <v>11% - 15%</v>
      </c>
    </row>
    <row r="931">
      <c r="A931" s="6">
        <v>848091.0</v>
      </c>
      <c r="B931" s="1" t="s">
        <v>227</v>
      </c>
      <c r="C931" s="1" t="s">
        <v>4304</v>
      </c>
      <c r="D931" s="1" t="s">
        <v>389</v>
      </c>
      <c r="E931" s="1" t="s">
        <v>2110</v>
      </c>
      <c r="F931" s="1" t="s">
        <v>70</v>
      </c>
      <c r="G931" s="1" t="s">
        <v>9313</v>
      </c>
      <c r="H931" s="1" t="s">
        <v>8579</v>
      </c>
      <c r="I931" s="1" t="s">
        <v>9314</v>
      </c>
      <c r="J931" s="1" t="s">
        <v>9315</v>
      </c>
      <c r="K931" s="1" t="s">
        <v>2744</v>
      </c>
      <c r="L931" s="9">
        <v>34104.0</v>
      </c>
      <c r="M931" s="8">
        <v>0.563136574074074</v>
      </c>
      <c r="N931" s="6">
        <v>24.22</v>
      </c>
      <c r="O931" s="6">
        <v>86.0</v>
      </c>
      <c r="P931" s="9">
        <v>42476.0</v>
      </c>
      <c r="Q931" s="1" t="s">
        <v>75</v>
      </c>
      <c r="R931" s="1" t="s">
        <v>76</v>
      </c>
      <c r="S931" s="6">
        <v>2016.0</v>
      </c>
      <c r="T931" s="6">
        <v>4.0</v>
      </c>
      <c r="U931" s="1" t="s">
        <v>77</v>
      </c>
      <c r="V931" s="1" t="s">
        <v>78</v>
      </c>
      <c r="W931" s="6">
        <v>16.0</v>
      </c>
      <c r="X931" s="1" t="s">
        <v>56</v>
      </c>
      <c r="Y931" s="1" t="s">
        <v>57</v>
      </c>
      <c r="Z931" s="6">
        <v>1.28</v>
      </c>
      <c r="AA931" s="6">
        <v>139079.0</v>
      </c>
      <c r="AB931" s="10">
        <v>0.2</v>
      </c>
      <c r="AC931" s="1" t="s">
        <v>9316</v>
      </c>
      <c r="AD931" s="1" t="s">
        <v>9317</v>
      </c>
      <c r="AE931" s="1" t="s">
        <v>9318</v>
      </c>
      <c r="AF931" s="1" t="s">
        <v>9319</v>
      </c>
      <c r="AG931" s="1" t="s">
        <v>9318</v>
      </c>
      <c r="AH931" s="1" t="s">
        <v>169</v>
      </c>
      <c r="AI931" s="6">
        <v>78064.0</v>
      </c>
      <c r="AJ931" s="1" t="s">
        <v>106</v>
      </c>
      <c r="AK931" s="1" t="s">
        <v>9320</v>
      </c>
      <c r="AL931" s="1" t="s">
        <v>9321</v>
      </c>
      <c r="AM931" s="11" t="str">
        <f>VLOOKUP(N931,Sheet3!$B$4:$C$10,2,1)</f>
        <v>21-30</v>
      </c>
      <c r="AN931" s="13" t="str">
        <f>VLOOKUP(Z931,Sheet3!$F$4:$G$10,2,1)</f>
        <v>&lt; 5</v>
      </c>
      <c r="AO931" s="5" t="str">
        <f>VLOOKUP(AA931,Sheet3!$I$3:$J$16,2,1)</f>
        <v>120000-140000</v>
      </c>
      <c r="AP931" s="5" t="str">
        <f>VLOOKUP(AB931,Sheet3!$L$4:$M$14,2,1)</f>
        <v>16% - 20%</v>
      </c>
    </row>
    <row r="932">
      <c r="A932" s="6">
        <v>999219.0</v>
      </c>
      <c r="B932" s="1" t="s">
        <v>42</v>
      </c>
      <c r="C932" s="1" t="s">
        <v>9322</v>
      </c>
      <c r="D932" s="1" t="s">
        <v>68</v>
      </c>
      <c r="E932" s="1" t="s">
        <v>4191</v>
      </c>
      <c r="F932" s="1" t="s">
        <v>46</v>
      </c>
      <c r="G932" s="1" t="s">
        <v>9323</v>
      </c>
      <c r="H932" s="1" t="s">
        <v>8579</v>
      </c>
      <c r="I932" s="1" t="s">
        <v>9324</v>
      </c>
      <c r="J932" s="1" t="s">
        <v>9325</v>
      </c>
      <c r="K932" s="1" t="s">
        <v>2668</v>
      </c>
      <c r="L932" s="14">
        <v>33700.0</v>
      </c>
      <c r="M932" s="8">
        <v>0.8029050925925926</v>
      </c>
      <c r="N932" s="6">
        <v>25.33</v>
      </c>
      <c r="O932" s="6">
        <v>55.0</v>
      </c>
      <c r="P932" s="14">
        <v>42857.0</v>
      </c>
      <c r="Q932" s="1" t="s">
        <v>75</v>
      </c>
      <c r="R932" s="1" t="s">
        <v>76</v>
      </c>
      <c r="S932" s="6">
        <v>2017.0</v>
      </c>
      <c r="T932" s="6">
        <v>5.0</v>
      </c>
      <c r="U932" s="1" t="s">
        <v>294</v>
      </c>
      <c r="V932" s="1" t="s">
        <v>294</v>
      </c>
      <c r="W932" s="6">
        <v>2.0</v>
      </c>
      <c r="X932" s="1" t="s">
        <v>79</v>
      </c>
      <c r="Y932" s="1" t="s">
        <v>80</v>
      </c>
      <c r="Z932" s="6">
        <v>0.24</v>
      </c>
      <c r="AA932" s="6">
        <v>176844.0</v>
      </c>
      <c r="AB932" s="10">
        <v>0.02</v>
      </c>
      <c r="AC932" s="1" t="s">
        <v>9326</v>
      </c>
      <c r="AD932" s="1" t="s">
        <v>9327</v>
      </c>
      <c r="AE932" s="1" t="s">
        <v>9328</v>
      </c>
      <c r="AF932" s="1" t="s">
        <v>9329</v>
      </c>
      <c r="AG932" s="1" t="s">
        <v>9328</v>
      </c>
      <c r="AH932" s="1" t="s">
        <v>1103</v>
      </c>
      <c r="AI932" s="6">
        <v>3576.0</v>
      </c>
      <c r="AJ932" s="1" t="s">
        <v>224</v>
      </c>
      <c r="AK932" s="1" t="s">
        <v>9330</v>
      </c>
      <c r="AL932" s="1" t="s">
        <v>9331</v>
      </c>
      <c r="AM932" s="11" t="str">
        <f>VLOOKUP(N932,Sheet3!$B$4:$C$10,2,1)</f>
        <v>21-30</v>
      </c>
      <c r="AN932" s="13" t="str">
        <f>VLOOKUP(Z932,Sheet3!$F$4:$G$10,2,1)</f>
        <v>&lt; 5</v>
      </c>
      <c r="AO932" s="5" t="str">
        <f>VLOOKUP(AA932,Sheet3!$I$3:$J$16,2,1)</f>
        <v>160000-180000</v>
      </c>
      <c r="AP932" s="5" t="str">
        <f>VLOOKUP(AB932,Sheet3!$L$4:$M$14,2,1)</f>
        <v>&lt; 5%</v>
      </c>
    </row>
    <row r="933">
      <c r="A933" s="6">
        <v>209627.0</v>
      </c>
      <c r="B933" s="1" t="s">
        <v>109</v>
      </c>
      <c r="C933" s="1" t="s">
        <v>9332</v>
      </c>
      <c r="D933" s="1" t="s">
        <v>389</v>
      </c>
      <c r="E933" s="1" t="s">
        <v>9333</v>
      </c>
      <c r="F933" s="1" t="s">
        <v>46</v>
      </c>
      <c r="G933" s="1" t="s">
        <v>9334</v>
      </c>
      <c r="H933" s="1" t="s">
        <v>8579</v>
      </c>
      <c r="I933" s="1" t="s">
        <v>9335</v>
      </c>
      <c r="J933" s="1" t="s">
        <v>9336</v>
      </c>
      <c r="K933" s="1" t="s">
        <v>6349</v>
      </c>
      <c r="L933" s="14">
        <v>24047.0</v>
      </c>
      <c r="M933" s="8">
        <v>0.3539814814814815</v>
      </c>
      <c r="N933" s="6">
        <v>51.77</v>
      </c>
      <c r="O933" s="6">
        <v>48.0</v>
      </c>
      <c r="P933" s="9">
        <v>37892.0</v>
      </c>
      <c r="Q933" s="1" t="s">
        <v>308</v>
      </c>
      <c r="R933" s="1" t="s">
        <v>53</v>
      </c>
      <c r="S933" s="6">
        <v>2003.0</v>
      </c>
      <c r="T933" s="6">
        <v>9.0</v>
      </c>
      <c r="U933" s="1" t="s">
        <v>309</v>
      </c>
      <c r="V933" s="1" t="s">
        <v>310</v>
      </c>
      <c r="W933" s="6">
        <v>28.0</v>
      </c>
      <c r="X933" s="1" t="s">
        <v>534</v>
      </c>
      <c r="Y933" s="1" t="s">
        <v>535</v>
      </c>
      <c r="Z933" s="6">
        <v>13.84</v>
      </c>
      <c r="AA933" s="6">
        <v>178032.0</v>
      </c>
      <c r="AB933" s="10">
        <v>0.17</v>
      </c>
      <c r="AC933" s="1" t="s">
        <v>9337</v>
      </c>
      <c r="AD933" s="1" t="s">
        <v>9338</v>
      </c>
      <c r="AE933" s="1" t="s">
        <v>9339</v>
      </c>
      <c r="AF933" s="1" t="s">
        <v>9340</v>
      </c>
      <c r="AG933" s="1" t="s">
        <v>9339</v>
      </c>
      <c r="AH933" s="1" t="s">
        <v>1505</v>
      </c>
      <c r="AI933" s="6">
        <v>55334.0</v>
      </c>
      <c r="AJ933" s="1" t="s">
        <v>86</v>
      </c>
      <c r="AK933" s="1" t="s">
        <v>9341</v>
      </c>
      <c r="AL933" s="1" t="s">
        <v>9342</v>
      </c>
      <c r="AM933" s="11" t="str">
        <f>VLOOKUP(N933,Sheet3!$B$4:$C$10,2,1)</f>
        <v>51-60</v>
      </c>
      <c r="AN933" s="12" t="str">
        <f>VLOOKUP(Z933,Sheet3!$F$4:$G$10,2,1)</f>
        <v>11-20</v>
      </c>
      <c r="AO933" s="5" t="str">
        <f>VLOOKUP(AA933,Sheet3!$I$3:$J$16,2,1)</f>
        <v>160000-180000</v>
      </c>
      <c r="AP933" s="5" t="str">
        <f>VLOOKUP(AB933,Sheet3!$L$4:$M$14,2,1)</f>
        <v>16% - 20%</v>
      </c>
    </row>
    <row r="934">
      <c r="A934" s="6">
        <v>642586.0</v>
      </c>
      <c r="B934" s="1" t="s">
        <v>125</v>
      </c>
      <c r="C934" s="1" t="s">
        <v>9343</v>
      </c>
      <c r="D934" s="1" t="s">
        <v>242</v>
      </c>
      <c r="E934" s="1" t="s">
        <v>4349</v>
      </c>
      <c r="F934" s="1" t="s">
        <v>46</v>
      </c>
      <c r="G934" s="1" t="s">
        <v>9344</v>
      </c>
      <c r="H934" s="1" t="s">
        <v>8579</v>
      </c>
      <c r="I934" s="1" t="s">
        <v>9345</v>
      </c>
      <c r="J934" s="1" t="s">
        <v>9346</v>
      </c>
      <c r="K934" s="1" t="s">
        <v>4393</v>
      </c>
      <c r="L934" s="9">
        <v>32504.0</v>
      </c>
      <c r="M934" s="8">
        <v>0.49516203703703704</v>
      </c>
      <c r="N934" s="6">
        <v>28.6</v>
      </c>
      <c r="O934" s="6">
        <v>44.0</v>
      </c>
      <c r="P934" s="9">
        <v>40615.0</v>
      </c>
      <c r="Q934" s="1" t="s">
        <v>96</v>
      </c>
      <c r="R934" s="1" t="s">
        <v>76</v>
      </c>
      <c r="S934" s="6">
        <v>2011.0</v>
      </c>
      <c r="T934" s="6">
        <v>3.0</v>
      </c>
      <c r="U934" s="1" t="s">
        <v>97</v>
      </c>
      <c r="V934" s="1" t="s">
        <v>98</v>
      </c>
      <c r="W934" s="6">
        <v>13.0</v>
      </c>
      <c r="X934" s="1" t="s">
        <v>534</v>
      </c>
      <c r="Y934" s="1" t="s">
        <v>535</v>
      </c>
      <c r="Z934" s="6">
        <v>6.38</v>
      </c>
      <c r="AA934" s="6">
        <v>101018.0</v>
      </c>
      <c r="AB934" s="10">
        <v>0.16</v>
      </c>
      <c r="AC934" s="1" t="s">
        <v>9347</v>
      </c>
      <c r="AD934" s="1" t="s">
        <v>9348</v>
      </c>
      <c r="AE934" s="1" t="s">
        <v>9349</v>
      </c>
      <c r="AF934" s="1" t="s">
        <v>4736</v>
      </c>
      <c r="AG934" s="1" t="s">
        <v>9349</v>
      </c>
      <c r="AH934" s="1" t="s">
        <v>223</v>
      </c>
      <c r="AI934" s="6">
        <v>18828.0</v>
      </c>
      <c r="AJ934" s="1" t="s">
        <v>224</v>
      </c>
      <c r="AK934" s="1" t="s">
        <v>9350</v>
      </c>
      <c r="AL934" s="1" t="s">
        <v>9351</v>
      </c>
      <c r="AM934" s="11" t="str">
        <f>VLOOKUP(N934,Sheet3!$B$4:$C$10,2,1)</f>
        <v>21-30</v>
      </c>
      <c r="AN934" s="12" t="str">
        <f>VLOOKUP(Z934,Sheet3!$F$4:$G$10,2,1)</f>
        <v>5-10</v>
      </c>
      <c r="AO934" s="5" t="str">
        <f>VLOOKUP(AA934,Sheet3!$I$3:$J$16,2,1)</f>
        <v>100000-120000</v>
      </c>
      <c r="AP934" s="5" t="str">
        <f>VLOOKUP(AB934,Sheet3!$L$4:$M$14,2,1)</f>
        <v>16% - 20%</v>
      </c>
    </row>
    <row r="935">
      <c r="A935" s="6">
        <v>651163.0</v>
      </c>
      <c r="B935" s="1" t="s">
        <v>42</v>
      </c>
      <c r="C935" s="1" t="s">
        <v>9352</v>
      </c>
      <c r="D935" s="1" t="s">
        <v>242</v>
      </c>
      <c r="E935" s="1" t="s">
        <v>2383</v>
      </c>
      <c r="F935" s="1" t="s">
        <v>46</v>
      </c>
      <c r="G935" s="1" t="s">
        <v>9353</v>
      </c>
      <c r="H935" s="1" t="s">
        <v>8579</v>
      </c>
      <c r="I935" s="1" t="s">
        <v>9354</v>
      </c>
      <c r="J935" s="1" t="s">
        <v>9355</v>
      </c>
      <c r="K935" s="1" t="s">
        <v>2806</v>
      </c>
      <c r="L935" s="9">
        <v>34142.0</v>
      </c>
      <c r="M935" s="8">
        <v>0.5004861111111111</v>
      </c>
      <c r="N935" s="6">
        <v>24.12</v>
      </c>
      <c r="O935" s="6">
        <v>41.0</v>
      </c>
      <c r="P935" s="9">
        <v>42489.0</v>
      </c>
      <c r="Q935" s="1" t="s">
        <v>75</v>
      </c>
      <c r="R935" s="1" t="s">
        <v>76</v>
      </c>
      <c r="S935" s="6">
        <v>2016.0</v>
      </c>
      <c r="T935" s="6">
        <v>4.0</v>
      </c>
      <c r="U935" s="1" t="s">
        <v>77</v>
      </c>
      <c r="V935" s="1" t="s">
        <v>78</v>
      </c>
      <c r="W935" s="6">
        <v>29.0</v>
      </c>
      <c r="X935" s="1" t="s">
        <v>263</v>
      </c>
      <c r="Y935" s="1" t="s">
        <v>264</v>
      </c>
      <c r="Z935" s="6">
        <v>1.25</v>
      </c>
      <c r="AA935" s="6">
        <v>62401.0</v>
      </c>
      <c r="AB935" s="10">
        <v>0.09</v>
      </c>
      <c r="AC935" s="1" t="s">
        <v>9356</v>
      </c>
      <c r="AD935" s="1" t="s">
        <v>9357</v>
      </c>
      <c r="AE935" s="1" t="s">
        <v>9358</v>
      </c>
      <c r="AF935" s="1" t="s">
        <v>9359</v>
      </c>
      <c r="AG935" s="1" t="s">
        <v>9358</v>
      </c>
      <c r="AH935" s="1" t="s">
        <v>169</v>
      </c>
      <c r="AI935" s="6">
        <v>76567.0</v>
      </c>
      <c r="AJ935" s="1" t="s">
        <v>106</v>
      </c>
      <c r="AK935" s="1" t="s">
        <v>9360</v>
      </c>
      <c r="AL935" s="1" t="s">
        <v>9361</v>
      </c>
      <c r="AM935" s="11" t="str">
        <f>VLOOKUP(N935,Sheet3!$B$4:$C$10,2,1)</f>
        <v>21-30</v>
      </c>
      <c r="AN935" s="13" t="str">
        <f>VLOOKUP(Z935,Sheet3!$F$4:$G$10,2,1)</f>
        <v>&lt; 5</v>
      </c>
      <c r="AO935" s="5" t="str">
        <f>VLOOKUP(AA935,Sheet3!$I$3:$J$16,2,1)</f>
        <v>60000-80000</v>
      </c>
      <c r="AP935" s="5" t="str">
        <f>VLOOKUP(AB935,Sheet3!$L$4:$M$14,2,1)</f>
        <v>5% - 10%</v>
      </c>
    </row>
    <row r="936">
      <c r="A936" s="6">
        <v>425289.0</v>
      </c>
      <c r="B936" s="1" t="s">
        <v>109</v>
      </c>
      <c r="C936" s="1" t="s">
        <v>9362</v>
      </c>
      <c r="D936" s="1" t="s">
        <v>70</v>
      </c>
      <c r="E936" s="1" t="s">
        <v>635</v>
      </c>
      <c r="F936" s="1" t="s">
        <v>46</v>
      </c>
      <c r="G936" s="1" t="s">
        <v>9363</v>
      </c>
      <c r="H936" s="1" t="s">
        <v>8579</v>
      </c>
      <c r="I936" s="1" t="s">
        <v>9364</v>
      </c>
      <c r="J936" s="1" t="s">
        <v>9365</v>
      </c>
      <c r="K936" s="1" t="s">
        <v>5098</v>
      </c>
      <c r="L936" s="9">
        <v>26384.0</v>
      </c>
      <c r="M936" s="8">
        <v>0.3282523148148148</v>
      </c>
      <c r="N936" s="6">
        <v>45.37</v>
      </c>
      <c r="O936" s="6">
        <v>40.0</v>
      </c>
      <c r="P936" s="9">
        <v>38884.0</v>
      </c>
      <c r="Q936" s="1" t="s">
        <v>75</v>
      </c>
      <c r="R936" s="1" t="s">
        <v>76</v>
      </c>
      <c r="S936" s="6">
        <v>2006.0</v>
      </c>
      <c r="T936" s="6">
        <v>6.0</v>
      </c>
      <c r="U936" s="1" t="s">
        <v>324</v>
      </c>
      <c r="V936" s="1" t="s">
        <v>325</v>
      </c>
      <c r="W936" s="6">
        <v>16.0</v>
      </c>
      <c r="X936" s="1" t="s">
        <v>263</v>
      </c>
      <c r="Y936" s="1" t="s">
        <v>264</v>
      </c>
      <c r="Z936" s="6">
        <v>11.12</v>
      </c>
      <c r="AA936" s="6">
        <v>57227.0</v>
      </c>
      <c r="AB936" s="10">
        <v>0.06</v>
      </c>
      <c r="AC936" s="1" t="s">
        <v>9366</v>
      </c>
      <c r="AD936" s="1" t="s">
        <v>9367</v>
      </c>
      <c r="AE936" s="1" t="s">
        <v>9368</v>
      </c>
      <c r="AF936" s="1" t="s">
        <v>1911</v>
      </c>
      <c r="AG936" s="1" t="s">
        <v>9368</v>
      </c>
      <c r="AH936" s="1" t="s">
        <v>356</v>
      </c>
      <c r="AI936" s="6">
        <v>12783.0</v>
      </c>
      <c r="AJ936" s="1" t="s">
        <v>224</v>
      </c>
      <c r="AK936" s="1" t="s">
        <v>9369</v>
      </c>
      <c r="AL936" s="1" t="s">
        <v>9370</v>
      </c>
      <c r="AM936" s="11" t="str">
        <f>VLOOKUP(N936,Sheet3!$B$4:$C$10,2,1)</f>
        <v>41-50</v>
      </c>
      <c r="AN936" s="12" t="str">
        <f>VLOOKUP(Z936,Sheet3!$F$4:$G$10,2,1)</f>
        <v>11-20</v>
      </c>
      <c r="AO936" s="5" t="str">
        <f>VLOOKUP(AA936,Sheet3!$I$3:$J$16,2,1)</f>
        <v>40000-60000</v>
      </c>
      <c r="AP936" s="5" t="str">
        <f>VLOOKUP(AB936,Sheet3!$L$4:$M$14,2,1)</f>
        <v>5% - 10%</v>
      </c>
    </row>
    <row r="937">
      <c r="A937" s="6">
        <v>314444.0</v>
      </c>
      <c r="B937" s="1" t="s">
        <v>66</v>
      </c>
      <c r="C937" s="1" t="s">
        <v>1232</v>
      </c>
      <c r="D937" s="1" t="s">
        <v>200</v>
      </c>
      <c r="E937" s="1" t="s">
        <v>9371</v>
      </c>
      <c r="F937" s="1" t="s">
        <v>70</v>
      </c>
      <c r="G937" s="1" t="s">
        <v>9372</v>
      </c>
      <c r="H937" s="1" t="s">
        <v>8579</v>
      </c>
      <c r="I937" s="1" t="s">
        <v>9373</v>
      </c>
      <c r="J937" s="1" t="s">
        <v>9374</v>
      </c>
      <c r="K937" s="1" t="s">
        <v>4095</v>
      </c>
      <c r="L937" s="9">
        <v>31619.0</v>
      </c>
      <c r="M937" s="8">
        <v>0.729837962962963</v>
      </c>
      <c r="N937" s="6">
        <v>31.03</v>
      </c>
      <c r="O937" s="6">
        <v>55.0</v>
      </c>
      <c r="P937" s="14">
        <v>41000.0</v>
      </c>
      <c r="Q937" s="1" t="s">
        <v>75</v>
      </c>
      <c r="R937" s="1" t="s">
        <v>76</v>
      </c>
      <c r="S937" s="6">
        <v>2012.0</v>
      </c>
      <c r="T937" s="6">
        <v>4.0</v>
      </c>
      <c r="U937" s="1" t="s">
        <v>77</v>
      </c>
      <c r="V937" s="1" t="s">
        <v>78</v>
      </c>
      <c r="W937" s="6">
        <v>1.0</v>
      </c>
      <c r="X937" s="1" t="s">
        <v>534</v>
      </c>
      <c r="Y937" s="1" t="s">
        <v>535</v>
      </c>
      <c r="Z937" s="6">
        <v>5.33</v>
      </c>
      <c r="AA937" s="6">
        <v>185825.0</v>
      </c>
      <c r="AB937" s="10">
        <v>0.05</v>
      </c>
      <c r="AC937" s="1" t="s">
        <v>9375</v>
      </c>
      <c r="AD937" s="1" t="s">
        <v>9376</v>
      </c>
      <c r="AE937" s="1" t="s">
        <v>9377</v>
      </c>
      <c r="AF937" s="1" t="s">
        <v>5257</v>
      </c>
      <c r="AG937" s="1" t="s">
        <v>9377</v>
      </c>
      <c r="AH937" s="1" t="s">
        <v>223</v>
      </c>
      <c r="AI937" s="6">
        <v>18062.0</v>
      </c>
      <c r="AJ937" s="1" t="s">
        <v>224</v>
      </c>
      <c r="AK937" s="1" t="s">
        <v>9378</v>
      </c>
      <c r="AL937" s="1" t="s">
        <v>9379</v>
      </c>
      <c r="AM937" s="11" t="str">
        <f>VLOOKUP(N937,Sheet3!$B$4:$C$10,2,1)</f>
        <v>31-40</v>
      </c>
      <c r="AN937" s="12" t="str">
        <f>VLOOKUP(Z937,Sheet3!$F$4:$G$10,2,1)</f>
        <v>5-10</v>
      </c>
      <c r="AO937" s="5" t="str">
        <f>VLOOKUP(AA937,Sheet3!$I$3:$J$16,2,1)</f>
        <v>180000-200000</v>
      </c>
      <c r="AP937" s="5" t="str">
        <f>VLOOKUP(AB937,Sheet3!$L$4:$M$14,2,1)</f>
        <v>5% - 10%</v>
      </c>
    </row>
    <row r="938">
      <c r="A938" s="6">
        <v>956821.0</v>
      </c>
      <c r="B938" s="1" t="s">
        <v>42</v>
      </c>
      <c r="C938" s="1" t="s">
        <v>9380</v>
      </c>
      <c r="D938" s="1" t="s">
        <v>127</v>
      </c>
      <c r="E938" s="1" t="s">
        <v>1047</v>
      </c>
      <c r="F938" s="1" t="s">
        <v>46</v>
      </c>
      <c r="G938" s="1" t="s">
        <v>9381</v>
      </c>
      <c r="H938" s="1" t="s">
        <v>8579</v>
      </c>
      <c r="I938" s="1" t="s">
        <v>9382</v>
      </c>
      <c r="J938" s="1" t="s">
        <v>9383</v>
      </c>
      <c r="K938" s="1" t="s">
        <v>2203</v>
      </c>
      <c r="L938" s="9">
        <v>21141.0</v>
      </c>
      <c r="M938" s="8">
        <v>0.5034953703703704</v>
      </c>
      <c r="N938" s="6">
        <v>59.73</v>
      </c>
      <c r="O938" s="6">
        <v>48.0</v>
      </c>
      <c r="P938" s="14">
        <v>31389.0</v>
      </c>
      <c r="Q938" s="1" t="s">
        <v>52</v>
      </c>
      <c r="R938" s="1" t="s">
        <v>53</v>
      </c>
      <c r="S938" s="6">
        <v>1985.0</v>
      </c>
      <c r="T938" s="6">
        <v>12.0</v>
      </c>
      <c r="U938" s="1" t="s">
        <v>54</v>
      </c>
      <c r="V938" s="1" t="s">
        <v>55</v>
      </c>
      <c r="W938" s="6">
        <v>8.0</v>
      </c>
      <c r="X938" s="1" t="s">
        <v>534</v>
      </c>
      <c r="Y938" s="1" t="s">
        <v>535</v>
      </c>
      <c r="Z938" s="6">
        <v>31.66</v>
      </c>
      <c r="AA938" s="6">
        <v>50803.0</v>
      </c>
      <c r="AB938" s="10">
        <v>0.26</v>
      </c>
      <c r="AC938" s="1" t="s">
        <v>9384</v>
      </c>
      <c r="AD938" s="1" t="s">
        <v>9385</v>
      </c>
      <c r="AE938" s="1" t="s">
        <v>9386</v>
      </c>
      <c r="AF938" s="1" t="s">
        <v>1600</v>
      </c>
      <c r="AG938" s="1" t="s">
        <v>9386</v>
      </c>
      <c r="AH938" s="1" t="s">
        <v>196</v>
      </c>
      <c r="AI938" s="6">
        <v>38346.0</v>
      </c>
      <c r="AJ938" s="1" t="s">
        <v>106</v>
      </c>
      <c r="AK938" s="1" t="s">
        <v>9387</v>
      </c>
      <c r="AL938" s="1" t="s">
        <v>9388</v>
      </c>
      <c r="AM938" s="11" t="str">
        <f>VLOOKUP(N938,Sheet3!$B$4:$C$10,2,1)</f>
        <v>51-60</v>
      </c>
      <c r="AN938" s="13" t="str">
        <f>VLOOKUP(Z938,Sheet3!$F$4:$G$10,2,1)</f>
        <v>31-40</v>
      </c>
      <c r="AO938" s="5" t="str">
        <f>VLOOKUP(AA938,Sheet3!$I$3:$J$16,2,1)</f>
        <v>40000-60000</v>
      </c>
      <c r="AP938" s="5" t="str">
        <f>VLOOKUP(AB938,Sheet3!$L$4:$M$14,2,1)</f>
        <v>26% - 30%</v>
      </c>
    </row>
    <row r="939">
      <c r="A939" s="6">
        <v>711278.0</v>
      </c>
      <c r="B939" s="1" t="s">
        <v>66</v>
      </c>
      <c r="C939" s="1" t="s">
        <v>9389</v>
      </c>
      <c r="D939" s="1" t="s">
        <v>443</v>
      </c>
      <c r="E939" s="1" t="s">
        <v>1203</v>
      </c>
      <c r="F939" s="1" t="s">
        <v>70</v>
      </c>
      <c r="G939" s="1" t="s">
        <v>9390</v>
      </c>
      <c r="H939" s="1" t="s">
        <v>8579</v>
      </c>
      <c r="I939" s="1" t="s">
        <v>9391</v>
      </c>
      <c r="J939" s="1" t="s">
        <v>9392</v>
      </c>
      <c r="K939" s="1" t="s">
        <v>2841</v>
      </c>
      <c r="L939" s="14">
        <v>27763.0</v>
      </c>
      <c r="M939" s="8">
        <v>0.4653009259259259</v>
      </c>
      <c r="N939" s="6">
        <v>41.59</v>
      </c>
      <c r="O939" s="6">
        <v>55.0</v>
      </c>
      <c r="P939" s="9">
        <v>39871.0</v>
      </c>
      <c r="Q939" s="1" t="s">
        <v>96</v>
      </c>
      <c r="R939" s="1" t="s">
        <v>76</v>
      </c>
      <c r="S939" s="6">
        <v>2009.0</v>
      </c>
      <c r="T939" s="6">
        <v>2.0</v>
      </c>
      <c r="U939" s="1" t="s">
        <v>117</v>
      </c>
      <c r="V939" s="1" t="s">
        <v>118</v>
      </c>
      <c r="W939" s="6">
        <v>27.0</v>
      </c>
      <c r="X939" s="1" t="s">
        <v>263</v>
      </c>
      <c r="Y939" s="1" t="s">
        <v>264</v>
      </c>
      <c r="Z939" s="6">
        <v>8.42</v>
      </c>
      <c r="AA939" s="6">
        <v>173554.0</v>
      </c>
      <c r="AB939" s="10">
        <v>0.05</v>
      </c>
      <c r="AC939" s="1" t="s">
        <v>9393</v>
      </c>
      <c r="AD939" s="1" t="s">
        <v>9394</v>
      </c>
      <c r="AE939" s="1" t="s">
        <v>9395</v>
      </c>
      <c r="AF939" s="1" t="s">
        <v>649</v>
      </c>
      <c r="AG939" s="1" t="s">
        <v>9395</v>
      </c>
      <c r="AH939" s="1" t="s">
        <v>299</v>
      </c>
      <c r="AI939" s="6">
        <v>73573.0</v>
      </c>
      <c r="AJ939" s="1" t="s">
        <v>106</v>
      </c>
      <c r="AK939" s="1" t="s">
        <v>9396</v>
      </c>
      <c r="AL939" s="1" t="s">
        <v>9397</v>
      </c>
      <c r="AM939" s="11" t="str">
        <f>VLOOKUP(N939,Sheet3!$B$4:$C$10,2,1)</f>
        <v>41-50</v>
      </c>
      <c r="AN939" s="12" t="str">
        <f>VLOOKUP(Z939,Sheet3!$F$4:$G$10,2,1)</f>
        <v>5-10</v>
      </c>
      <c r="AO939" s="5" t="str">
        <f>VLOOKUP(AA939,Sheet3!$I$3:$J$16,2,1)</f>
        <v>160000-180000</v>
      </c>
      <c r="AP939" s="5" t="str">
        <f>VLOOKUP(AB939,Sheet3!$L$4:$M$14,2,1)</f>
        <v>5% - 10%</v>
      </c>
    </row>
    <row r="940">
      <c r="A940" s="6">
        <v>125371.0</v>
      </c>
      <c r="B940" s="1" t="s">
        <v>42</v>
      </c>
      <c r="C940" s="1" t="s">
        <v>3822</v>
      </c>
      <c r="D940" s="1" t="s">
        <v>360</v>
      </c>
      <c r="E940" s="1" t="s">
        <v>9398</v>
      </c>
      <c r="F940" s="1" t="s">
        <v>46</v>
      </c>
      <c r="G940" s="1" t="s">
        <v>9399</v>
      </c>
      <c r="H940" s="1" t="s">
        <v>8579</v>
      </c>
      <c r="I940" s="1" t="s">
        <v>9400</v>
      </c>
      <c r="J940" s="1" t="s">
        <v>9401</v>
      </c>
      <c r="K940" s="1" t="s">
        <v>8542</v>
      </c>
      <c r="L940" s="9">
        <v>34715.0</v>
      </c>
      <c r="M940" s="8">
        <v>0.546412037037037</v>
      </c>
      <c r="N940" s="6">
        <v>22.55</v>
      </c>
      <c r="O940" s="6">
        <v>45.0</v>
      </c>
      <c r="P940" s="9">
        <v>42725.0</v>
      </c>
      <c r="Q940" s="1" t="s">
        <v>52</v>
      </c>
      <c r="R940" s="1" t="s">
        <v>53</v>
      </c>
      <c r="S940" s="6">
        <v>2016.0</v>
      </c>
      <c r="T940" s="6">
        <v>12.0</v>
      </c>
      <c r="U940" s="1" t="s">
        <v>54</v>
      </c>
      <c r="V940" s="1" t="s">
        <v>55</v>
      </c>
      <c r="W940" s="6">
        <v>21.0</v>
      </c>
      <c r="X940" s="1" t="s">
        <v>278</v>
      </c>
      <c r="Y940" s="1" t="s">
        <v>279</v>
      </c>
      <c r="Z940" s="6">
        <v>0.6</v>
      </c>
      <c r="AA940" s="6">
        <v>42245.0</v>
      </c>
      <c r="AB940" s="10">
        <v>0.15</v>
      </c>
      <c r="AC940" s="1" t="s">
        <v>9402</v>
      </c>
      <c r="AD940" s="1" t="s">
        <v>9403</v>
      </c>
      <c r="AE940" s="1" t="s">
        <v>9404</v>
      </c>
      <c r="AF940" s="1" t="s">
        <v>9405</v>
      </c>
      <c r="AG940" s="1" t="s">
        <v>9404</v>
      </c>
      <c r="AH940" s="1" t="s">
        <v>563</v>
      </c>
      <c r="AI940" s="6">
        <v>25853.0</v>
      </c>
      <c r="AJ940" s="1" t="s">
        <v>106</v>
      </c>
      <c r="AK940" s="1" t="s">
        <v>9406</v>
      </c>
      <c r="AL940" s="1" t="s">
        <v>9407</v>
      </c>
      <c r="AM940" s="11" t="str">
        <f>VLOOKUP(N940,Sheet3!$B$4:$C$10,2,1)</f>
        <v>21-30</v>
      </c>
      <c r="AN940" s="13" t="str">
        <f>VLOOKUP(Z940,Sheet3!$F$4:$G$10,2,1)</f>
        <v>&lt; 5</v>
      </c>
      <c r="AO940" s="5" t="str">
        <f>VLOOKUP(AA940,Sheet3!$I$3:$J$16,2,1)</f>
        <v>40000-60000</v>
      </c>
      <c r="AP940" s="5" t="str">
        <f>VLOOKUP(AB940,Sheet3!$L$4:$M$14,2,1)</f>
        <v>11% - 15%</v>
      </c>
    </row>
    <row r="941">
      <c r="A941" s="6">
        <v>906259.0</v>
      </c>
      <c r="B941" s="1" t="s">
        <v>89</v>
      </c>
      <c r="C941" s="1" t="s">
        <v>4294</v>
      </c>
      <c r="D941" s="1" t="s">
        <v>200</v>
      </c>
      <c r="E941" s="1" t="s">
        <v>5211</v>
      </c>
      <c r="F941" s="1" t="s">
        <v>46</v>
      </c>
      <c r="G941" s="1" t="s">
        <v>9408</v>
      </c>
      <c r="H941" s="1" t="s">
        <v>8579</v>
      </c>
      <c r="I941" s="1" t="s">
        <v>9409</v>
      </c>
      <c r="J941" s="1" t="s">
        <v>9410</v>
      </c>
      <c r="K941" s="1" t="s">
        <v>1722</v>
      </c>
      <c r="L941" s="9">
        <v>29204.0</v>
      </c>
      <c r="M941" s="8">
        <v>0.4728819444444444</v>
      </c>
      <c r="N941" s="6">
        <v>37.64</v>
      </c>
      <c r="O941" s="6">
        <v>46.0</v>
      </c>
      <c r="P941" s="9">
        <v>39193.0</v>
      </c>
      <c r="Q941" s="1" t="s">
        <v>75</v>
      </c>
      <c r="R941" s="1" t="s">
        <v>76</v>
      </c>
      <c r="S941" s="6">
        <v>2007.0</v>
      </c>
      <c r="T941" s="6">
        <v>4.0</v>
      </c>
      <c r="U941" s="1" t="s">
        <v>77</v>
      </c>
      <c r="V941" s="1" t="s">
        <v>78</v>
      </c>
      <c r="W941" s="6">
        <v>21.0</v>
      </c>
      <c r="X941" s="1" t="s">
        <v>56</v>
      </c>
      <c r="Y941" s="1" t="s">
        <v>57</v>
      </c>
      <c r="Z941" s="6">
        <v>10.28</v>
      </c>
      <c r="AA941" s="6">
        <v>115340.0</v>
      </c>
      <c r="AB941" s="10">
        <v>0.0</v>
      </c>
      <c r="AC941" s="1" t="s">
        <v>9411</v>
      </c>
      <c r="AD941" s="1" t="s">
        <v>9412</v>
      </c>
      <c r="AE941" s="1" t="s">
        <v>4620</v>
      </c>
      <c r="AF941" s="1" t="s">
        <v>4620</v>
      </c>
      <c r="AG941" s="1" t="s">
        <v>4620</v>
      </c>
      <c r="AH941" s="1" t="s">
        <v>1561</v>
      </c>
      <c r="AI941" s="6">
        <v>53217.0</v>
      </c>
      <c r="AJ941" s="1" t="s">
        <v>86</v>
      </c>
      <c r="AK941" s="1" t="s">
        <v>9413</v>
      </c>
      <c r="AL941" s="1" t="s">
        <v>9414</v>
      </c>
      <c r="AM941" s="11" t="str">
        <f>VLOOKUP(N941,Sheet3!$B$4:$C$10,2,1)</f>
        <v>31-40</v>
      </c>
      <c r="AN941" s="12" t="str">
        <f>VLOOKUP(Z941,Sheet3!$F$4:$G$10,2,1)</f>
        <v>5-10</v>
      </c>
      <c r="AO941" s="5" t="str">
        <f>VLOOKUP(AA941,Sheet3!$I$3:$J$16,2,1)</f>
        <v>100000-120000</v>
      </c>
      <c r="AP941" s="5" t="str">
        <f>VLOOKUP(AB941,Sheet3!$L$4:$M$14,2,1)</f>
        <v>&lt; 5%</v>
      </c>
    </row>
    <row r="942">
      <c r="A942" s="6">
        <v>327429.0</v>
      </c>
      <c r="B942" s="1" t="s">
        <v>227</v>
      </c>
      <c r="C942" s="1" t="s">
        <v>9415</v>
      </c>
      <c r="D942" s="1" t="s">
        <v>68</v>
      </c>
      <c r="E942" s="1" t="s">
        <v>3476</v>
      </c>
      <c r="F942" s="1" t="s">
        <v>70</v>
      </c>
      <c r="G942" s="1" t="s">
        <v>9416</v>
      </c>
      <c r="H942" s="1" t="s">
        <v>8579</v>
      </c>
      <c r="I942" s="1" t="s">
        <v>9417</v>
      </c>
      <c r="J942" s="1" t="s">
        <v>9418</v>
      </c>
      <c r="K942" s="1" t="s">
        <v>2180</v>
      </c>
      <c r="L942" s="14">
        <v>28891.0</v>
      </c>
      <c r="M942" s="8">
        <v>0.009583333333333333</v>
      </c>
      <c r="N942" s="6">
        <v>38.5</v>
      </c>
      <c r="O942" s="6">
        <v>61.0</v>
      </c>
      <c r="P942" s="9">
        <v>37786.0</v>
      </c>
      <c r="Q942" s="1" t="s">
        <v>75</v>
      </c>
      <c r="R942" s="1" t="s">
        <v>76</v>
      </c>
      <c r="S942" s="6">
        <v>2003.0</v>
      </c>
      <c r="T942" s="6">
        <v>6.0</v>
      </c>
      <c r="U942" s="1" t="s">
        <v>324</v>
      </c>
      <c r="V942" s="1" t="s">
        <v>325</v>
      </c>
      <c r="W942" s="6">
        <v>14.0</v>
      </c>
      <c r="X942" s="1" t="s">
        <v>56</v>
      </c>
      <c r="Y942" s="1" t="s">
        <v>57</v>
      </c>
      <c r="Z942" s="6">
        <v>14.13</v>
      </c>
      <c r="AA942" s="6">
        <v>168548.0</v>
      </c>
      <c r="AB942" s="10">
        <v>0.22</v>
      </c>
      <c r="AC942" s="1" t="s">
        <v>9419</v>
      </c>
      <c r="AD942" s="1" t="s">
        <v>9420</v>
      </c>
      <c r="AE942" s="1" t="s">
        <v>9421</v>
      </c>
      <c r="AF942" s="1" t="s">
        <v>371</v>
      </c>
      <c r="AG942" s="1" t="s">
        <v>9421</v>
      </c>
      <c r="AH942" s="1" t="s">
        <v>9422</v>
      </c>
      <c r="AI942" s="6">
        <v>2852.0</v>
      </c>
      <c r="AJ942" s="1" t="s">
        <v>224</v>
      </c>
      <c r="AK942" s="1" t="s">
        <v>9423</v>
      </c>
      <c r="AL942" s="1" t="s">
        <v>9424</v>
      </c>
      <c r="AM942" s="11" t="str">
        <f>VLOOKUP(N942,Sheet3!$B$4:$C$10,2,1)</f>
        <v>31-40</v>
      </c>
      <c r="AN942" s="12" t="str">
        <f>VLOOKUP(Z942,Sheet3!$F$4:$G$10,2,1)</f>
        <v>11-20</v>
      </c>
      <c r="AO942" s="5" t="str">
        <f>VLOOKUP(AA942,Sheet3!$I$3:$J$16,2,1)</f>
        <v>160000-180000</v>
      </c>
      <c r="AP942" s="5" t="str">
        <f>VLOOKUP(AB942,Sheet3!$L$4:$M$14,2,1)</f>
        <v>21% - 25%</v>
      </c>
    </row>
    <row r="943">
      <c r="A943" s="6">
        <v>272413.0</v>
      </c>
      <c r="B943" s="1" t="s">
        <v>66</v>
      </c>
      <c r="C943" s="1" t="s">
        <v>7124</v>
      </c>
      <c r="D943" s="1" t="s">
        <v>200</v>
      </c>
      <c r="E943" s="1" t="s">
        <v>9425</v>
      </c>
      <c r="F943" s="1" t="s">
        <v>70</v>
      </c>
      <c r="G943" s="1" t="s">
        <v>9426</v>
      </c>
      <c r="H943" s="1" t="s">
        <v>8579</v>
      </c>
      <c r="I943" s="1" t="s">
        <v>9427</v>
      </c>
      <c r="J943" s="1" t="s">
        <v>9428</v>
      </c>
      <c r="K943" s="1" t="s">
        <v>444</v>
      </c>
      <c r="L943" s="9">
        <v>21229.0</v>
      </c>
      <c r="M943" s="8">
        <v>0.567037037037037</v>
      </c>
      <c r="N943" s="6">
        <v>59.49</v>
      </c>
      <c r="O943" s="6">
        <v>51.0</v>
      </c>
      <c r="P943" s="14">
        <v>39510.0</v>
      </c>
      <c r="Q943" s="1" t="s">
        <v>96</v>
      </c>
      <c r="R943" s="1" t="s">
        <v>76</v>
      </c>
      <c r="S943" s="6">
        <v>2008.0</v>
      </c>
      <c r="T943" s="6">
        <v>3.0</v>
      </c>
      <c r="U943" s="1" t="s">
        <v>97</v>
      </c>
      <c r="V943" s="1" t="s">
        <v>98</v>
      </c>
      <c r="W943" s="6">
        <v>3.0</v>
      </c>
      <c r="X943" s="1" t="s">
        <v>99</v>
      </c>
      <c r="Y943" s="1" t="s">
        <v>100</v>
      </c>
      <c r="Z943" s="6">
        <v>9.41</v>
      </c>
      <c r="AA943" s="6">
        <v>141453.0</v>
      </c>
      <c r="AB943" s="10">
        <v>0.2</v>
      </c>
      <c r="AC943" s="1" t="s">
        <v>9429</v>
      </c>
      <c r="AD943" s="1" t="s">
        <v>9430</v>
      </c>
      <c r="AE943" s="1" t="s">
        <v>9431</v>
      </c>
      <c r="AF943" s="1" t="s">
        <v>2006</v>
      </c>
      <c r="AG943" s="1" t="s">
        <v>9431</v>
      </c>
      <c r="AH943" s="1" t="s">
        <v>2007</v>
      </c>
      <c r="AI943" s="6">
        <v>88003.0</v>
      </c>
      <c r="AJ943" s="1" t="s">
        <v>63</v>
      </c>
      <c r="AK943" s="1" t="s">
        <v>9432</v>
      </c>
      <c r="AL943" s="1" t="s">
        <v>9433</v>
      </c>
      <c r="AM943" s="11" t="str">
        <f>VLOOKUP(N943,Sheet3!$B$4:$C$10,2,1)</f>
        <v>51-60</v>
      </c>
      <c r="AN943" s="12" t="str">
        <f>VLOOKUP(Z943,Sheet3!$F$4:$G$10,2,1)</f>
        <v>5-10</v>
      </c>
      <c r="AO943" s="5" t="str">
        <f>VLOOKUP(AA943,Sheet3!$I$3:$J$16,2,1)</f>
        <v>140000-160000</v>
      </c>
      <c r="AP943" s="5" t="str">
        <f>VLOOKUP(AB943,Sheet3!$L$4:$M$14,2,1)</f>
        <v>16% - 20%</v>
      </c>
    </row>
    <row r="944">
      <c r="A944" s="6">
        <v>645306.0</v>
      </c>
      <c r="B944" s="1" t="s">
        <v>66</v>
      </c>
      <c r="C944" s="1" t="s">
        <v>9434</v>
      </c>
      <c r="D944" s="1" t="s">
        <v>173</v>
      </c>
      <c r="E944" s="1" t="s">
        <v>319</v>
      </c>
      <c r="F944" s="1" t="s">
        <v>70</v>
      </c>
      <c r="G944" s="1" t="s">
        <v>9435</v>
      </c>
      <c r="H944" s="1" t="s">
        <v>8579</v>
      </c>
      <c r="I944" s="1" t="s">
        <v>9436</v>
      </c>
      <c r="J944" s="1" t="s">
        <v>9437</v>
      </c>
      <c r="K944" s="1" t="s">
        <v>9438</v>
      </c>
      <c r="L944" s="9">
        <v>29644.0</v>
      </c>
      <c r="M944" s="8">
        <v>0.3880439814814815</v>
      </c>
      <c r="N944" s="6">
        <v>36.44</v>
      </c>
      <c r="O944" s="6">
        <v>78.0</v>
      </c>
      <c r="P944" s="9">
        <v>41635.0</v>
      </c>
      <c r="Q944" s="1" t="s">
        <v>52</v>
      </c>
      <c r="R944" s="1" t="s">
        <v>53</v>
      </c>
      <c r="S944" s="6">
        <v>2013.0</v>
      </c>
      <c r="T944" s="6">
        <v>12.0</v>
      </c>
      <c r="U944" s="1" t="s">
        <v>54</v>
      </c>
      <c r="V944" s="1" t="s">
        <v>55</v>
      </c>
      <c r="W944" s="6">
        <v>27.0</v>
      </c>
      <c r="X944" s="1" t="s">
        <v>263</v>
      </c>
      <c r="Y944" s="1" t="s">
        <v>264</v>
      </c>
      <c r="Z944" s="6">
        <v>3.59</v>
      </c>
      <c r="AA944" s="6">
        <v>175151.0</v>
      </c>
      <c r="AB944" s="10">
        <v>0.24</v>
      </c>
      <c r="AC944" s="1" t="s">
        <v>9439</v>
      </c>
      <c r="AD944" s="1" t="s">
        <v>9440</v>
      </c>
      <c r="AE944" s="1" t="s">
        <v>9441</v>
      </c>
      <c r="AF944" s="1" t="s">
        <v>9442</v>
      </c>
      <c r="AG944" s="1" t="s">
        <v>9441</v>
      </c>
      <c r="AH944" s="1" t="s">
        <v>1032</v>
      </c>
      <c r="AI944" s="6">
        <v>67482.0</v>
      </c>
      <c r="AJ944" s="1" t="s">
        <v>86</v>
      </c>
      <c r="AK944" s="1" t="s">
        <v>9443</v>
      </c>
      <c r="AL944" s="1" t="s">
        <v>9444</v>
      </c>
      <c r="AM944" s="11" t="str">
        <f>VLOOKUP(N944,Sheet3!$B$4:$C$10,2,1)</f>
        <v>31-40</v>
      </c>
      <c r="AN944" s="13" t="str">
        <f>VLOOKUP(Z944,Sheet3!$F$4:$G$10,2,1)</f>
        <v>&lt; 5</v>
      </c>
      <c r="AO944" s="5" t="str">
        <f>VLOOKUP(AA944,Sheet3!$I$3:$J$16,2,1)</f>
        <v>160000-180000</v>
      </c>
      <c r="AP944" s="5" t="str">
        <f>VLOOKUP(AB944,Sheet3!$L$4:$M$14,2,1)</f>
        <v>21% - 25%</v>
      </c>
    </row>
    <row r="945">
      <c r="A945" s="6">
        <v>180869.0</v>
      </c>
      <c r="B945" s="1" t="s">
        <v>66</v>
      </c>
      <c r="C945" s="1" t="s">
        <v>9445</v>
      </c>
      <c r="D945" s="1" t="s">
        <v>416</v>
      </c>
      <c r="E945" s="1" t="s">
        <v>2617</v>
      </c>
      <c r="F945" s="1" t="s">
        <v>70</v>
      </c>
      <c r="G945" s="1" t="s">
        <v>9446</v>
      </c>
      <c r="H945" s="1" t="s">
        <v>8579</v>
      </c>
      <c r="I945" s="1" t="s">
        <v>9447</v>
      </c>
      <c r="J945" s="1" t="s">
        <v>9448</v>
      </c>
      <c r="K945" s="1" t="s">
        <v>1783</v>
      </c>
      <c r="L945" s="14">
        <v>25845.0</v>
      </c>
      <c r="M945" s="8">
        <v>0.651099537037037</v>
      </c>
      <c r="N945" s="6">
        <v>46.85</v>
      </c>
      <c r="O945" s="6">
        <v>69.0</v>
      </c>
      <c r="P945" s="9">
        <v>41866.0</v>
      </c>
      <c r="Q945" s="1" t="s">
        <v>308</v>
      </c>
      <c r="R945" s="1" t="s">
        <v>53</v>
      </c>
      <c r="S945" s="6">
        <v>2014.0</v>
      </c>
      <c r="T945" s="6">
        <v>8.0</v>
      </c>
      <c r="U945" s="1" t="s">
        <v>433</v>
      </c>
      <c r="V945" s="1" t="s">
        <v>434</v>
      </c>
      <c r="W945" s="6">
        <v>15.0</v>
      </c>
      <c r="X945" s="1" t="s">
        <v>263</v>
      </c>
      <c r="Y945" s="1" t="s">
        <v>264</v>
      </c>
      <c r="Z945" s="6">
        <v>2.95</v>
      </c>
      <c r="AA945" s="6">
        <v>126821.0</v>
      </c>
      <c r="AB945" s="10">
        <v>0.04</v>
      </c>
      <c r="AC945" s="1" t="s">
        <v>9449</v>
      </c>
      <c r="AD945" s="1" t="s">
        <v>9450</v>
      </c>
      <c r="AE945" s="1" t="s">
        <v>9451</v>
      </c>
      <c r="AF945" s="1" t="s">
        <v>3751</v>
      </c>
      <c r="AG945" s="1" t="s">
        <v>9451</v>
      </c>
      <c r="AH945" s="1" t="s">
        <v>1103</v>
      </c>
      <c r="AI945" s="6">
        <v>3827.0</v>
      </c>
      <c r="AJ945" s="1" t="s">
        <v>224</v>
      </c>
      <c r="AK945" s="1" t="s">
        <v>9452</v>
      </c>
      <c r="AL945" s="1" t="s">
        <v>9453</v>
      </c>
      <c r="AM945" s="11" t="str">
        <f>VLOOKUP(N945,Sheet3!$B$4:$C$10,2,1)</f>
        <v>41-50</v>
      </c>
      <c r="AN945" s="13" t="str">
        <f>VLOOKUP(Z945,Sheet3!$F$4:$G$10,2,1)</f>
        <v>&lt; 5</v>
      </c>
      <c r="AO945" s="5" t="str">
        <f>VLOOKUP(AA945,Sheet3!$I$3:$J$16,2,1)</f>
        <v>120000-140000</v>
      </c>
      <c r="AP945" s="5" t="str">
        <f>VLOOKUP(AB945,Sheet3!$L$4:$M$14,2,1)</f>
        <v>&lt; 5%</v>
      </c>
    </row>
    <row r="946">
      <c r="A946" s="6">
        <v>222563.0</v>
      </c>
      <c r="B946" s="1" t="s">
        <v>109</v>
      </c>
      <c r="C946" s="1" t="s">
        <v>9454</v>
      </c>
      <c r="D946" s="1" t="s">
        <v>288</v>
      </c>
      <c r="E946" s="1" t="s">
        <v>9455</v>
      </c>
      <c r="F946" s="1" t="s">
        <v>46</v>
      </c>
      <c r="G946" s="1" t="s">
        <v>9456</v>
      </c>
      <c r="H946" s="1" t="s">
        <v>8579</v>
      </c>
      <c r="I946" s="1" t="s">
        <v>9457</v>
      </c>
      <c r="J946" s="1" t="s">
        <v>9458</v>
      </c>
      <c r="K946" s="1" t="s">
        <v>3725</v>
      </c>
      <c r="L946" s="14">
        <v>23257.0</v>
      </c>
      <c r="M946" s="8">
        <v>0.26903935185185185</v>
      </c>
      <c r="N946" s="6">
        <v>53.94</v>
      </c>
      <c r="O946" s="6">
        <v>54.0</v>
      </c>
      <c r="P946" s="9">
        <v>37398.0</v>
      </c>
      <c r="Q946" s="1" t="s">
        <v>75</v>
      </c>
      <c r="R946" s="1" t="s">
        <v>76</v>
      </c>
      <c r="S946" s="6">
        <v>2002.0</v>
      </c>
      <c r="T946" s="6">
        <v>5.0</v>
      </c>
      <c r="U946" s="1" t="s">
        <v>294</v>
      </c>
      <c r="V946" s="1" t="s">
        <v>294</v>
      </c>
      <c r="W946" s="6">
        <v>22.0</v>
      </c>
      <c r="X946" s="1" t="s">
        <v>278</v>
      </c>
      <c r="Y946" s="1" t="s">
        <v>279</v>
      </c>
      <c r="Z946" s="6">
        <v>15.19</v>
      </c>
      <c r="AA946" s="6">
        <v>63519.0</v>
      </c>
      <c r="AB946" s="10">
        <v>0.15</v>
      </c>
      <c r="AC946" s="1" t="s">
        <v>9459</v>
      </c>
      <c r="AD946" s="1" t="s">
        <v>9460</v>
      </c>
      <c r="AE946" s="1" t="s">
        <v>9461</v>
      </c>
      <c r="AF946" s="1" t="s">
        <v>3075</v>
      </c>
      <c r="AG946" s="1" t="s">
        <v>9461</v>
      </c>
      <c r="AH946" s="1" t="s">
        <v>105</v>
      </c>
      <c r="AI946" s="6">
        <v>41033.0</v>
      </c>
      <c r="AJ946" s="1" t="s">
        <v>106</v>
      </c>
      <c r="AK946" s="1" t="s">
        <v>9462</v>
      </c>
      <c r="AL946" s="1" t="s">
        <v>9463</v>
      </c>
      <c r="AM946" s="11" t="str">
        <f>VLOOKUP(N946,Sheet3!$B$4:$C$10,2,1)</f>
        <v>51-60</v>
      </c>
      <c r="AN946" s="12" t="str">
        <f>VLOOKUP(Z946,Sheet3!$F$4:$G$10,2,1)</f>
        <v>11-20</v>
      </c>
      <c r="AO946" s="5" t="str">
        <f>VLOOKUP(AA946,Sheet3!$I$3:$J$16,2,1)</f>
        <v>60000-80000</v>
      </c>
      <c r="AP946" s="5" t="str">
        <f>VLOOKUP(AB946,Sheet3!$L$4:$M$14,2,1)</f>
        <v>11% - 15%</v>
      </c>
    </row>
    <row r="947">
      <c r="A947" s="6">
        <v>541221.0</v>
      </c>
      <c r="B947" s="1" t="s">
        <v>66</v>
      </c>
      <c r="C947" s="1" t="s">
        <v>649</v>
      </c>
      <c r="D947" s="1" t="s">
        <v>334</v>
      </c>
      <c r="E947" s="1" t="s">
        <v>1923</v>
      </c>
      <c r="F947" s="1" t="s">
        <v>70</v>
      </c>
      <c r="G947" s="1" t="s">
        <v>9464</v>
      </c>
      <c r="H947" s="1" t="s">
        <v>8579</v>
      </c>
      <c r="I947" s="1" t="s">
        <v>9465</v>
      </c>
      <c r="J947" s="1" t="s">
        <v>9466</v>
      </c>
      <c r="K947" s="1" t="s">
        <v>3937</v>
      </c>
      <c r="L947" s="9">
        <v>35263.0</v>
      </c>
      <c r="M947" s="8">
        <v>0.4362037037037037</v>
      </c>
      <c r="N947" s="6">
        <v>21.04</v>
      </c>
      <c r="O947" s="6">
        <v>88.0</v>
      </c>
      <c r="P947" s="9">
        <v>42931.0</v>
      </c>
      <c r="Q947" s="1" t="s">
        <v>308</v>
      </c>
      <c r="R947" s="1" t="s">
        <v>53</v>
      </c>
      <c r="S947" s="6">
        <v>2017.0</v>
      </c>
      <c r="T947" s="6">
        <v>7.0</v>
      </c>
      <c r="U947" s="1" t="s">
        <v>366</v>
      </c>
      <c r="V947" s="1" t="s">
        <v>367</v>
      </c>
      <c r="W947" s="6">
        <v>15.0</v>
      </c>
      <c r="X947" s="1" t="s">
        <v>56</v>
      </c>
      <c r="Y947" s="1" t="s">
        <v>57</v>
      </c>
      <c r="Z947" s="6">
        <v>0.04</v>
      </c>
      <c r="AA947" s="6">
        <v>68295.0</v>
      </c>
      <c r="AB947" s="10">
        <v>0.07</v>
      </c>
      <c r="AC947" s="1" t="s">
        <v>9467</v>
      </c>
      <c r="AD947" s="1" t="s">
        <v>9468</v>
      </c>
      <c r="AE947" s="1" t="s">
        <v>9469</v>
      </c>
      <c r="AF947" s="1" t="s">
        <v>9470</v>
      </c>
      <c r="AG947" s="1" t="s">
        <v>9469</v>
      </c>
      <c r="AH947" s="1" t="s">
        <v>1605</v>
      </c>
      <c r="AI947" s="6">
        <v>58258.0</v>
      </c>
      <c r="AJ947" s="1" t="s">
        <v>86</v>
      </c>
      <c r="AK947" s="1" t="s">
        <v>9471</v>
      </c>
      <c r="AL947" s="1" t="s">
        <v>9472</v>
      </c>
      <c r="AM947" s="11" t="str">
        <f>VLOOKUP(N947,Sheet3!$B$4:$C$10,2,1)</f>
        <v>21-30</v>
      </c>
      <c r="AN947" s="13" t="str">
        <f>VLOOKUP(Z947,Sheet3!$F$4:$G$10,2,1)</f>
        <v>&lt; 5</v>
      </c>
      <c r="AO947" s="5" t="str">
        <f>VLOOKUP(AA947,Sheet3!$I$3:$J$16,2,1)</f>
        <v>60000-80000</v>
      </c>
      <c r="AP947" s="5" t="str">
        <f>VLOOKUP(AB947,Sheet3!$L$4:$M$14,2,1)</f>
        <v>5% - 10%</v>
      </c>
    </row>
    <row r="948">
      <c r="A948" s="6">
        <v>198476.0</v>
      </c>
      <c r="B948" s="1" t="s">
        <v>66</v>
      </c>
      <c r="C948" s="1" t="s">
        <v>6230</v>
      </c>
      <c r="D948" s="1" t="s">
        <v>443</v>
      </c>
      <c r="E948" s="1" t="s">
        <v>4410</v>
      </c>
      <c r="F948" s="1" t="s">
        <v>70</v>
      </c>
      <c r="G948" s="1" t="s">
        <v>9473</v>
      </c>
      <c r="H948" s="1" t="s">
        <v>8579</v>
      </c>
      <c r="I948" s="1" t="s">
        <v>9474</v>
      </c>
      <c r="J948" s="1" t="s">
        <v>9475</v>
      </c>
      <c r="K948" s="1" t="s">
        <v>2423</v>
      </c>
      <c r="L948" s="9">
        <v>26833.0</v>
      </c>
      <c r="M948" s="8">
        <v>0.7442245370370371</v>
      </c>
      <c r="N948" s="6">
        <v>44.14</v>
      </c>
      <c r="O948" s="6">
        <v>83.0</v>
      </c>
      <c r="P948" s="9">
        <v>36305.0</v>
      </c>
      <c r="Q948" s="1" t="s">
        <v>75</v>
      </c>
      <c r="R948" s="1" t="s">
        <v>76</v>
      </c>
      <c r="S948" s="6">
        <v>1999.0</v>
      </c>
      <c r="T948" s="6">
        <v>5.0</v>
      </c>
      <c r="U948" s="1" t="s">
        <v>294</v>
      </c>
      <c r="V948" s="1" t="s">
        <v>294</v>
      </c>
      <c r="W948" s="6">
        <v>25.0</v>
      </c>
      <c r="X948" s="1" t="s">
        <v>79</v>
      </c>
      <c r="Y948" s="1" t="s">
        <v>80</v>
      </c>
      <c r="Z948" s="6">
        <v>18.19</v>
      </c>
      <c r="AA948" s="6">
        <v>159350.0</v>
      </c>
      <c r="AB948" s="10">
        <v>0.21</v>
      </c>
      <c r="AC948" s="1" t="s">
        <v>9476</v>
      </c>
      <c r="AD948" s="1" t="s">
        <v>9477</v>
      </c>
      <c r="AE948" s="1" t="s">
        <v>8698</v>
      </c>
      <c r="AF948" s="1" t="s">
        <v>8698</v>
      </c>
      <c r="AG948" s="1" t="s">
        <v>8698</v>
      </c>
      <c r="AH948" s="1" t="s">
        <v>238</v>
      </c>
      <c r="AI948" s="6">
        <v>95065.0</v>
      </c>
      <c r="AJ948" s="1" t="s">
        <v>63</v>
      </c>
      <c r="AK948" s="1" t="s">
        <v>9478</v>
      </c>
      <c r="AL948" s="1" t="s">
        <v>9479</v>
      </c>
      <c r="AM948" s="11" t="str">
        <f>VLOOKUP(N948,Sheet3!$B$4:$C$10,2,1)</f>
        <v>41-50</v>
      </c>
      <c r="AN948" s="12" t="str">
        <f>VLOOKUP(Z948,Sheet3!$F$4:$G$10,2,1)</f>
        <v>11-20</v>
      </c>
      <c r="AO948" s="5" t="str">
        <f>VLOOKUP(AA948,Sheet3!$I$3:$J$16,2,1)</f>
        <v>140000-160000</v>
      </c>
      <c r="AP948" s="5" t="str">
        <f>VLOOKUP(AB948,Sheet3!$L$4:$M$14,2,1)</f>
        <v>21% - 25%</v>
      </c>
    </row>
    <row r="949">
      <c r="A949" s="6">
        <v>664807.0</v>
      </c>
      <c r="B949" s="1" t="s">
        <v>125</v>
      </c>
      <c r="C949" s="1" t="s">
        <v>9480</v>
      </c>
      <c r="D949" s="1" t="s">
        <v>389</v>
      </c>
      <c r="E949" s="1" t="s">
        <v>428</v>
      </c>
      <c r="F949" s="1" t="s">
        <v>46</v>
      </c>
      <c r="G949" s="1" t="s">
        <v>9481</v>
      </c>
      <c r="H949" s="1" t="s">
        <v>8579</v>
      </c>
      <c r="I949" s="1" t="s">
        <v>9482</v>
      </c>
      <c r="J949" s="1" t="s">
        <v>9483</v>
      </c>
      <c r="K949" s="1" t="s">
        <v>5734</v>
      </c>
      <c r="L949" s="14">
        <v>34368.0</v>
      </c>
      <c r="M949" s="8">
        <v>0.13094907407407408</v>
      </c>
      <c r="N949" s="6">
        <v>23.5</v>
      </c>
      <c r="O949" s="6">
        <v>50.0</v>
      </c>
      <c r="P949" s="14">
        <v>42740.0</v>
      </c>
      <c r="Q949" s="1" t="s">
        <v>96</v>
      </c>
      <c r="R949" s="1" t="s">
        <v>76</v>
      </c>
      <c r="S949" s="6">
        <v>2017.0</v>
      </c>
      <c r="T949" s="6">
        <v>1.0</v>
      </c>
      <c r="U949" s="1" t="s">
        <v>276</v>
      </c>
      <c r="V949" s="1" t="s">
        <v>277</v>
      </c>
      <c r="W949" s="6">
        <v>5.0</v>
      </c>
      <c r="X949" s="1" t="s">
        <v>150</v>
      </c>
      <c r="Y949" s="1" t="s">
        <v>151</v>
      </c>
      <c r="Z949" s="6">
        <v>0.56</v>
      </c>
      <c r="AA949" s="6">
        <v>120043.0</v>
      </c>
      <c r="AB949" s="10">
        <v>0.21</v>
      </c>
      <c r="AC949" s="1" t="s">
        <v>9484</v>
      </c>
      <c r="AD949" s="1" t="s">
        <v>9485</v>
      </c>
      <c r="AE949" s="1" t="s">
        <v>9486</v>
      </c>
      <c r="AF949" s="1" t="s">
        <v>9487</v>
      </c>
      <c r="AG949" s="1" t="s">
        <v>9486</v>
      </c>
      <c r="AH949" s="1" t="s">
        <v>223</v>
      </c>
      <c r="AI949" s="6">
        <v>16730.0</v>
      </c>
      <c r="AJ949" s="1" t="s">
        <v>224</v>
      </c>
      <c r="AK949" s="1" t="s">
        <v>9488</v>
      </c>
      <c r="AL949" s="1" t="s">
        <v>9489</v>
      </c>
      <c r="AM949" s="11" t="str">
        <f>VLOOKUP(N949,Sheet3!$B$4:$C$10,2,1)</f>
        <v>21-30</v>
      </c>
      <c r="AN949" s="13" t="str">
        <f>VLOOKUP(Z949,Sheet3!$F$4:$G$10,2,1)</f>
        <v>&lt; 5</v>
      </c>
      <c r="AO949" s="5" t="str">
        <f>VLOOKUP(AA949,Sheet3!$I$3:$J$16,2,1)</f>
        <v>120000-140000</v>
      </c>
      <c r="AP949" s="5" t="str">
        <f>VLOOKUP(AB949,Sheet3!$L$4:$M$14,2,1)</f>
        <v>21% - 25%</v>
      </c>
    </row>
    <row r="950">
      <c r="A950" s="6">
        <v>673745.0</v>
      </c>
      <c r="B950" s="1" t="s">
        <v>42</v>
      </c>
      <c r="C950" s="1" t="s">
        <v>2730</v>
      </c>
      <c r="D950" s="1" t="s">
        <v>68</v>
      </c>
      <c r="E950" s="1" t="s">
        <v>6515</v>
      </c>
      <c r="F950" s="1" t="s">
        <v>46</v>
      </c>
      <c r="G950" s="1" t="s">
        <v>9490</v>
      </c>
      <c r="H950" s="1" t="s">
        <v>8579</v>
      </c>
      <c r="I950" s="1" t="s">
        <v>9491</v>
      </c>
      <c r="J950" s="1" t="s">
        <v>9492</v>
      </c>
      <c r="K950" s="1" t="s">
        <v>1748</v>
      </c>
      <c r="L950" s="14">
        <v>34246.0</v>
      </c>
      <c r="M950" s="8">
        <v>0.5780439814814815</v>
      </c>
      <c r="N950" s="6">
        <v>23.83</v>
      </c>
      <c r="O950" s="6">
        <v>55.0</v>
      </c>
      <c r="P950" s="9">
        <v>42321.0</v>
      </c>
      <c r="Q950" s="1" t="s">
        <v>52</v>
      </c>
      <c r="R950" s="1" t="s">
        <v>53</v>
      </c>
      <c r="S950" s="6">
        <v>2015.0</v>
      </c>
      <c r="T950" s="6">
        <v>11.0</v>
      </c>
      <c r="U950" s="1" t="s">
        <v>148</v>
      </c>
      <c r="V950" s="1" t="s">
        <v>149</v>
      </c>
      <c r="W950" s="6">
        <v>13.0</v>
      </c>
      <c r="X950" s="1" t="s">
        <v>263</v>
      </c>
      <c r="Y950" s="1" t="s">
        <v>264</v>
      </c>
      <c r="Z950" s="6">
        <v>1.71</v>
      </c>
      <c r="AA950" s="6">
        <v>126393.0</v>
      </c>
      <c r="AB950" s="10">
        <v>0.09</v>
      </c>
      <c r="AC950" s="1" t="s">
        <v>9493</v>
      </c>
      <c r="AD950" s="1" t="s">
        <v>9494</v>
      </c>
      <c r="AE950" s="1" t="s">
        <v>343</v>
      </c>
      <c r="AF950" s="1" t="s">
        <v>9495</v>
      </c>
      <c r="AG950" s="1" t="s">
        <v>343</v>
      </c>
      <c r="AH950" s="1" t="s">
        <v>330</v>
      </c>
      <c r="AI950" s="6">
        <v>21274.0</v>
      </c>
      <c r="AJ950" s="1" t="s">
        <v>106</v>
      </c>
      <c r="AK950" s="1" t="s">
        <v>9496</v>
      </c>
      <c r="AL950" s="1" t="s">
        <v>9497</v>
      </c>
      <c r="AM950" s="11" t="str">
        <f>VLOOKUP(N950,Sheet3!$B$4:$C$10,2,1)</f>
        <v>21-30</v>
      </c>
      <c r="AN950" s="13" t="str">
        <f>VLOOKUP(Z950,Sheet3!$F$4:$G$10,2,1)</f>
        <v>&lt; 5</v>
      </c>
      <c r="AO950" s="5" t="str">
        <f>VLOOKUP(AA950,Sheet3!$I$3:$J$16,2,1)</f>
        <v>120000-140000</v>
      </c>
      <c r="AP950" s="5" t="str">
        <f>VLOOKUP(AB950,Sheet3!$L$4:$M$14,2,1)</f>
        <v>5% - 10%</v>
      </c>
    </row>
    <row r="951">
      <c r="A951" s="6">
        <v>812026.0</v>
      </c>
      <c r="B951" s="1" t="s">
        <v>66</v>
      </c>
      <c r="C951" s="1" t="s">
        <v>9498</v>
      </c>
      <c r="D951" s="1" t="s">
        <v>683</v>
      </c>
      <c r="E951" s="1" t="s">
        <v>2247</v>
      </c>
      <c r="F951" s="1" t="s">
        <v>70</v>
      </c>
      <c r="G951" s="1" t="s">
        <v>9499</v>
      </c>
      <c r="H951" s="1" t="s">
        <v>8579</v>
      </c>
      <c r="I951" s="1" t="s">
        <v>9500</v>
      </c>
      <c r="J951" s="1" t="s">
        <v>9501</v>
      </c>
      <c r="K951" s="1" t="s">
        <v>408</v>
      </c>
      <c r="L951" s="9">
        <v>26745.0</v>
      </c>
      <c r="M951" s="8">
        <v>0.5672222222222222</v>
      </c>
      <c r="N951" s="6">
        <v>44.38</v>
      </c>
      <c r="O951" s="6">
        <v>62.0</v>
      </c>
      <c r="P951" s="14">
        <v>39448.0</v>
      </c>
      <c r="Q951" s="1" t="s">
        <v>96</v>
      </c>
      <c r="R951" s="1" t="s">
        <v>76</v>
      </c>
      <c r="S951" s="6">
        <v>2008.0</v>
      </c>
      <c r="T951" s="6">
        <v>1.0</v>
      </c>
      <c r="U951" s="1" t="s">
        <v>276</v>
      </c>
      <c r="V951" s="1" t="s">
        <v>277</v>
      </c>
      <c r="W951" s="6">
        <v>1.0</v>
      </c>
      <c r="X951" s="1" t="s">
        <v>79</v>
      </c>
      <c r="Y951" s="1" t="s">
        <v>80</v>
      </c>
      <c r="Z951" s="6">
        <v>9.58</v>
      </c>
      <c r="AA951" s="6">
        <v>112059.0</v>
      </c>
      <c r="AB951" s="10">
        <v>0.21</v>
      </c>
      <c r="AC951" s="1" t="s">
        <v>9502</v>
      </c>
      <c r="AD951" s="1" t="s">
        <v>9503</v>
      </c>
      <c r="AE951" s="1" t="s">
        <v>2963</v>
      </c>
      <c r="AF951" s="1" t="s">
        <v>9504</v>
      </c>
      <c r="AG951" s="1" t="s">
        <v>2963</v>
      </c>
      <c r="AH951" s="1" t="s">
        <v>1505</v>
      </c>
      <c r="AI951" s="6">
        <v>56208.0</v>
      </c>
      <c r="AJ951" s="1" t="s">
        <v>86</v>
      </c>
      <c r="AK951" s="1" t="s">
        <v>9505</v>
      </c>
      <c r="AL951" s="1" t="s">
        <v>9506</v>
      </c>
      <c r="AM951" s="11" t="str">
        <f>VLOOKUP(N951,Sheet3!$B$4:$C$10,2,1)</f>
        <v>41-50</v>
      </c>
      <c r="AN951" s="12" t="str">
        <f>VLOOKUP(Z951,Sheet3!$F$4:$G$10,2,1)</f>
        <v>5-10</v>
      </c>
      <c r="AO951" s="5" t="str">
        <f>VLOOKUP(AA951,Sheet3!$I$3:$J$16,2,1)</f>
        <v>100000-120000</v>
      </c>
      <c r="AP951" s="5" t="str">
        <f>VLOOKUP(AB951,Sheet3!$L$4:$M$14,2,1)</f>
        <v>21% - 25%</v>
      </c>
    </row>
    <row r="952">
      <c r="A952" s="6">
        <v>957459.0</v>
      </c>
      <c r="B952" s="1" t="s">
        <v>89</v>
      </c>
      <c r="C952" s="1" t="s">
        <v>9507</v>
      </c>
      <c r="D952" s="1" t="s">
        <v>173</v>
      </c>
      <c r="E952" s="1" t="s">
        <v>2343</v>
      </c>
      <c r="F952" s="1" t="s">
        <v>46</v>
      </c>
      <c r="G952" s="1" t="s">
        <v>9508</v>
      </c>
      <c r="H952" s="1" t="s">
        <v>8579</v>
      </c>
      <c r="I952" s="1" t="s">
        <v>9509</v>
      </c>
      <c r="J952" s="1" t="s">
        <v>9510</v>
      </c>
      <c r="K952" s="1" t="s">
        <v>3339</v>
      </c>
      <c r="L952" s="14">
        <v>22590.0</v>
      </c>
      <c r="M952" s="8">
        <v>0.2962152777777778</v>
      </c>
      <c r="N952" s="6">
        <v>55.76</v>
      </c>
      <c r="O952" s="6">
        <v>48.0</v>
      </c>
      <c r="P952" s="9">
        <v>33145.0</v>
      </c>
      <c r="Q952" s="1" t="s">
        <v>308</v>
      </c>
      <c r="R952" s="1" t="s">
        <v>53</v>
      </c>
      <c r="S952" s="6">
        <v>1990.0</v>
      </c>
      <c r="T952" s="6">
        <v>9.0</v>
      </c>
      <c r="U952" s="1" t="s">
        <v>309</v>
      </c>
      <c r="V952" s="1" t="s">
        <v>310</v>
      </c>
      <c r="W952" s="6">
        <v>29.0</v>
      </c>
      <c r="X952" s="1" t="s">
        <v>56</v>
      </c>
      <c r="Y952" s="1" t="s">
        <v>57</v>
      </c>
      <c r="Z952" s="6">
        <v>26.85</v>
      </c>
      <c r="AA952" s="6">
        <v>170909.0</v>
      </c>
      <c r="AB952" s="10">
        <v>0.0</v>
      </c>
      <c r="AC952" s="1" t="s">
        <v>9511</v>
      </c>
      <c r="AD952" s="1" t="s">
        <v>9512</v>
      </c>
      <c r="AE952" s="1" t="s">
        <v>8152</v>
      </c>
      <c r="AF952" s="1" t="s">
        <v>9513</v>
      </c>
      <c r="AG952" s="1" t="s">
        <v>8152</v>
      </c>
      <c r="AH952" s="1" t="s">
        <v>399</v>
      </c>
      <c r="AI952" s="6">
        <v>70743.0</v>
      </c>
      <c r="AJ952" s="1" t="s">
        <v>106</v>
      </c>
      <c r="AK952" s="1" t="s">
        <v>9514</v>
      </c>
      <c r="AL952" s="1" t="s">
        <v>9515</v>
      </c>
      <c r="AM952" s="11" t="str">
        <f>VLOOKUP(N952,Sheet3!$B$4:$C$10,2,1)</f>
        <v>51-60</v>
      </c>
      <c r="AN952" s="13" t="str">
        <f>VLOOKUP(Z952,Sheet3!$F$4:$G$10,2,1)</f>
        <v>21-30</v>
      </c>
      <c r="AO952" s="5" t="str">
        <f>VLOOKUP(AA952,Sheet3!$I$3:$J$16,2,1)</f>
        <v>160000-180000</v>
      </c>
      <c r="AP952" s="5" t="str">
        <f>VLOOKUP(AB952,Sheet3!$L$4:$M$14,2,1)</f>
        <v>&lt; 5%</v>
      </c>
    </row>
    <row r="953">
      <c r="A953" s="6">
        <v>118109.0</v>
      </c>
      <c r="B953" s="1" t="s">
        <v>125</v>
      </c>
      <c r="C953" s="1" t="s">
        <v>1311</v>
      </c>
      <c r="D953" s="1" t="s">
        <v>242</v>
      </c>
      <c r="E953" s="1" t="s">
        <v>783</v>
      </c>
      <c r="F953" s="1" t="s">
        <v>46</v>
      </c>
      <c r="G953" s="1" t="s">
        <v>9516</v>
      </c>
      <c r="H953" s="1" t="s">
        <v>8579</v>
      </c>
      <c r="I953" s="1" t="s">
        <v>9517</v>
      </c>
      <c r="J953" s="1" t="s">
        <v>9518</v>
      </c>
      <c r="K953" s="1" t="s">
        <v>9519</v>
      </c>
      <c r="L953" s="14">
        <v>21553.0</v>
      </c>
      <c r="M953" s="8">
        <v>0.39314814814814814</v>
      </c>
      <c r="N953" s="6">
        <v>58.61</v>
      </c>
      <c r="O953" s="6">
        <v>48.0</v>
      </c>
      <c r="P953" s="14">
        <v>36807.0</v>
      </c>
      <c r="Q953" s="1" t="s">
        <v>52</v>
      </c>
      <c r="R953" s="1" t="s">
        <v>53</v>
      </c>
      <c r="S953" s="6">
        <v>2000.0</v>
      </c>
      <c r="T953" s="6">
        <v>10.0</v>
      </c>
      <c r="U953" s="1" t="s">
        <v>133</v>
      </c>
      <c r="V953" s="1" t="s">
        <v>134</v>
      </c>
      <c r="W953" s="6">
        <v>8.0</v>
      </c>
      <c r="X953" s="1" t="s">
        <v>534</v>
      </c>
      <c r="Y953" s="1" t="s">
        <v>535</v>
      </c>
      <c r="Z953" s="6">
        <v>16.81</v>
      </c>
      <c r="AA953" s="6">
        <v>176813.0</v>
      </c>
      <c r="AB953" s="10">
        <v>0.02</v>
      </c>
      <c r="AC953" s="1" t="s">
        <v>9520</v>
      </c>
      <c r="AD953" s="1" t="s">
        <v>9521</v>
      </c>
      <c r="AE953" s="1" t="s">
        <v>1273</v>
      </c>
      <c r="AF953" s="1" t="s">
        <v>1799</v>
      </c>
      <c r="AG953" s="1" t="s">
        <v>1273</v>
      </c>
      <c r="AH953" s="1" t="s">
        <v>372</v>
      </c>
      <c r="AI953" s="6">
        <v>68878.0</v>
      </c>
      <c r="AJ953" s="1" t="s">
        <v>86</v>
      </c>
      <c r="AK953" s="1" t="s">
        <v>9522</v>
      </c>
      <c r="AL953" s="1" t="s">
        <v>9523</v>
      </c>
      <c r="AM953" s="11" t="str">
        <f>VLOOKUP(N953,Sheet3!$B$4:$C$10,2,1)</f>
        <v>51-60</v>
      </c>
      <c r="AN953" s="12" t="str">
        <f>VLOOKUP(Z953,Sheet3!$F$4:$G$10,2,1)</f>
        <v>11-20</v>
      </c>
      <c r="AO953" s="5" t="str">
        <f>VLOOKUP(AA953,Sheet3!$I$3:$J$16,2,1)</f>
        <v>160000-180000</v>
      </c>
      <c r="AP953" s="5" t="str">
        <f>VLOOKUP(AB953,Sheet3!$L$4:$M$14,2,1)</f>
        <v>&lt; 5%</v>
      </c>
    </row>
    <row r="954">
      <c r="A954" s="6">
        <v>900863.0</v>
      </c>
      <c r="B954" s="1" t="s">
        <v>109</v>
      </c>
      <c r="C954" s="1" t="s">
        <v>9099</v>
      </c>
      <c r="D954" s="1" t="s">
        <v>683</v>
      </c>
      <c r="E954" s="1" t="s">
        <v>1074</v>
      </c>
      <c r="F954" s="1" t="s">
        <v>46</v>
      </c>
      <c r="G954" s="1" t="s">
        <v>9524</v>
      </c>
      <c r="H954" s="1" t="s">
        <v>8579</v>
      </c>
      <c r="I954" s="1" t="s">
        <v>9525</v>
      </c>
      <c r="J954" s="1" t="s">
        <v>9526</v>
      </c>
      <c r="K954" s="1" t="s">
        <v>187</v>
      </c>
      <c r="L954" s="14">
        <v>33367.0</v>
      </c>
      <c r="M954" s="8">
        <v>0.19034722222222222</v>
      </c>
      <c r="N954" s="6">
        <v>26.24</v>
      </c>
      <c r="O954" s="6">
        <v>57.0</v>
      </c>
      <c r="P954" s="14">
        <v>41553.0</v>
      </c>
      <c r="Q954" s="1" t="s">
        <v>52</v>
      </c>
      <c r="R954" s="1" t="s">
        <v>53</v>
      </c>
      <c r="S954" s="6">
        <v>2013.0</v>
      </c>
      <c r="T954" s="6">
        <v>10.0</v>
      </c>
      <c r="U954" s="1" t="s">
        <v>133</v>
      </c>
      <c r="V954" s="1" t="s">
        <v>134</v>
      </c>
      <c r="W954" s="6">
        <v>6.0</v>
      </c>
      <c r="X954" s="1" t="s">
        <v>534</v>
      </c>
      <c r="Y954" s="1" t="s">
        <v>535</v>
      </c>
      <c r="Z954" s="6">
        <v>3.81</v>
      </c>
      <c r="AA954" s="6">
        <v>41746.0</v>
      </c>
      <c r="AB954" s="10">
        <v>0.14</v>
      </c>
      <c r="AC954" s="1" t="s">
        <v>9527</v>
      </c>
      <c r="AD954" s="1" t="s">
        <v>9528</v>
      </c>
      <c r="AE954" s="1" t="s">
        <v>6213</v>
      </c>
      <c r="AF954" s="1" t="s">
        <v>221</v>
      </c>
      <c r="AG954" s="1" t="s">
        <v>6213</v>
      </c>
      <c r="AH954" s="1" t="s">
        <v>156</v>
      </c>
      <c r="AI954" s="6">
        <v>24023.0</v>
      </c>
      <c r="AJ954" s="1" t="s">
        <v>106</v>
      </c>
      <c r="AK954" s="1" t="s">
        <v>9529</v>
      </c>
      <c r="AL954" s="1" t="s">
        <v>9530</v>
      </c>
      <c r="AM954" s="11" t="str">
        <f>VLOOKUP(N954,Sheet3!$B$4:$C$10,2,1)</f>
        <v>21-30</v>
      </c>
      <c r="AN954" s="13" t="str">
        <f>VLOOKUP(Z954,Sheet3!$F$4:$G$10,2,1)</f>
        <v>&lt; 5</v>
      </c>
      <c r="AO954" s="5" t="str">
        <f>VLOOKUP(AA954,Sheet3!$I$3:$J$16,2,1)</f>
        <v>40000-60000</v>
      </c>
      <c r="AP954" s="5" t="str">
        <f>VLOOKUP(AB954,Sheet3!$L$4:$M$14,2,1)</f>
        <v>11% - 15%</v>
      </c>
    </row>
    <row r="955">
      <c r="A955" s="6">
        <v>147382.0</v>
      </c>
      <c r="B955" s="1" t="s">
        <v>66</v>
      </c>
      <c r="C955" s="1" t="s">
        <v>7313</v>
      </c>
      <c r="D955" s="1" t="s">
        <v>288</v>
      </c>
      <c r="E955" s="1" t="s">
        <v>9531</v>
      </c>
      <c r="F955" s="1" t="s">
        <v>70</v>
      </c>
      <c r="G955" s="1" t="s">
        <v>9532</v>
      </c>
      <c r="H955" s="1" t="s">
        <v>8579</v>
      </c>
      <c r="I955" s="1" t="s">
        <v>9533</v>
      </c>
      <c r="J955" s="1" t="s">
        <v>9534</v>
      </c>
      <c r="K955" s="1" t="s">
        <v>910</v>
      </c>
      <c r="L955" s="14">
        <v>23960.0</v>
      </c>
      <c r="M955" s="8">
        <v>0.7863773148148148</v>
      </c>
      <c r="N955" s="6">
        <v>52.01</v>
      </c>
      <c r="O955" s="6">
        <v>84.0</v>
      </c>
      <c r="P955" s="9">
        <v>36001.0</v>
      </c>
      <c r="Q955" s="1" t="s">
        <v>308</v>
      </c>
      <c r="R955" s="1" t="s">
        <v>53</v>
      </c>
      <c r="S955" s="6">
        <v>1998.0</v>
      </c>
      <c r="T955" s="6">
        <v>7.0</v>
      </c>
      <c r="U955" s="1" t="s">
        <v>366</v>
      </c>
      <c r="V955" s="1" t="s">
        <v>367</v>
      </c>
      <c r="W955" s="6">
        <v>25.0</v>
      </c>
      <c r="X955" s="1" t="s">
        <v>56</v>
      </c>
      <c r="Y955" s="1" t="s">
        <v>57</v>
      </c>
      <c r="Z955" s="6">
        <v>19.02</v>
      </c>
      <c r="AA955" s="6">
        <v>149006.0</v>
      </c>
      <c r="AB955" s="10">
        <v>0.12</v>
      </c>
      <c r="AC955" s="1" t="s">
        <v>9535</v>
      </c>
      <c r="AD955" s="1" t="s">
        <v>9536</v>
      </c>
      <c r="AE955" s="1" t="s">
        <v>4037</v>
      </c>
      <c r="AF955" s="1" t="s">
        <v>1495</v>
      </c>
      <c r="AG955" s="1" t="s">
        <v>4037</v>
      </c>
      <c r="AH955" s="1" t="s">
        <v>525</v>
      </c>
      <c r="AI955" s="6">
        <v>72613.0</v>
      </c>
      <c r="AJ955" s="1" t="s">
        <v>106</v>
      </c>
      <c r="AK955" s="1" t="s">
        <v>9537</v>
      </c>
      <c r="AL955" s="1" t="s">
        <v>9538</v>
      </c>
      <c r="AM955" s="11" t="str">
        <f>VLOOKUP(N955,Sheet3!$B$4:$C$10,2,1)</f>
        <v>51-60</v>
      </c>
      <c r="AN955" s="12" t="str">
        <f>VLOOKUP(Z955,Sheet3!$F$4:$G$10,2,1)</f>
        <v>11-20</v>
      </c>
      <c r="AO955" s="5" t="str">
        <f>VLOOKUP(AA955,Sheet3!$I$3:$J$16,2,1)</f>
        <v>140000-160000</v>
      </c>
      <c r="AP955" s="5" t="str">
        <f>VLOOKUP(AB955,Sheet3!$L$4:$M$14,2,1)</f>
        <v>11% - 15%</v>
      </c>
    </row>
    <row r="956">
      <c r="A956" s="6">
        <v>456816.0</v>
      </c>
      <c r="B956" s="1" t="s">
        <v>42</v>
      </c>
      <c r="C956" s="1" t="s">
        <v>9539</v>
      </c>
      <c r="D956" s="1" t="s">
        <v>403</v>
      </c>
      <c r="E956" s="1" t="s">
        <v>491</v>
      </c>
      <c r="F956" s="1" t="s">
        <v>46</v>
      </c>
      <c r="G956" s="1" t="s">
        <v>9540</v>
      </c>
      <c r="H956" s="1" t="s">
        <v>8579</v>
      </c>
      <c r="I956" s="1" t="s">
        <v>9541</v>
      </c>
      <c r="J956" s="1" t="s">
        <v>9542</v>
      </c>
      <c r="K956" s="1" t="s">
        <v>5552</v>
      </c>
      <c r="L956" s="9">
        <v>29462.0</v>
      </c>
      <c r="M956" s="8">
        <v>0.28291666666666665</v>
      </c>
      <c r="N956" s="6">
        <v>36.94</v>
      </c>
      <c r="O956" s="6">
        <v>49.0</v>
      </c>
      <c r="P956" s="9">
        <v>40995.0</v>
      </c>
      <c r="Q956" s="1" t="s">
        <v>96</v>
      </c>
      <c r="R956" s="1" t="s">
        <v>76</v>
      </c>
      <c r="S956" s="6">
        <v>2012.0</v>
      </c>
      <c r="T956" s="6">
        <v>3.0</v>
      </c>
      <c r="U956" s="1" t="s">
        <v>97</v>
      </c>
      <c r="V956" s="1" t="s">
        <v>98</v>
      </c>
      <c r="W956" s="6">
        <v>27.0</v>
      </c>
      <c r="X956" s="1" t="s">
        <v>79</v>
      </c>
      <c r="Y956" s="1" t="s">
        <v>80</v>
      </c>
      <c r="Z956" s="6">
        <v>5.34</v>
      </c>
      <c r="AA956" s="6">
        <v>111047.0</v>
      </c>
      <c r="AB956" s="10">
        <v>0.17</v>
      </c>
      <c r="AC956" s="1" t="s">
        <v>9543</v>
      </c>
      <c r="AD956" s="1" t="s">
        <v>9544</v>
      </c>
      <c r="AE956" s="1" t="s">
        <v>8098</v>
      </c>
      <c r="AF956" s="1" t="s">
        <v>2471</v>
      </c>
      <c r="AG956" s="1" t="s">
        <v>8098</v>
      </c>
      <c r="AH956" s="1" t="s">
        <v>439</v>
      </c>
      <c r="AI956" s="6">
        <v>4068.0</v>
      </c>
      <c r="AJ956" s="1" t="s">
        <v>224</v>
      </c>
      <c r="AK956" s="1" t="s">
        <v>9545</v>
      </c>
      <c r="AL956" s="1" t="s">
        <v>9546</v>
      </c>
      <c r="AM956" s="11" t="str">
        <f>VLOOKUP(N956,Sheet3!$B$4:$C$10,2,1)</f>
        <v>31-40</v>
      </c>
      <c r="AN956" s="12" t="str">
        <f>VLOOKUP(Z956,Sheet3!$F$4:$G$10,2,1)</f>
        <v>5-10</v>
      </c>
      <c r="AO956" s="5" t="str">
        <f>VLOOKUP(AA956,Sheet3!$I$3:$J$16,2,1)</f>
        <v>100000-120000</v>
      </c>
      <c r="AP956" s="5" t="str">
        <f>VLOOKUP(AB956,Sheet3!$L$4:$M$14,2,1)</f>
        <v>16% - 20%</v>
      </c>
    </row>
    <row r="957">
      <c r="A957" s="6">
        <v>437096.0</v>
      </c>
      <c r="B957" s="1" t="s">
        <v>42</v>
      </c>
      <c r="C957" s="1" t="s">
        <v>9547</v>
      </c>
      <c r="D957" s="1" t="s">
        <v>242</v>
      </c>
      <c r="E957" s="1" t="s">
        <v>631</v>
      </c>
      <c r="F957" s="1" t="s">
        <v>46</v>
      </c>
      <c r="G957" s="1" t="s">
        <v>9548</v>
      </c>
      <c r="H957" s="1" t="s">
        <v>8579</v>
      </c>
      <c r="I957" s="1" t="s">
        <v>9549</v>
      </c>
      <c r="J957" s="1" t="s">
        <v>9550</v>
      </c>
      <c r="K957" s="1" t="s">
        <v>1018</v>
      </c>
      <c r="L957" s="9">
        <v>29141.0</v>
      </c>
      <c r="M957" s="8">
        <v>0.9112152777777778</v>
      </c>
      <c r="N957" s="6">
        <v>37.82</v>
      </c>
      <c r="O957" s="6">
        <v>50.0</v>
      </c>
      <c r="P957" s="9">
        <v>42460.0</v>
      </c>
      <c r="Q957" s="1" t="s">
        <v>96</v>
      </c>
      <c r="R957" s="1" t="s">
        <v>76</v>
      </c>
      <c r="S957" s="6">
        <v>2016.0</v>
      </c>
      <c r="T957" s="6">
        <v>3.0</v>
      </c>
      <c r="U957" s="1" t="s">
        <v>97</v>
      </c>
      <c r="V957" s="1" t="s">
        <v>98</v>
      </c>
      <c r="W957" s="6">
        <v>31.0</v>
      </c>
      <c r="X957" s="1" t="s">
        <v>150</v>
      </c>
      <c r="Y957" s="1" t="s">
        <v>151</v>
      </c>
      <c r="Z957" s="6">
        <v>1.33</v>
      </c>
      <c r="AA957" s="6">
        <v>83468.0</v>
      </c>
      <c r="AB957" s="10">
        <v>0.17</v>
      </c>
      <c r="AC957" s="1" t="s">
        <v>9551</v>
      </c>
      <c r="AD957" s="1" t="s">
        <v>9552</v>
      </c>
      <c r="AE957" s="1" t="s">
        <v>3697</v>
      </c>
      <c r="AF957" s="1" t="s">
        <v>3697</v>
      </c>
      <c r="AG957" s="1" t="s">
        <v>3697</v>
      </c>
      <c r="AH957" s="1" t="s">
        <v>169</v>
      </c>
      <c r="AI957" s="6">
        <v>75264.0</v>
      </c>
      <c r="AJ957" s="1" t="s">
        <v>106</v>
      </c>
      <c r="AK957" s="1" t="s">
        <v>9553</v>
      </c>
      <c r="AL957" s="1" t="s">
        <v>9554</v>
      </c>
      <c r="AM957" s="11" t="str">
        <f>VLOOKUP(N957,Sheet3!$B$4:$C$10,2,1)</f>
        <v>31-40</v>
      </c>
      <c r="AN957" s="13" t="str">
        <f>VLOOKUP(Z957,Sheet3!$F$4:$G$10,2,1)</f>
        <v>&lt; 5</v>
      </c>
      <c r="AO957" s="5" t="str">
        <f>VLOOKUP(AA957,Sheet3!$I$3:$J$16,2,1)</f>
        <v>80000-100000</v>
      </c>
      <c r="AP957" s="5" t="str">
        <f>VLOOKUP(AB957,Sheet3!$L$4:$M$14,2,1)</f>
        <v>16% - 20%</v>
      </c>
    </row>
    <row r="958">
      <c r="A958" s="6">
        <v>159397.0</v>
      </c>
      <c r="B958" s="1" t="s">
        <v>66</v>
      </c>
      <c r="C958" s="1" t="s">
        <v>8301</v>
      </c>
      <c r="D958" s="1" t="s">
        <v>334</v>
      </c>
      <c r="E958" s="1" t="s">
        <v>112</v>
      </c>
      <c r="F958" s="1" t="s">
        <v>70</v>
      </c>
      <c r="G958" s="1" t="s">
        <v>9555</v>
      </c>
      <c r="H958" s="1" t="s">
        <v>8579</v>
      </c>
      <c r="I958" s="1" t="s">
        <v>9556</v>
      </c>
      <c r="J958" s="1" t="s">
        <v>9557</v>
      </c>
      <c r="K958" s="1" t="s">
        <v>63</v>
      </c>
      <c r="L958" s="9">
        <v>26158.0</v>
      </c>
      <c r="M958" s="8">
        <v>0.8795601851851852</v>
      </c>
      <c r="N958" s="6">
        <v>45.99</v>
      </c>
      <c r="O958" s="6">
        <v>75.0</v>
      </c>
      <c r="P958" s="14">
        <v>38356.0</v>
      </c>
      <c r="Q958" s="1" t="s">
        <v>96</v>
      </c>
      <c r="R958" s="1" t="s">
        <v>76</v>
      </c>
      <c r="S958" s="6">
        <v>2005.0</v>
      </c>
      <c r="T958" s="6">
        <v>1.0</v>
      </c>
      <c r="U958" s="1" t="s">
        <v>276</v>
      </c>
      <c r="V958" s="1" t="s">
        <v>277</v>
      </c>
      <c r="W958" s="6">
        <v>4.0</v>
      </c>
      <c r="X958" s="1" t="s">
        <v>79</v>
      </c>
      <c r="Y958" s="1" t="s">
        <v>80</v>
      </c>
      <c r="Z958" s="6">
        <v>12.57</v>
      </c>
      <c r="AA958" s="6">
        <v>60567.0</v>
      </c>
      <c r="AB958" s="10">
        <v>0.26</v>
      </c>
      <c r="AC958" s="1" t="s">
        <v>9558</v>
      </c>
      <c r="AD958" s="1" t="s">
        <v>9559</v>
      </c>
      <c r="AE958" s="1" t="s">
        <v>9560</v>
      </c>
      <c r="AF958" s="1" t="s">
        <v>9561</v>
      </c>
      <c r="AG958" s="1" t="s">
        <v>9560</v>
      </c>
      <c r="AH958" s="1" t="s">
        <v>475</v>
      </c>
      <c r="AI958" s="6">
        <v>59101.0</v>
      </c>
      <c r="AJ958" s="1" t="s">
        <v>63</v>
      </c>
      <c r="AK958" s="1" t="s">
        <v>9562</v>
      </c>
      <c r="AL958" s="1" t="s">
        <v>9563</v>
      </c>
      <c r="AM958" s="11" t="str">
        <f>VLOOKUP(N958,Sheet3!$B$4:$C$10,2,1)</f>
        <v>41-50</v>
      </c>
      <c r="AN958" s="12" t="str">
        <f>VLOOKUP(Z958,Sheet3!$F$4:$G$10,2,1)</f>
        <v>11-20</v>
      </c>
      <c r="AO958" s="5" t="str">
        <f>VLOOKUP(AA958,Sheet3!$I$3:$J$16,2,1)</f>
        <v>60000-80000</v>
      </c>
      <c r="AP958" s="5" t="str">
        <f>VLOOKUP(AB958,Sheet3!$L$4:$M$14,2,1)</f>
        <v>26% - 30%</v>
      </c>
    </row>
    <row r="959">
      <c r="A959" s="6">
        <v>169739.0</v>
      </c>
      <c r="B959" s="1" t="s">
        <v>42</v>
      </c>
      <c r="C959" s="1" t="s">
        <v>9564</v>
      </c>
      <c r="D959" s="1" t="s">
        <v>186</v>
      </c>
      <c r="E959" s="1" t="s">
        <v>5874</v>
      </c>
      <c r="F959" s="1" t="s">
        <v>46</v>
      </c>
      <c r="G959" s="1" t="s">
        <v>9565</v>
      </c>
      <c r="H959" s="1" t="s">
        <v>8579</v>
      </c>
      <c r="I959" s="1" t="s">
        <v>9566</v>
      </c>
      <c r="J959" s="1" t="s">
        <v>9567</v>
      </c>
      <c r="K959" s="1" t="s">
        <v>339</v>
      </c>
      <c r="L959" s="14">
        <v>34062.0</v>
      </c>
      <c r="M959" s="8">
        <v>0.9054513888888889</v>
      </c>
      <c r="N959" s="6">
        <v>24.33</v>
      </c>
      <c r="O959" s="6">
        <v>49.0</v>
      </c>
      <c r="P959" s="14">
        <v>42467.0</v>
      </c>
      <c r="Q959" s="1" t="s">
        <v>75</v>
      </c>
      <c r="R959" s="1" t="s">
        <v>76</v>
      </c>
      <c r="S959" s="6">
        <v>2016.0</v>
      </c>
      <c r="T959" s="6">
        <v>4.0</v>
      </c>
      <c r="U959" s="1" t="s">
        <v>77</v>
      </c>
      <c r="V959" s="1" t="s">
        <v>78</v>
      </c>
      <c r="W959" s="6">
        <v>7.0</v>
      </c>
      <c r="X959" s="1" t="s">
        <v>150</v>
      </c>
      <c r="Y959" s="1" t="s">
        <v>151</v>
      </c>
      <c r="Z959" s="6">
        <v>1.31</v>
      </c>
      <c r="AA959" s="6">
        <v>116175.0</v>
      </c>
      <c r="AB959" s="10">
        <v>0.02</v>
      </c>
      <c r="AC959" s="1" t="s">
        <v>9568</v>
      </c>
      <c r="AD959" s="1" t="s">
        <v>9569</v>
      </c>
      <c r="AE959" s="1" t="s">
        <v>9570</v>
      </c>
      <c r="AF959" s="1" t="s">
        <v>69</v>
      </c>
      <c r="AG959" s="1" t="s">
        <v>9570</v>
      </c>
      <c r="AH959" s="1" t="s">
        <v>893</v>
      </c>
      <c r="AI959" s="6">
        <v>28680.0</v>
      </c>
      <c r="AJ959" s="1" t="s">
        <v>106</v>
      </c>
      <c r="AK959" s="1" t="s">
        <v>9571</v>
      </c>
      <c r="AL959" s="1" t="s">
        <v>9572</v>
      </c>
      <c r="AM959" s="11" t="str">
        <f>VLOOKUP(N959,Sheet3!$B$4:$C$10,2,1)</f>
        <v>21-30</v>
      </c>
      <c r="AN959" s="13" t="str">
        <f>VLOOKUP(Z959,Sheet3!$F$4:$G$10,2,1)</f>
        <v>&lt; 5</v>
      </c>
      <c r="AO959" s="5" t="str">
        <f>VLOOKUP(AA959,Sheet3!$I$3:$J$16,2,1)</f>
        <v>100000-120000</v>
      </c>
      <c r="AP959" s="5" t="str">
        <f>VLOOKUP(AB959,Sheet3!$L$4:$M$14,2,1)</f>
        <v>&lt; 5%</v>
      </c>
    </row>
    <row r="960">
      <c r="A960" s="6">
        <v>995863.0</v>
      </c>
      <c r="B960" s="1" t="s">
        <v>66</v>
      </c>
      <c r="C960" s="1" t="s">
        <v>9573</v>
      </c>
      <c r="D960" s="1" t="s">
        <v>389</v>
      </c>
      <c r="E960" s="1" t="s">
        <v>2550</v>
      </c>
      <c r="F960" s="1" t="s">
        <v>70</v>
      </c>
      <c r="G960" s="1" t="s">
        <v>9574</v>
      </c>
      <c r="H960" s="1" t="s">
        <v>8579</v>
      </c>
      <c r="I960" s="1" t="s">
        <v>9575</v>
      </c>
      <c r="J960" s="1" t="s">
        <v>9576</v>
      </c>
      <c r="K960" s="1" t="s">
        <v>517</v>
      </c>
      <c r="L960" s="9">
        <v>26408.0</v>
      </c>
      <c r="M960" s="8">
        <v>0.39760416666666665</v>
      </c>
      <c r="N960" s="6">
        <v>45.3</v>
      </c>
      <c r="O960" s="6">
        <v>58.0</v>
      </c>
      <c r="P960" s="14">
        <v>38147.0</v>
      </c>
      <c r="Q960" s="1" t="s">
        <v>75</v>
      </c>
      <c r="R960" s="1" t="s">
        <v>76</v>
      </c>
      <c r="S960" s="6">
        <v>2004.0</v>
      </c>
      <c r="T960" s="6">
        <v>6.0</v>
      </c>
      <c r="U960" s="1" t="s">
        <v>324</v>
      </c>
      <c r="V960" s="1" t="s">
        <v>325</v>
      </c>
      <c r="W960" s="6">
        <v>9.0</v>
      </c>
      <c r="X960" s="1" t="s">
        <v>278</v>
      </c>
      <c r="Y960" s="1" t="s">
        <v>279</v>
      </c>
      <c r="Z960" s="6">
        <v>13.14</v>
      </c>
      <c r="AA960" s="6">
        <v>178642.0</v>
      </c>
      <c r="AB960" s="10">
        <v>0.11</v>
      </c>
      <c r="AC960" s="1" t="s">
        <v>9577</v>
      </c>
      <c r="AD960" s="1" t="s">
        <v>9578</v>
      </c>
      <c r="AE960" s="1" t="s">
        <v>9579</v>
      </c>
      <c r="AF960" s="1" t="s">
        <v>3668</v>
      </c>
      <c r="AG960" s="1" t="s">
        <v>9579</v>
      </c>
      <c r="AH960" s="1" t="s">
        <v>356</v>
      </c>
      <c r="AI960" s="6">
        <v>11941.0</v>
      </c>
      <c r="AJ960" s="1" t="s">
        <v>224</v>
      </c>
      <c r="AK960" s="1" t="s">
        <v>9580</v>
      </c>
      <c r="AL960" s="1" t="s">
        <v>9581</v>
      </c>
      <c r="AM960" s="11" t="str">
        <f>VLOOKUP(N960,Sheet3!$B$4:$C$10,2,1)</f>
        <v>41-50</v>
      </c>
      <c r="AN960" s="12" t="str">
        <f>VLOOKUP(Z960,Sheet3!$F$4:$G$10,2,1)</f>
        <v>11-20</v>
      </c>
      <c r="AO960" s="5" t="str">
        <f>VLOOKUP(AA960,Sheet3!$I$3:$J$16,2,1)</f>
        <v>160000-180000</v>
      </c>
      <c r="AP960" s="5" t="str">
        <f>VLOOKUP(AB960,Sheet3!$L$4:$M$14,2,1)</f>
        <v>11% - 15%</v>
      </c>
    </row>
    <row r="961">
      <c r="A961" s="6">
        <v>779374.0</v>
      </c>
      <c r="B961" s="1" t="s">
        <v>227</v>
      </c>
      <c r="C961" s="1" t="s">
        <v>2486</v>
      </c>
      <c r="D961" s="1" t="s">
        <v>200</v>
      </c>
      <c r="E961" s="1" t="s">
        <v>2605</v>
      </c>
      <c r="F961" s="1" t="s">
        <v>70</v>
      </c>
      <c r="G961" s="1" t="s">
        <v>9582</v>
      </c>
      <c r="H961" s="1" t="s">
        <v>8579</v>
      </c>
      <c r="I961" s="1" t="s">
        <v>9583</v>
      </c>
      <c r="J961" s="1" t="s">
        <v>9584</v>
      </c>
      <c r="K961" s="1" t="s">
        <v>3121</v>
      </c>
      <c r="L961" s="14">
        <v>24358.0</v>
      </c>
      <c r="M961" s="8">
        <v>0.9940162037037037</v>
      </c>
      <c r="N961" s="6">
        <v>50.92</v>
      </c>
      <c r="O961" s="6">
        <v>66.0</v>
      </c>
      <c r="P961" s="14">
        <v>35156.0</v>
      </c>
      <c r="Q961" s="1" t="s">
        <v>75</v>
      </c>
      <c r="R961" s="1" t="s">
        <v>76</v>
      </c>
      <c r="S961" s="6">
        <v>1996.0</v>
      </c>
      <c r="T961" s="6">
        <v>4.0</v>
      </c>
      <c r="U961" s="1" t="s">
        <v>77</v>
      </c>
      <c r="V961" s="1" t="s">
        <v>78</v>
      </c>
      <c r="W961" s="6">
        <v>1.0</v>
      </c>
      <c r="X961" s="1" t="s">
        <v>99</v>
      </c>
      <c r="Y961" s="1" t="s">
        <v>100</v>
      </c>
      <c r="Z961" s="6">
        <v>21.34</v>
      </c>
      <c r="AA961" s="6">
        <v>173380.0</v>
      </c>
      <c r="AB961" s="10">
        <v>0.28</v>
      </c>
      <c r="AC961" s="1" t="s">
        <v>9585</v>
      </c>
      <c r="AD961" s="1" t="s">
        <v>9586</v>
      </c>
      <c r="AE961" s="1" t="s">
        <v>3054</v>
      </c>
      <c r="AF961" s="1" t="s">
        <v>1560</v>
      </c>
      <c r="AG961" s="1" t="s">
        <v>3054</v>
      </c>
      <c r="AH961" s="1" t="s">
        <v>210</v>
      </c>
      <c r="AI961" s="6">
        <v>61101.0</v>
      </c>
      <c r="AJ961" s="1" t="s">
        <v>86</v>
      </c>
      <c r="AK961" s="1" t="s">
        <v>9587</v>
      </c>
      <c r="AL961" s="1" t="s">
        <v>9588</v>
      </c>
      <c r="AM961" s="11" t="str">
        <f>VLOOKUP(N961,Sheet3!$B$4:$C$10,2,1)</f>
        <v>41-50</v>
      </c>
      <c r="AN961" s="13" t="str">
        <f>VLOOKUP(Z961,Sheet3!$F$4:$G$10,2,1)</f>
        <v>21-30</v>
      </c>
      <c r="AO961" s="5" t="str">
        <f>VLOOKUP(AA961,Sheet3!$I$3:$J$16,2,1)</f>
        <v>160000-180000</v>
      </c>
      <c r="AP961" s="5" t="str">
        <f>VLOOKUP(AB961,Sheet3!$L$4:$M$14,2,1)</f>
        <v>26% - 30%</v>
      </c>
    </row>
    <row r="962">
      <c r="A962" s="6">
        <v>587639.0</v>
      </c>
      <c r="B962" s="1" t="s">
        <v>42</v>
      </c>
      <c r="C962" s="1" t="s">
        <v>9589</v>
      </c>
      <c r="D962" s="1" t="s">
        <v>44</v>
      </c>
      <c r="E962" s="1" t="s">
        <v>1456</v>
      </c>
      <c r="F962" s="1" t="s">
        <v>46</v>
      </c>
      <c r="G962" s="1" t="s">
        <v>9590</v>
      </c>
      <c r="H962" s="1" t="s">
        <v>8579</v>
      </c>
      <c r="I962" s="1" t="s">
        <v>9591</v>
      </c>
      <c r="J962" s="1" t="s">
        <v>9592</v>
      </c>
      <c r="K962" s="1" t="s">
        <v>1214</v>
      </c>
      <c r="L962" s="14">
        <v>30840.0</v>
      </c>
      <c r="M962" s="8">
        <v>0.46555555555555556</v>
      </c>
      <c r="N962" s="6">
        <v>33.16</v>
      </c>
      <c r="O962" s="6">
        <v>60.0</v>
      </c>
      <c r="P962" s="9">
        <v>41752.0</v>
      </c>
      <c r="Q962" s="1" t="s">
        <v>75</v>
      </c>
      <c r="R962" s="1" t="s">
        <v>76</v>
      </c>
      <c r="S962" s="6">
        <v>2014.0</v>
      </c>
      <c r="T962" s="6">
        <v>4.0</v>
      </c>
      <c r="U962" s="1" t="s">
        <v>77</v>
      </c>
      <c r="V962" s="1" t="s">
        <v>78</v>
      </c>
      <c r="W962" s="6">
        <v>23.0</v>
      </c>
      <c r="X962" s="1" t="s">
        <v>278</v>
      </c>
      <c r="Y962" s="1" t="s">
        <v>279</v>
      </c>
      <c r="Z962" s="6">
        <v>3.27</v>
      </c>
      <c r="AA962" s="6">
        <v>72749.0</v>
      </c>
      <c r="AB962" s="10">
        <v>0.18</v>
      </c>
      <c r="AC962" s="1" t="s">
        <v>9593</v>
      </c>
      <c r="AD962" s="1" t="s">
        <v>9594</v>
      </c>
      <c r="AE962" s="1" t="s">
        <v>9595</v>
      </c>
      <c r="AF962" s="1" t="s">
        <v>9596</v>
      </c>
      <c r="AG962" s="1" t="s">
        <v>9595</v>
      </c>
      <c r="AH962" s="1" t="s">
        <v>399</v>
      </c>
      <c r="AI962" s="6">
        <v>70185.0</v>
      </c>
      <c r="AJ962" s="1" t="s">
        <v>106</v>
      </c>
      <c r="AK962" s="1" t="s">
        <v>9597</v>
      </c>
      <c r="AL962" s="1" t="s">
        <v>9598</v>
      </c>
      <c r="AM962" s="11" t="str">
        <f>VLOOKUP(N962,Sheet3!$B$4:$C$10,2,1)</f>
        <v>31-40</v>
      </c>
      <c r="AN962" s="13" t="str">
        <f>VLOOKUP(Z962,Sheet3!$F$4:$G$10,2,1)</f>
        <v>&lt; 5</v>
      </c>
      <c r="AO962" s="5" t="str">
        <f>VLOOKUP(AA962,Sheet3!$I$3:$J$16,2,1)</f>
        <v>60000-80000</v>
      </c>
      <c r="AP962" s="5" t="str">
        <f>VLOOKUP(AB962,Sheet3!$L$4:$M$14,2,1)</f>
        <v>16% - 20%</v>
      </c>
    </row>
    <row r="963">
      <c r="A963" s="6">
        <v>964222.0</v>
      </c>
      <c r="B963" s="1" t="s">
        <v>109</v>
      </c>
      <c r="C963" s="1" t="s">
        <v>9599</v>
      </c>
      <c r="D963" s="1" t="s">
        <v>416</v>
      </c>
      <c r="E963" s="1" t="s">
        <v>262</v>
      </c>
      <c r="F963" s="1" t="s">
        <v>46</v>
      </c>
      <c r="G963" s="1" t="s">
        <v>9600</v>
      </c>
      <c r="H963" s="1" t="s">
        <v>8579</v>
      </c>
      <c r="I963" s="1" t="s">
        <v>9601</v>
      </c>
      <c r="J963" s="1" t="s">
        <v>9602</v>
      </c>
      <c r="K963" s="1" t="s">
        <v>1783</v>
      </c>
      <c r="L963" s="9">
        <v>21716.0</v>
      </c>
      <c r="M963" s="8">
        <v>0.008136574074074074</v>
      </c>
      <c r="N963" s="6">
        <v>58.16</v>
      </c>
      <c r="O963" s="6">
        <v>47.0</v>
      </c>
      <c r="P963" s="9">
        <v>32098.0</v>
      </c>
      <c r="Q963" s="1" t="s">
        <v>52</v>
      </c>
      <c r="R963" s="1" t="s">
        <v>53</v>
      </c>
      <c r="S963" s="6">
        <v>1987.0</v>
      </c>
      <c r="T963" s="6">
        <v>11.0</v>
      </c>
      <c r="U963" s="1" t="s">
        <v>148</v>
      </c>
      <c r="V963" s="1" t="s">
        <v>149</v>
      </c>
      <c r="W963" s="6">
        <v>17.0</v>
      </c>
      <c r="X963" s="1" t="s">
        <v>79</v>
      </c>
      <c r="Y963" s="1" t="s">
        <v>80</v>
      </c>
      <c r="Z963" s="6">
        <v>29.72</v>
      </c>
      <c r="AA963" s="6">
        <v>73888.0</v>
      </c>
      <c r="AB963" s="10">
        <v>0.17</v>
      </c>
      <c r="AC963" s="1" t="s">
        <v>9603</v>
      </c>
      <c r="AD963" s="1" t="s">
        <v>9604</v>
      </c>
      <c r="AE963" s="1" t="s">
        <v>4168</v>
      </c>
      <c r="AF963" s="1" t="s">
        <v>4541</v>
      </c>
      <c r="AG963" s="1" t="s">
        <v>4168</v>
      </c>
      <c r="AH963" s="1" t="s">
        <v>1605</v>
      </c>
      <c r="AI963" s="6">
        <v>58029.0</v>
      </c>
      <c r="AJ963" s="1" t="s">
        <v>86</v>
      </c>
      <c r="AK963" s="1" t="s">
        <v>9605</v>
      </c>
      <c r="AL963" s="1" t="s">
        <v>9606</v>
      </c>
      <c r="AM963" s="11" t="str">
        <f>VLOOKUP(N963,Sheet3!$B$4:$C$10,2,1)</f>
        <v>51-60</v>
      </c>
      <c r="AN963" s="13" t="str">
        <f>VLOOKUP(Z963,Sheet3!$F$4:$G$10,2,1)</f>
        <v>21-30</v>
      </c>
      <c r="AO963" s="5" t="str">
        <f>VLOOKUP(AA963,Sheet3!$I$3:$J$16,2,1)</f>
        <v>60000-80000</v>
      </c>
      <c r="AP963" s="5" t="str">
        <f>VLOOKUP(AB963,Sheet3!$L$4:$M$14,2,1)</f>
        <v>16% - 20%</v>
      </c>
    </row>
    <row r="964">
      <c r="A964" s="6">
        <v>597006.0</v>
      </c>
      <c r="B964" s="1" t="s">
        <v>42</v>
      </c>
      <c r="C964" s="1" t="s">
        <v>9607</v>
      </c>
      <c r="D964" s="1" t="s">
        <v>127</v>
      </c>
      <c r="E964" s="1" t="s">
        <v>7607</v>
      </c>
      <c r="F964" s="1" t="s">
        <v>46</v>
      </c>
      <c r="G964" s="1" t="s">
        <v>9608</v>
      </c>
      <c r="H964" s="1" t="s">
        <v>8579</v>
      </c>
      <c r="I964" s="1" t="s">
        <v>9609</v>
      </c>
      <c r="J964" s="1" t="s">
        <v>9610</v>
      </c>
      <c r="K964" s="1" t="s">
        <v>3019</v>
      </c>
      <c r="L964" s="14">
        <v>22861.0</v>
      </c>
      <c r="M964" s="8">
        <v>0.9022800925925926</v>
      </c>
      <c r="N964" s="6">
        <v>55.02</v>
      </c>
      <c r="O964" s="6">
        <v>43.0</v>
      </c>
      <c r="P964" s="14">
        <v>32057.0</v>
      </c>
      <c r="Q964" s="1" t="s">
        <v>52</v>
      </c>
      <c r="R964" s="1" t="s">
        <v>53</v>
      </c>
      <c r="S964" s="6">
        <v>1987.0</v>
      </c>
      <c r="T964" s="6">
        <v>10.0</v>
      </c>
      <c r="U964" s="1" t="s">
        <v>133</v>
      </c>
      <c r="V964" s="1" t="s">
        <v>134</v>
      </c>
      <c r="W964" s="6">
        <v>7.0</v>
      </c>
      <c r="X964" s="1" t="s">
        <v>278</v>
      </c>
      <c r="Y964" s="1" t="s">
        <v>279</v>
      </c>
      <c r="Z964" s="6">
        <v>29.83</v>
      </c>
      <c r="AA964" s="6">
        <v>42726.0</v>
      </c>
      <c r="AB964" s="10">
        <v>0.28</v>
      </c>
      <c r="AC964" s="1" t="s">
        <v>9611</v>
      </c>
      <c r="AD964" s="1" t="s">
        <v>9612</v>
      </c>
      <c r="AE964" s="1" t="s">
        <v>1877</v>
      </c>
      <c r="AF964" s="1" t="s">
        <v>1877</v>
      </c>
      <c r="AG964" s="1" t="s">
        <v>1877</v>
      </c>
      <c r="AH964" s="1" t="s">
        <v>811</v>
      </c>
      <c r="AI964" s="6">
        <v>39172.0</v>
      </c>
      <c r="AJ964" s="1" t="s">
        <v>106</v>
      </c>
      <c r="AK964" s="1" t="s">
        <v>9613</v>
      </c>
      <c r="AL964" s="1" t="s">
        <v>9614</v>
      </c>
      <c r="AM964" s="11" t="str">
        <f>VLOOKUP(N964,Sheet3!$B$4:$C$10,2,1)</f>
        <v>51-60</v>
      </c>
      <c r="AN964" s="13" t="str">
        <f>VLOOKUP(Z964,Sheet3!$F$4:$G$10,2,1)</f>
        <v>21-30</v>
      </c>
      <c r="AO964" s="5" t="str">
        <f>VLOOKUP(AA964,Sheet3!$I$3:$J$16,2,1)</f>
        <v>40000-60000</v>
      </c>
      <c r="AP964" s="5" t="str">
        <f>VLOOKUP(AB964,Sheet3!$L$4:$M$14,2,1)</f>
        <v>26% - 30%</v>
      </c>
    </row>
    <row r="965">
      <c r="A965" s="6">
        <v>688836.0</v>
      </c>
      <c r="B965" s="1" t="s">
        <v>66</v>
      </c>
      <c r="C965" s="1" t="s">
        <v>9304</v>
      </c>
      <c r="D965" s="1" t="s">
        <v>68</v>
      </c>
      <c r="E965" s="1" t="s">
        <v>7054</v>
      </c>
      <c r="F965" s="1" t="s">
        <v>70</v>
      </c>
      <c r="G965" s="1" t="s">
        <v>9615</v>
      </c>
      <c r="H965" s="1" t="s">
        <v>8579</v>
      </c>
      <c r="I965" s="1" t="s">
        <v>9616</v>
      </c>
      <c r="J965" s="1" t="s">
        <v>9617</v>
      </c>
      <c r="K965" s="1" t="s">
        <v>3621</v>
      </c>
      <c r="L965" s="9">
        <v>35155.0</v>
      </c>
      <c r="M965" s="8">
        <v>0.2194560185185185</v>
      </c>
      <c r="N965" s="6">
        <v>21.34</v>
      </c>
      <c r="O965" s="6">
        <v>87.0</v>
      </c>
      <c r="P965" s="9">
        <v>42852.0</v>
      </c>
      <c r="Q965" s="1" t="s">
        <v>75</v>
      </c>
      <c r="R965" s="1" t="s">
        <v>76</v>
      </c>
      <c r="S965" s="6">
        <v>2017.0</v>
      </c>
      <c r="T965" s="6">
        <v>4.0</v>
      </c>
      <c r="U965" s="1" t="s">
        <v>77</v>
      </c>
      <c r="V965" s="1" t="s">
        <v>78</v>
      </c>
      <c r="W965" s="6">
        <v>27.0</v>
      </c>
      <c r="X965" s="1" t="s">
        <v>150</v>
      </c>
      <c r="Y965" s="1" t="s">
        <v>151</v>
      </c>
      <c r="Z965" s="6">
        <v>0.25</v>
      </c>
      <c r="AA965" s="6">
        <v>129446.0</v>
      </c>
      <c r="AB965" s="10">
        <v>0.17</v>
      </c>
      <c r="AC965" s="1" t="s">
        <v>9618</v>
      </c>
      <c r="AD965" s="1" t="s">
        <v>9619</v>
      </c>
      <c r="AE965" s="1" t="s">
        <v>2517</v>
      </c>
      <c r="AF965" s="1" t="s">
        <v>649</v>
      </c>
      <c r="AG965" s="1" t="s">
        <v>2517</v>
      </c>
      <c r="AH965" s="1" t="s">
        <v>1413</v>
      </c>
      <c r="AI965" s="6">
        <v>80465.0</v>
      </c>
      <c r="AJ965" s="1" t="s">
        <v>63</v>
      </c>
      <c r="AK965" s="1" t="s">
        <v>9620</v>
      </c>
      <c r="AL965" s="1" t="s">
        <v>9621</v>
      </c>
      <c r="AM965" s="11" t="str">
        <f>VLOOKUP(N965,Sheet3!$B$4:$C$10,2,1)</f>
        <v>21-30</v>
      </c>
      <c r="AN965" s="13" t="str">
        <f>VLOOKUP(Z965,Sheet3!$F$4:$G$10,2,1)</f>
        <v>&lt; 5</v>
      </c>
      <c r="AO965" s="5" t="str">
        <f>VLOOKUP(AA965,Sheet3!$I$3:$J$16,2,1)</f>
        <v>120000-140000</v>
      </c>
      <c r="AP965" s="5" t="str">
        <f>VLOOKUP(AB965,Sheet3!$L$4:$M$14,2,1)</f>
        <v>16% - 20%</v>
      </c>
    </row>
    <row r="966">
      <c r="A966" s="6">
        <v>498361.0</v>
      </c>
      <c r="B966" s="1" t="s">
        <v>109</v>
      </c>
      <c r="C966" s="1" t="s">
        <v>8007</v>
      </c>
      <c r="D966" s="1" t="s">
        <v>683</v>
      </c>
      <c r="E966" s="1" t="s">
        <v>2367</v>
      </c>
      <c r="F966" s="1" t="s">
        <v>46</v>
      </c>
      <c r="G966" s="1" t="s">
        <v>9622</v>
      </c>
      <c r="H966" s="1" t="s">
        <v>8579</v>
      </c>
      <c r="I966" s="1" t="s">
        <v>9623</v>
      </c>
      <c r="J966" s="1" t="s">
        <v>9624</v>
      </c>
      <c r="K966" s="1" t="s">
        <v>9625</v>
      </c>
      <c r="L966" s="9">
        <v>28485.0</v>
      </c>
      <c r="M966" s="8">
        <v>0.6049189814814815</v>
      </c>
      <c r="N966" s="6">
        <v>39.61</v>
      </c>
      <c r="O966" s="6">
        <v>60.0</v>
      </c>
      <c r="P966" s="9">
        <v>39308.0</v>
      </c>
      <c r="Q966" s="1" t="s">
        <v>308</v>
      </c>
      <c r="R966" s="1" t="s">
        <v>53</v>
      </c>
      <c r="S966" s="6">
        <v>2007.0</v>
      </c>
      <c r="T966" s="6">
        <v>8.0</v>
      </c>
      <c r="U966" s="1" t="s">
        <v>433</v>
      </c>
      <c r="V966" s="1" t="s">
        <v>434</v>
      </c>
      <c r="W966" s="6">
        <v>14.0</v>
      </c>
      <c r="X966" s="1" t="s">
        <v>79</v>
      </c>
      <c r="Y966" s="1" t="s">
        <v>80</v>
      </c>
      <c r="Z966" s="6">
        <v>9.96</v>
      </c>
      <c r="AA966" s="6">
        <v>159589.0</v>
      </c>
      <c r="AB966" s="10">
        <v>0.03</v>
      </c>
      <c r="AC966" s="1" t="s">
        <v>9626</v>
      </c>
      <c r="AD966" s="1" t="s">
        <v>9627</v>
      </c>
      <c r="AE966" s="1" t="s">
        <v>3233</v>
      </c>
      <c r="AF966" s="1" t="s">
        <v>3234</v>
      </c>
      <c r="AG966" s="1" t="s">
        <v>3233</v>
      </c>
      <c r="AH966" s="1" t="s">
        <v>223</v>
      </c>
      <c r="AI966" s="6">
        <v>18501.0</v>
      </c>
      <c r="AJ966" s="1" t="s">
        <v>224</v>
      </c>
      <c r="AK966" s="1" t="s">
        <v>9628</v>
      </c>
      <c r="AL966" s="1" t="s">
        <v>9629</v>
      </c>
      <c r="AM966" s="11" t="str">
        <f>VLOOKUP(N966,Sheet3!$B$4:$C$10,2,1)</f>
        <v>31-40</v>
      </c>
      <c r="AN966" s="12" t="str">
        <f>VLOOKUP(Z966,Sheet3!$F$4:$G$10,2,1)</f>
        <v>5-10</v>
      </c>
      <c r="AO966" s="5" t="str">
        <f>VLOOKUP(AA966,Sheet3!$I$3:$J$16,2,1)</f>
        <v>140000-160000</v>
      </c>
      <c r="AP966" s="5" t="str">
        <f>VLOOKUP(AB966,Sheet3!$L$4:$M$14,2,1)</f>
        <v>&lt; 5%</v>
      </c>
    </row>
    <row r="967">
      <c r="A967" s="6">
        <v>759183.0</v>
      </c>
      <c r="B967" s="1" t="s">
        <v>227</v>
      </c>
      <c r="C967" s="1" t="s">
        <v>7358</v>
      </c>
      <c r="D967" s="1" t="s">
        <v>44</v>
      </c>
      <c r="E967" s="1" t="s">
        <v>5864</v>
      </c>
      <c r="F967" s="1" t="s">
        <v>70</v>
      </c>
      <c r="G967" s="1" t="s">
        <v>9630</v>
      </c>
      <c r="H967" s="1" t="s">
        <v>8579</v>
      </c>
      <c r="I967" s="1" t="s">
        <v>9631</v>
      </c>
      <c r="J967" s="1" t="s">
        <v>9632</v>
      </c>
      <c r="K967" s="1" t="s">
        <v>6091</v>
      </c>
      <c r="L967" s="14">
        <v>30111.0</v>
      </c>
      <c r="M967" s="8">
        <v>0.7011458333333334</v>
      </c>
      <c r="N967" s="6">
        <v>35.16</v>
      </c>
      <c r="O967" s="6">
        <v>89.0</v>
      </c>
      <c r="P967" s="9">
        <v>40683.0</v>
      </c>
      <c r="Q967" s="1" t="s">
        <v>75</v>
      </c>
      <c r="R967" s="1" t="s">
        <v>76</v>
      </c>
      <c r="S967" s="6">
        <v>2011.0</v>
      </c>
      <c r="T967" s="6">
        <v>5.0</v>
      </c>
      <c r="U967" s="1" t="s">
        <v>294</v>
      </c>
      <c r="V967" s="1" t="s">
        <v>294</v>
      </c>
      <c r="W967" s="6">
        <v>20.0</v>
      </c>
      <c r="X967" s="1" t="s">
        <v>263</v>
      </c>
      <c r="Y967" s="1" t="s">
        <v>264</v>
      </c>
      <c r="Z967" s="6">
        <v>6.19</v>
      </c>
      <c r="AA967" s="6">
        <v>148251.0</v>
      </c>
      <c r="AB967" s="10">
        <v>0.0</v>
      </c>
      <c r="AC967" s="1" t="s">
        <v>9633</v>
      </c>
      <c r="AD967" s="1" t="s">
        <v>9634</v>
      </c>
      <c r="AE967" s="1" t="s">
        <v>9635</v>
      </c>
      <c r="AF967" s="1" t="s">
        <v>2145</v>
      </c>
      <c r="AG967" s="1" t="s">
        <v>9635</v>
      </c>
      <c r="AH967" s="1" t="s">
        <v>196</v>
      </c>
      <c r="AI967" s="6">
        <v>38109.0</v>
      </c>
      <c r="AJ967" s="1" t="s">
        <v>106</v>
      </c>
      <c r="AK967" s="1" t="s">
        <v>9636</v>
      </c>
      <c r="AL967" s="1" t="s">
        <v>9637</v>
      </c>
      <c r="AM967" s="11" t="str">
        <f>VLOOKUP(N967,Sheet3!$B$4:$C$10,2,1)</f>
        <v>31-40</v>
      </c>
      <c r="AN967" s="12" t="str">
        <f>VLOOKUP(Z967,Sheet3!$F$4:$G$10,2,1)</f>
        <v>5-10</v>
      </c>
      <c r="AO967" s="5" t="str">
        <f>VLOOKUP(AA967,Sheet3!$I$3:$J$16,2,1)</f>
        <v>140000-160000</v>
      </c>
      <c r="AP967" s="5" t="str">
        <f>VLOOKUP(AB967,Sheet3!$L$4:$M$14,2,1)</f>
        <v>&lt; 5%</v>
      </c>
    </row>
    <row r="968">
      <c r="A968" s="6">
        <v>186298.0</v>
      </c>
      <c r="B968" s="1" t="s">
        <v>109</v>
      </c>
      <c r="C968" s="1" t="s">
        <v>9638</v>
      </c>
      <c r="D968" s="1" t="s">
        <v>389</v>
      </c>
      <c r="E968" s="1" t="s">
        <v>9639</v>
      </c>
      <c r="F968" s="1" t="s">
        <v>46</v>
      </c>
      <c r="G968" s="1" t="s">
        <v>9640</v>
      </c>
      <c r="H968" s="1" t="s">
        <v>8579</v>
      </c>
      <c r="I968" s="1" t="s">
        <v>9641</v>
      </c>
      <c r="J968" s="1" t="s">
        <v>9642</v>
      </c>
      <c r="K968" s="1" t="s">
        <v>7410</v>
      </c>
      <c r="L968" s="14">
        <v>23137.0</v>
      </c>
      <c r="M968" s="8">
        <v>0.3407523148148148</v>
      </c>
      <c r="N968" s="6">
        <v>54.27</v>
      </c>
      <c r="O968" s="6">
        <v>42.0</v>
      </c>
      <c r="P968" s="9">
        <v>33804.0</v>
      </c>
      <c r="Q968" s="1" t="s">
        <v>308</v>
      </c>
      <c r="R968" s="1" t="s">
        <v>53</v>
      </c>
      <c r="S968" s="6">
        <v>1992.0</v>
      </c>
      <c r="T968" s="6">
        <v>7.0</v>
      </c>
      <c r="U968" s="1" t="s">
        <v>366</v>
      </c>
      <c r="V968" s="1" t="s">
        <v>367</v>
      </c>
      <c r="W968" s="6">
        <v>19.0</v>
      </c>
      <c r="X968" s="1" t="s">
        <v>534</v>
      </c>
      <c r="Y968" s="1" t="s">
        <v>535</v>
      </c>
      <c r="Z968" s="6">
        <v>25.04</v>
      </c>
      <c r="AA968" s="6">
        <v>134990.0</v>
      </c>
      <c r="AB968" s="10">
        <v>0.22</v>
      </c>
      <c r="AC968" s="1" t="s">
        <v>9643</v>
      </c>
      <c r="AD968" s="1" t="s">
        <v>9644</v>
      </c>
      <c r="AE968" s="1" t="s">
        <v>3194</v>
      </c>
      <c r="AF968" s="1" t="s">
        <v>3195</v>
      </c>
      <c r="AG968" s="1" t="s">
        <v>3194</v>
      </c>
      <c r="AH968" s="1" t="s">
        <v>1032</v>
      </c>
      <c r="AI968" s="6">
        <v>67236.0</v>
      </c>
      <c r="AJ968" s="1" t="s">
        <v>86</v>
      </c>
      <c r="AK968" s="1" t="s">
        <v>9645</v>
      </c>
      <c r="AL968" s="1" t="s">
        <v>9646</v>
      </c>
      <c r="AM968" s="11" t="str">
        <f>VLOOKUP(N968,Sheet3!$B$4:$C$10,2,1)</f>
        <v>51-60</v>
      </c>
      <c r="AN968" s="13" t="str">
        <f>VLOOKUP(Z968,Sheet3!$F$4:$G$10,2,1)</f>
        <v>21-30</v>
      </c>
      <c r="AO968" s="5" t="str">
        <f>VLOOKUP(AA968,Sheet3!$I$3:$J$16,2,1)</f>
        <v>120000-140000</v>
      </c>
      <c r="AP968" s="5" t="str">
        <f>VLOOKUP(AB968,Sheet3!$L$4:$M$14,2,1)</f>
        <v>21% - 25%</v>
      </c>
    </row>
    <row r="969">
      <c r="A969" s="6">
        <v>776211.0</v>
      </c>
      <c r="B969" s="1" t="s">
        <v>66</v>
      </c>
      <c r="C969" s="1" t="s">
        <v>9647</v>
      </c>
      <c r="D969" s="1" t="s">
        <v>443</v>
      </c>
      <c r="E969" s="1" t="s">
        <v>9648</v>
      </c>
      <c r="F969" s="1" t="s">
        <v>70</v>
      </c>
      <c r="G969" s="1" t="s">
        <v>9649</v>
      </c>
      <c r="H969" s="1" t="s">
        <v>8579</v>
      </c>
      <c r="I969" s="1" t="s">
        <v>9650</v>
      </c>
      <c r="J969" s="1" t="s">
        <v>9651</v>
      </c>
      <c r="K969" s="1" t="s">
        <v>2203</v>
      </c>
      <c r="L969" s="7">
        <v>29201.0</v>
      </c>
      <c r="M969" s="8">
        <v>0.8878587962962963</v>
      </c>
      <c r="N969" s="6">
        <v>37.65</v>
      </c>
      <c r="O969" s="6">
        <v>53.0</v>
      </c>
      <c r="P969" s="9">
        <v>37801.0</v>
      </c>
      <c r="Q969" s="1" t="s">
        <v>75</v>
      </c>
      <c r="R969" s="1" t="s">
        <v>76</v>
      </c>
      <c r="S969" s="6">
        <v>2003.0</v>
      </c>
      <c r="T969" s="6">
        <v>6.0</v>
      </c>
      <c r="U969" s="1" t="s">
        <v>324</v>
      </c>
      <c r="V969" s="1" t="s">
        <v>325</v>
      </c>
      <c r="W969" s="6">
        <v>29.0</v>
      </c>
      <c r="X969" s="1" t="s">
        <v>534</v>
      </c>
      <c r="Y969" s="1" t="s">
        <v>535</v>
      </c>
      <c r="Z969" s="6">
        <v>14.09</v>
      </c>
      <c r="AA969" s="6">
        <v>66599.0</v>
      </c>
      <c r="AB969" s="10">
        <v>0.22</v>
      </c>
      <c r="AC969" s="1" t="s">
        <v>9652</v>
      </c>
      <c r="AD969" s="1" t="s">
        <v>9653</v>
      </c>
      <c r="AE969" s="1" t="s">
        <v>371</v>
      </c>
      <c r="AF969" s="1" t="s">
        <v>4941</v>
      </c>
      <c r="AG969" s="1" t="s">
        <v>371</v>
      </c>
      <c r="AH969" s="1" t="s">
        <v>4942</v>
      </c>
      <c r="AI969" s="6">
        <v>20544.0</v>
      </c>
      <c r="AJ969" s="1" t="s">
        <v>106</v>
      </c>
      <c r="AK969" s="1" t="s">
        <v>9654</v>
      </c>
      <c r="AL969" s="1" t="s">
        <v>9655</v>
      </c>
      <c r="AM969" s="11" t="str">
        <f>VLOOKUP(N969,Sheet3!$B$4:$C$10,2,1)</f>
        <v>31-40</v>
      </c>
      <c r="AN969" s="12" t="str">
        <f>VLOOKUP(Z969,Sheet3!$F$4:$G$10,2,1)</f>
        <v>11-20</v>
      </c>
      <c r="AO969" s="5" t="str">
        <f>VLOOKUP(AA969,Sheet3!$I$3:$J$16,2,1)</f>
        <v>60000-80000</v>
      </c>
      <c r="AP969" s="5" t="str">
        <f>VLOOKUP(AB969,Sheet3!$L$4:$M$14,2,1)</f>
        <v>21% - 25%</v>
      </c>
    </row>
    <row r="970">
      <c r="A970" s="6">
        <v>337146.0</v>
      </c>
      <c r="B970" s="1" t="s">
        <v>66</v>
      </c>
      <c r="C970" s="1" t="s">
        <v>9656</v>
      </c>
      <c r="D970" s="1" t="s">
        <v>111</v>
      </c>
      <c r="E970" s="1" t="s">
        <v>3366</v>
      </c>
      <c r="F970" s="1" t="s">
        <v>70</v>
      </c>
      <c r="G970" s="1" t="s">
        <v>9657</v>
      </c>
      <c r="H970" s="1" t="s">
        <v>8579</v>
      </c>
      <c r="I970" s="1" t="s">
        <v>9658</v>
      </c>
      <c r="J970" s="1" t="s">
        <v>9659</v>
      </c>
      <c r="K970" s="1" t="s">
        <v>9660</v>
      </c>
      <c r="L970" s="9">
        <v>27078.0</v>
      </c>
      <c r="M970" s="8">
        <v>0.0030555555555555557</v>
      </c>
      <c r="N970" s="6">
        <v>43.47</v>
      </c>
      <c r="O970" s="6">
        <v>53.0</v>
      </c>
      <c r="P970" s="9">
        <v>38956.0</v>
      </c>
      <c r="Q970" s="1" t="s">
        <v>308</v>
      </c>
      <c r="R970" s="1" t="s">
        <v>53</v>
      </c>
      <c r="S970" s="6">
        <v>2006.0</v>
      </c>
      <c r="T970" s="6">
        <v>8.0</v>
      </c>
      <c r="U970" s="1" t="s">
        <v>433</v>
      </c>
      <c r="V970" s="1" t="s">
        <v>434</v>
      </c>
      <c r="W970" s="6">
        <v>27.0</v>
      </c>
      <c r="X970" s="1" t="s">
        <v>534</v>
      </c>
      <c r="Y970" s="1" t="s">
        <v>535</v>
      </c>
      <c r="Z970" s="6">
        <v>10.93</v>
      </c>
      <c r="AA970" s="6">
        <v>66293.0</v>
      </c>
      <c r="AB970" s="10">
        <v>0.05</v>
      </c>
      <c r="AC970" s="1" t="s">
        <v>9661</v>
      </c>
      <c r="AD970" s="1" t="s">
        <v>9662</v>
      </c>
      <c r="AE970" s="1" t="s">
        <v>6002</v>
      </c>
      <c r="AF970" s="1" t="s">
        <v>6003</v>
      </c>
      <c r="AG970" s="1" t="s">
        <v>6002</v>
      </c>
      <c r="AH970" s="1" t="s">
        <v>169</v>
      </c>
      <c r="AI970" s="6">
        <v>78212.0</v>
      </c>
      <c r="AJ970" s="1" t="s">
        <v>106</v>
      </c>
      <c r="AK970" s="1" t="s">
        <v>9663</v>
      </c>
      <c r="AL970" s="1" t="s">
        <v>9664</v>
      </c>
      <c r="AM970" s="11" t="str">
        <f>VLOOKUP(N970,Sheet3!$B$4:$C$10,2,1)</f>
        <v>41-50</v>
      </c>
      <c r="AN970" s="12" t="str">
        <f>VLOOKUP(Z970,Sheet3!$F$4:$G$10,2,1)</f>
        <v>5-10</v>
      </c>
      <c r="AO970" s="5" t="str">
        <f>VLOOKUP(AA970,Sheet3!$I$3:$J$16,2,1)</f>
        <v>60000-80000</v>
      </c>
      <c r="AP970" s="5" t="str">
        <f>VLOOKUP(AB970,Sheet3!$L$4:$M$14,2,1)</f>
        <v>5% - 10%</v>
      </c>
    </row>
    <row r="971">
      <c r="A971" s="6">
        <v>273427.0</v>
      </c>
      <c r="B971" s="1" t="s">
        <v>125</v>
      </c>
      <c r="C971" s="1" t="s">
        <v>9665</v>
      </c>
      <c r="D971" s="1" t="s">
        <v>46</v>
      </c>
      <c r="E971" s="1" t="s">
        <v>8619</v>
      </c>
      <c r="F971" s="1" t="s">
        <v>46</v>
      </c>
      <c r="G971" s="1" t="s">
        <v>9666</v>
      </c>
      <c r="H971" s="1" t="s">
        <v>8579</v>
      </c>
      <c r="I971" s="1" t="s">
        <v>9667</v>
      </c>
      <c r="J971" s="1" t="s">
        <v>9668</v>
      </c>
      <c r="K971" s="1" t="s">
        <v>4579</v>
      </c>
      <c r="L971" s="14">
        <v>31477.0</v>
      </c>
      <c r="M971" s="8">
        <v>0.4239236111111111</v>
      </c>
      <c r="N971" s="6">
        <v>31.42</v>
      </c>
      <c r="O971" s="6">
        <v>40.0</v>
      </c>
      <c r="P971" s="9">
        <v>39319.0</v>
      </c>
      <c r="Q971" s="1" t="s">
        <v>308</v>
      </c>
      <c r="R971" s="1" t="s">
        <v>53</v>
      </c>
      <c r="S971" s="6">
        <v>2007.0</v>
      </c>
      <c r="T971" s="6">
        <v>8.0</v>
      </c>
      <c r="U971" s="1" t="s">
        <v>433</v>
      </c>
      <c r="V971" s="1" t="s">
        <v>434</v>
      </c>
      <c r="W971" s="6">
        <v>25.0</v>
      </c>
      <c r="X971" s="1" t="s">
        <v>56</v>
      </c>
      <c r="Y971" s="1" t="s">
        <v>57</v>
      </c>
      <c r="Z971" s="6">
        <v>9.93</v>
      </c>
      <c r="AA971" s="6">
        <v>193647.0</v>
      </c>
      <c r="AB971" s="10">
        <v>0.12</v>
      </c>
      <c r="AC971" s="1" t="s">
        <v>9669</v>
      </c>
      <c r="AD971" s="1" t="s">
        <v>9670</v>
      </c>
      <c r="AE971" s="1" t="s">
        <v>6525</v>
      </c>
      <c r="AF971" s="1" t="s">
        <v>371</v>
      </c>
      <c r="AG971" s="1" t="s">
        <v>6525</v>
      </c>
      <c r="AH971" s="1" t="s">
        <v>1505</v>
      </c>
      <c r="AI971" s="6">
        <v>55073.0</v>
      </c>
      <c r="AJ971" s="1" t="s">
        <v>86</v>
      </c>
      <c r="AK971" s="1" t="s">
        <v>9671</v>
      </c>
      <c r="AL971" s="1" t="s">
        <v>9672</v>
      </c>
      <c r="AM971" s="11" t="str">
        <f>VLOOKUP(N971,Sheet3!$B$4:$C$10,2,1)</f>
        <v>31-40</v>
      </c>
      <c r="AN971" s="12" t="str">
        <f>VLOOKUP(Z971,Sheet3!$F$4:$G$10,2,1)</f>
        <v>5-10</v>
      </c>
      <c r="AO971" s="5" t="str">
        <f>VLOOKUP(AA971,Sheet3!$I$3:$J$16,2,1)</f>
        <v>180000-200000</v>
      </c>
      <c r="AP971" s="5" t="str">
        <f>VLOOKUP(AB971,Sheet3!$L$4:$M$14,2,1)</f>
        <v>11% - 15%</v>
      </c>
    </row>
    <row r="972">
      <c r="A972" s="6">
        <v>329548.0</v>
      </c>
      <c r="B972" s="1" t="s">
        <v>66</v>
      </c>
      <c r="C972" s="1" t="s">
        <v>9673</v>
      </c>
      <c r="D972" s="1" t="s">
        <v>334</v>
      </c>
      <c r="E972" s="1" t="s">
        <v>221</v>
      </c>
      <c r="F972" s="1" t="s">
        <v>70</v>
      </c>
      <c r="G972" s="1" t="s">
        <v>9674</v>
      </c>
      <c r="H972" s="1" t="s">
        <v>8579</v>
      </c>
      <c r="I972" s="1" t="s">
        <v>9675</v>
      </c>
      <c r="J972" s="1" t="s">
        <v>9676</v>
      </c>
      <c r="K972" s="1" t="s">
        <v>7625</v>
      </c>
      <c r="L972" s="9">
        <v>33555.0</v>
      </c>
      <c r="M972" s="8">
        <v>0.09012731481481481</v>
      </c>
      <c r="N972" s="6">
        <v>25.72</v>
      </c>
      <c r="O972" s="6">
        <v>50.0</v>
      </c>
      <c r="P972" s="9">
        <v>42944.0</v>
      </c>
      <c r="Q972" s="1" t="s">
        <v>308</v>
      </c>
      <c r="R972" s="1" t="s">
        <v>53</v>
      </c>
      <c r="S972" s="6">
        <v>2017.0</v>
      </c>
      <c r="T972" s="6">
        <v>7.0</v>
      </c>
      <c r="U972" s="1" t="s">
        <v>366</v>
      </c>
      <c r="V972" s="1" t="s">
        <v>367</v>
      </c>
      <c r="W972" s="6">
        <v>28.0</v>
      </c>
      <c r="X972" s="1" t="s">
        <v>263</v>
      </c>
      <c r="Y972" s="1" t="s">
        <v>264</v>
      </c>
      <c r="Z972" s="6">
        <v>0.0</v>
      </c>
      <c r="AA972" s="6">
        <v>102279.0</v>
      </c>
      <c r="AB972" s="10">
        <v>0.05</v>
      </c>
      <c r="AC972" s="1" t="s">
        <v>9677</v>
      </c>
      <c r="AD972" s="1" t="s">
        <v>9678</v>
      </c>
      <c r="AE972" s="1" t="s">
        <v>2886</v>
      </c>
      <c r="AF972" s="1" t="s">
        <v>9679</v>
      </c>
      <c r="AG972" s="1" t="s">
        <v>2886</v>
      </c>
      <c r="AH972" s="1" t="s">
        <v>252</v>
      </c>
      <c r="AI972" s="6">
        <v>97114.0</v>
      </c>
      <c r="AJ972" s="1" t="s">
        <v>63</v>
      </c>
      <c r="AK972" s="1" t="s">
        <v>9680</v>
      </c>
      <c r="AL972" s="1" t="s">
        <v>9681</v>
      </c>
      <c r="AM972" s="11" t="str">
        <f>VLOOKUP(N972,Sheet3!$B$4:$C$10,2,1)</f>
        <v>21-30</v>
      </c>
      <c r="AN972" s="13" t="str">
        <f>VLOOKUP(Z972,Sheet3!$F$4:$G$10,2,1)</f>
        <v>&lt; 5</v>
      </c>
      <c r="AO972" s="5" t="str">
        <f>VLOOKUP(AA972,Sheet3!$I$3:$J$16,2,1)</f>
        <v>100000-120000</v>
      </c>
      <c r="AP972" s="5" t="str">
        <f>VLOOKUP(AB972,Sheet3!$L$4:$M$14,2,1)</f>
        <v>5% - 10%</v>
      </c>
    </row>
    <row r="973">
      <c r="A973" s="6">
        <v>955183.0</v>
      </c>
      <c r="B973" s="1" t="s">
        <v>66</v>
      </c>
      <c r="C973" s="1" t="s">
        <v>9682</v>
      </c>
      <c r="D973" s="1" t="s">
        <v>127</v>
      </c>
      <c r="E973" s="1" t="s">
        <v>9683</v>
      </c>
      <c r="F973" s="1" t="s">
        <v>70</v>
      </c>
      <c r="G973" s="1" t="s">
        <v>9684</v>
      </c>
      <c r="H973" s="1" t="s">
        <v>8579</v>
      </c>
      <c r="I973" s="1" t="s">
        <v>9685</v>
      </c>
      <c r="J973" s="1" t="s">
        <v>9686</v>
      </c>
      <c r="K973" s="1" t="s">
        <v>9660</v>
      </c>
      <c r="L973" s="9">
        <v>34893.0</v>
      </c>
      <c r="M973" s="8">
        <v>0.39002314814814815</v>
      </c>
      <c r="N973" s="6">
        <v>22.06</v>
      </c>
      <c r="O973" s="6">
        <v>59.0</v>
      </c>
      <c r="P973" s="14">
        <v>42745.0</v>
      </c>
      <c r="Q973" s="1" t="s">
        <v>96</v>
      </c>
      <c r="R973" s="1" t="s">
        <v>76</v>
      </c>
      <c r="S973" s="6">
        <v>2017.0</v>
      </c>
      <c r="T973" s="6">
        <v>1.0</v>
      </c>
      <c r="U973" s="1" t="s">
        <v>276</v>
      </c>
      <c r="V973" s="1" t="s">
        <v>277</v>
      </c>
      <c r="W973" s="6">
        <v>10.0</v>
      </c>
      <c r="X973" s="1" t="s">
        <v>79</v>
      </c>
      <c r="Y973" s="1" t="s">
        <v>80</v>
      </c>
      <c r="Z973" s="6">
        <v>0.55</v>
      </c>
      <c r="AA973" s="6">
        <v>54302.0</v>
      </c>
      <c r="AB973" s="10">
        <v>0.01</v>
      </c>
      <c r="AC973" s="1" t="s">
        <v>9687</v>
      </c>
      <c r="AD973" s="1" t="s">
        <v>9688</v>
      </c>
      <c r="AE973" s="1" t="s">
        <v>9689</v>
      </c>
      <c r="AF973" s="1" t="s">
        <v>195</v>
      </c>
      <c r="AG973" s="1" t="s">
        <v>9689</v>
      </c>
      <c r="AH973" s="1" t="s">
        <v>525</v>
      </c>
      <c r="AI973" s="6">
        <v>71945.0</v>
      </c>
      <c r="AJ973" s="1" t="s">
        <v>106</v>
      </c>
      <c r="AK973" s="1" t="s">
        <v>9690</v>
      </c>
      <c r="AL973" s="1" t="s">
        <v>9691</v>
      </c>
      <c r="AM973" s="11" t="str">
        <f>VLOOKUP(N973,Sheet3!$B$4:$C$10,2,1)</f>
        <v>21-30</v>
      </c>
      <c r="AN973" s="13" t="str">
        <f>VLOOKUP(Z973,Sheet3!$F$4:$G$10,2,1)</f>
        <v>&lt; 5</v>
      </c>
      <c r="AO973" s="5" t="str">
        <f>VLOOKUP(AA973,Sheet3!$I$3:$J$16,2,1)</f>
        <v>40000-60000</v>
      </c>
      <c r="AP973" s="5" t="str">
        <f>VLOOKUP(AB973,Sheet3!$L$4:$M$14,2,1)</f>
        <v>&lt; 5%</v>
      </c>
    </row>
    <row r="974">
      <c r="A974" s="6">
        <v>862947.0</v>
      </c>
      <c r="B974" s="1" t="s">
        <v>109</v>
      </c>
      <c r="C974" s="1" t="s">
        <v>9380</v>
      </c>
      <c r="D974" s="1" t="s">
        <v>242</v>
      </c>
      <c r="E974" s="1" t="s">
        <v>1712</v>
      </c>
      <c r="F974" s="1" t="s">
        <v>46</v>
      </c>
      <c r="G974" s="1" t="s">
        <v>9692</v>
      </c>
      <c r="H974" s="1" t="s">
        <v>8579</v>
      </c>
      <c r="I974" s="1" t="s">
        <v>9693</v>
      </c>
      <c r="J974" s="1" t="s">
        <v>9694</v>
      </c>
      <c r="K974" s="1" t="s">
        <v>128</v>
      </c>
      <c r="L974" s="9">
        <v>25932.0</v>
      </c>
      <c r="M974" s="8">
        <v>0.7702777777777777</v>
      </c>
      <c r="N974" s="6">
        <v>46.61</v>
      </c>
      <c r="O974" s="6">
        <v>58.0</v>
      </c>
      <c r="P974" s="9">
        <v>38488.0</v>
      </c>
      <c r="Q974" s="1" t="s">
        <v>75</v>
      </c>
      <c r="R974" s="1" t="s">
        <v>76</v>
      </c>
      <c r="S974" s="6">
        <v>2005.0</v>
      </c>
      <c r="T974" s="6">
        <v>5.0</v>
      </c>
      <c r="U974" s="1" t="s">
        <v>294</v>
      </c>
      <c r="V974" s="1" t="s">
        <v>294</v>
      </c>
      <c r="W974" s="6">
        <v>16.0</v>
      </c>
      <c r="X974" s="1" t="s">
        <v>99</v>
      </c>
      <c r="Y974" s="1" t="s">
        <v>100</v>
      </c>
      <c r="Z974" s="6">
        <v>12.21</v>
      </c>
      <c r="AA974" s="6">
        <v>154473.0</v>
      </c>
      <c r="AB974" s="10">
        <v>0.15</v>
      </c>
      <c r="AC974" s="1" t="s">
        <v>9695</v>
      </c>
      <c r="AD974" s="1" t="s">
        <v>9696</v>
      </c>
      <c r="AE974" s="1" t="s">
        <v>9697</v>
      </c>
      <c r="AF974" s="1" t="s">
        <v>7989</v>
      </c>
      <c r="AG974" s="1" t="s">
        <v>9697</v>
      </c>
      <c r="AH974" s="1" t="s">
        <v>299</v>
      </c>
      <c r="AI974" s="6">
        <v>74646.0</v>
      </c>
      <c r="AJ974" s="1" t="s">
        <v>106</v>
      </c>
      <c r="AK974" s="1" t="s">
        <v>9698</v>
      </c>
      <c r="AL974" s="1" t="s">
        <v>9699</v>
      </c>
      <c r="AM974" s="11" t="str">
        <f>VLOOKUP(N974,Sheet3!$B$4:$C$10,2,1)</f>
        <v>41-50</v>
      </c>
      <c r="AN974" s="12" t="str">
        <f>VLOOKUP(Z974,Sheet3!$F$4:$G$10,2,1)</f>
        <v>11-20</v>
      </c>
      <c r="AO974" s="5" t="str">
        <f>VLOOKUP(AA974,Sheet3!$I$3:$J$16,2,1)</f>
        <v>140000-160000</v>
      </c>
      <c r="AP974" s="5" t="str">
        <f>VLOOKUP(AB974,Sheet3!$L$4:$M$14,2,1)</f>
        <v>11% - 15%</v>
      </c>
    </row>
    <row r="975">
      <c r="A975" s="6">
        <v>174542.0</v>
      </c>
      <c r="B975" s="1" t="s">
        <v>42</v>
      </c>
      <c r="C975" s="1" t="s">
        <v>9700</v>
      </c>
      <c r="D975" s="1" t="s">
        <v>443</v>
      </c>
      <c r="E975" s="1" t="s">
        <v>335</v>
      </c>
      <c r="F975" s="1" t="s">
        <v>46</v>
      </c>
      <c r="G975" s="1" t="s">
        <v>9701</v>
      </c>
      <c r="H975" s="1" t="s">
        <v>8579</v>
      </c>
      <c r="I975" s="1" t="s">
        <v>9702</v>
      </c>
      <c r="J975" s="1" t="s">
        <v>9703</v>
      </c>
      <c r="K975" s="1" t="s">
        <v>3785</v>
      </c>
      <c r="L975" s="14">
        <v>33857.0</v>
      </c>
      <c r="M975" s="8">
        <v>0.6397222222222222</v>
      </c>
      <c r="N975" s="6">
        <v>24.9</v>
      </c>
      <c r="O975" s="6">
        <v>48.0</v>
      </c>
      <c r="P975" s="9">
        <v>42173.0</v>
      </c>
      <c r="Q975" s="1" t="s">
        <v>75</v>
      </c>
      <c r="R975" s="1" t="s">
        <v>76</v>
      </c>
      <c r="S975" s="6">
        <v>2015.0</v>
      </c>
      <c r="T975" s="6">
        <v>6.0</v>
      </c>
      <c r="U975" s="1" t="s">
        <v>324</v>
      </c>
      <c r="V975" s="1" t="s">
        <v>325</v>
      </c>
      <c r="W975" s="6">
        <v>18.0</v>
      </c>
      <c r="X975" s="1" t="s">
        <v>150</v>
      </c>
      <c r="Y975" s="1" t="s">
        <v>151</v>
      </c>
      <c r="Z975" s="6">
        <v>2.11</v>
      </c>
      <c r="AA975" s="6">
        <v>135242.0</v>
      </c>
      <c r="AB975" s="10">
        <v>0.26</v>
      </c>
      <c r="AC975" s="1" t="s">
        <v>9704</v>
      </c>
      <c r="AD975" s="1" t="s">
        <v>9705</v>
      </c>
      <c r="AE975" s="1" t="s">
        <v>9706</v>
      </c>
      <c r="AF975" s="1" t="s">
        <v>9707</v>
      </c>
      <c r="AG975" s="1" t="s">
        <v>9706</v>
      </c>
      <c r="AH975" s="1" t="s">
        <v>882</v>
      </c>
      <c r="AI975" s="6">
        <v>31322.0</v>
      </c>
      <c r="AJ975" s="1" t="s">
        <v>106</v>
      </c>
      <c r="AK975" s="1" t="s">
        <v>9708</v>
      </c>
      <c r="AL975" s="1" t="s">
        <v>9709</v>
      </c>
      <c r="AM975" s="11" t="str">
        <f>VLOOKUP(N975,Sheet3!$B$4:$C$10,2,1)</f>
        <v>21-30</v>
      </c>
      <c r="AN975" s="13" t="str">
        <f>VLOOKUP(Z975,Sheet3!$F$4:$G$10,2,1)</f>
        <v>&lt; 5</v>
      </c>
      <c r="AO975" s="5" t="str">
        <f>VLOOKUP(AA975,Sheet3!$I$3:$J$16,2,1)</f>
        <v>120000-140000</v>
      </c>
      <c r="AP975" s="5" t="str">
        <f>VLOOKUP(AB975,Sheet3!$L$4:$M$14,2,1)</f>
        <v>26% - 30%</v>
      </c>
    </row>
    <row r="976">
      <c r="A976" s="6">
        <v>857324.0</v>
      </c>
      <c r="B976" s="1" t="s">
        <v>89</v>
      </c>
      <c r="C976" s="1" t="s">
        <v>9710</v>
      </c>
      <c r="D976" s="1" t="s">
        <v>68</v>
      </c>
      <c r="E976" s="1" t="s">
        <v>9711</v>
      </c>
      <c r="F976" s="1" t="s">
        <v>46</v>
      </c>
      <c r="G976" s="1" t="s">
        <v>9712</v>
      </c>
      <c r="H976" s="1" t="s">
        <v>8579</v>
      </c>
      <c r="I976" s="1" t="s">
        <v>9713</v>
      </c>
      <c r="J976" s="1" t="s">
        <v>9714</v>
      </c>
      <c r="K976" s="1" t="s">
        <v>7117</v>
      </c>
      <c r="L976" s="14">
        <v>26846.0</v>
      </c>
      <c r="M976" s="8">
        <v>0.5929282407407407</v>
      </c>
      <c r="N976" s="6">
        <v>44.1</v>
      </c>
      <c r="O976" s="6">
        <v>42.0</v>
      </c>
      <c r="P976" s="9">
        <v>39797.0</v>
      </c>
      <c r="Q976" s="1" t="s">
        <v>52</v>
      </c>
      <c r="R976" s="1" t="s">
        <v>53</v>
      </c>
      <c r="S976" s="6">
        <v>2008.0</v>
      </c>
      <c r="T976" s="6">
        <v>12.0</v>
      </c>
      <c r="U976" s="1" t="s">
        <v>54</v>
      </c>
      <c r="V976" s="1" t="s">
        <v>55</v>
      </c>
      <c r="W976" s="6">
        <v>15.0</v>
      </c>
      <c r="X976" s="1" t="s">
        <v>99</v>
      </c>
      <c r="Y976" s="1" t="s">
        <v>100</v>
      </c>
      <c r="Z976" s="6">
        <v>8.62</v>
      </c>
      <c r="AA976" s="6">
        <v>179095.0</v>
      </c>
      <c r="AB976" s="10">
        <v>0.19</v>
      </c>
      <c r="AC976" s="1" t="s">
        <v>9715</v>
      </c>
      <c r="AD976" s="1" t="s">
        <v>9716</v>
      </c>
      <c r="AE976" s="1" t="s">
        <v>9717</v>
      </c>
      <c r="AF976" s="1" t="s">
        <v>9718</v>
      </c>
      <c r="AG976" s="1" t="s">
        <v>9717</v>
      </c>
      <c r="AH976" s="1" t="s">
        <v>974</v>
      </c>
      <c r="AI976" s="6">
        <v>44599.0</v>
      </c>
      <c r="AJ976" s="1" t="s">
        <v>86</v>
      </c>
      <c r="AK976" s="1" t="s">
        <v>9719</v>
      </c>
      <c r="AL976" s="1" t="s">
        <v>9720</v>
      </c>
      <c r="AM976" s="11" t="str">
        <f>VLOOKUP(N976,Sheet3!$B$4:$C$10,2,1)</f>
        <v>41-50</v>
      </c>
      <c r="AN976" s="12" t="str">
        <f>VLOOKUP(Z976,Sheet3!$F$4:$G$10,2,1)</f>
        <v>5-10</v>
      </c>
      <c r="AO976" s="5" t="str">
        <f>VLOOKUP(AA976,Sheet3!$I$3:$J$16,2,1)</f>
        <v>160000-180000</v>
      </c>
      <c r="AP976" s="5" t="str">
        <f>VLOOKUP(AB976,Sheet3!$L$4:$M$14,2,1)</f>
        <v>16% - 20%</v>
      </c>
    </row>
    <row r="977">
      <c r="A977" s="6">
        <v>678498.0</v>
      </c>
      <c r="B977" s="1" t="s">
        <v>66</v>
      </c>
      <c r="C977" s="1" t="s">
        <v>3411</v>
      </c>
      <c r="D977" s="1" t="s">
        <v>403</v>
      </c>
      <c r="E977" s="1" t="s">
        <v>2367</v>
      </c>
      <c r="F977" s="1" t="s">
        <v>70</v>
      </c>
      <c r="G977" s="1" t="s">
        <v>9721</v>
      </c>
      <c r="H977" s="1" t="s">
        <v>8579</v>
      </c>
      <c r="I977" s="1" t="s">
        <v>9722</v>
      </c>
      <c r="J977" s="1" t="s">
        <v>9723</v>
      </c>
      <c r="K977" s="1" t="s">
        <v>2767</v>
      </c>
      <c r="L977" s="14">
        <v>34581.0</v>
      </c>
      <c r="M977" s="8">
        <v>0.30256944444444445</v>
      </c>
      <c r="N977" s="6">
        <v>22.91</v>
      </c>
      <c r="O977" s="6">
        <v>87.0</v>
      </c>
      <c r="P977" s="9">
        <v>42574.0</v>
      </c>
      <c r="Q977" s="1" t="s">
        <v>308</v>
      </c>
      <c r="R977" s="1" t="s">
        <v>53</v>
      </c>
      <c r="S977" s="6">
        <v>2016.0</v>
      </c>
      <c r="T977" s="6">
        <v>7.0</v>
      </c>
      <c r="U977" s="1" t="s">
        <v>366</v>
      </c>
      <c r="V977" s="1" t="s">
        <v>367</v>
      </c>
      <c r="W977" s="6">
        <v>23.0</v>
      </c>
      <c r="X977" s="1" t="s">
        <v>56</v>
      </c>
      <c r="Y977" s="1" t="s">
        <v>57</v>
      </c>
      <c r="Z977" s="6">
        <v>1.01</v>
      </c>
      <c r="AA977" s="6">
        <v>159050.0</v>
      </c>
      <c r="AB977" s="10">
        <v>0.08</v>
      </c>
      <c r="AC977" s="1" t="s">
        <v>9724</v>
      </c>
      <c r="AD977" s="1" t="s">
        <v>9725</v>
      </c>
      <c r="AE977" s="1" t="s">
        <v>5475</v>
      </c>
      <c r="AF977" s="1" t="s">
        <v>5030</v>
      </c>
      <c r="AG977" s="1" t="s">
        <v>5475</v>
      </c>
      <c r="AH977" s="1" t="s">
        <v>169</v>
      </c>
      <c r="AI977" s="6">
        <v>76253.0</v>
      </c>
      <c r="AJ977" s="1" t="s">
        <v>106</v>
      </c>
      <c r="AK977" s="1" t="s">
        <v>9726</v>
      </c>
      <c r="AL977" s="1" t="s">
        <v>9727</v>
      </c>
      <c r="AM977" s="11" t="str">
        <f>VLOOKUP(N977,Sheet3!$B$4:$C$10,2,1)</f>
        <v>21-30</v>
      </c>
      <c r="AN977" s="13" t="str">
        <f>VLOOKUP(Z977,Sheet3!$F$4:$G$10,2,1)</f>
        <v>&lt; 5</v>
      </c>
      <c r="AO977" s="5" t="str">
        <f>VLOOKUP(AA977,Sheet3!$I$3:$J$16,2,1)</f>
        <v>140000-160000</v>
      </c>
      <c r="AP977" s="5" t="str">
        <f>VLOOKUP(AB977,Sheet3!$L$4:$M$14,2,1)</f>
        <v>5% - 10%</v>
      </c>
    </row>
    <row r="978">
      <c r="A978" s="6">
        <v>661971.0</v>
      </c>
      <c r="B978" s="1" t="s">
        <v>66</v>
      </c>
      <c r="C978" s="1" t="s">
        <v>9728</v>
      </c>
      <c r="D978" s="1" t="s">
        <v>529</v>
      </c>
      <c r="E978" s="1" t="s">
        <v>6681</v>
      </c>
      <c r="F978" s="1" t="s">
        <v>70</v>
      </c>
      <c r="G978" s="1" t="s">
        <v>9729</v>
      </c>
      <c r="H978" s="1" t="s">
        <v>8579</v>
      </c>
      <c r="I978" s="1" t="s">
        <v>9730</v>
      </c>
      <c r="J978" s="1" t="s">
        <v>9731</v>
      </c>
      <c r="K978" s="1" t="s">
        <v>615</v>
      </c>
      <c r="L978" s="14">
        <v>22802.0</v>
      </c>
      <c r="M978" s="8">
        <v>0.9440509259259259</v>
      </c>
      <c r="N978" s="6">
        <v>55.18</v>
      </c>
      <c r="O978" s="6">
        <v>59.0</v>
      </c>
      <c r="P978" s="14">
        <v>36289.0</v>
      </c>
      <c r="Q978" s="1" t="s">
        <v>75</v>
      </c>
      <c r="R978" s="1" t="s">
        <v>76</v>
      </c>
      <c r="S978" s="6">
        <v>1999.0</v>
      </c>
      <c r="T978" s="6">
        <v>5.0</v>
      </c>
      <c r="U978" s="1" t="s">
        <v>294</v>
      </c>
      <c r="V978" s="1" t="s">
        <v>294</v>
      </c>
      <c r="W978" s="6">
        <v>9.0</v>
      </c>
      <c r="X978" s="1" t="s">
        <v>534</v>
      </c>
      <c r="Y978" s="1" t="s">
        <v>535</v>
      </c>
      <c r="Z978" s="6">
        <v>18.23</v>
      </c>
      <c r="AA978" s="6">
        <v>154645.0</v>
      </c>
      <c r="AB978" s="10">
        <v>0.11</v>
      </c>
      <c r="AC978" s="1" t="s">
        <v>9732</v>
      </c>
      <c r="AD978" s="1" t="s">
        <v>9733</v>
      </c>
      <c r="AE978" s="1" t="s">
        <v>9734</v>
      </c>
      <c r="AF978" s="1" t="s">
        <v>9735</v>
      </c>
      <c r="AG978" s="1" t="s">
        <v>9734</v>
      </c>
      <c r="AH978" s="1" t="s">
        <v>811</v>
      </c>
      <c r="AI978" s="6">
        <v>39194.0</v>
      </c>
      <c r="AJ978" s="1" t="s">
        <v>106</v>
      </c>
      <c r="AK978" s="1" t="s">
        <v>9736</v>
      </c>
      <c r="AL978" s="1" t="s">
        <v>9737</v>
      </c>
      <c r="AM978" s="11" t="str">
        <f>VLOOKUP(N978,Sheet3!$B$4:$C$10,2,1)</f>
        <v>51-60</v>
      </c>
      <c r="AN978" s="12" t="str">
        <f>VLOOKUP(Z978,Sheet3!$F$4:$G$10,2,1)</f>
        <v>11-20</v>
      </c>
      <c r="AO978" s="5" t="str">
        <f>VLOOKUP(AA978,Sheet3!$I$3:$J$16,2,1)</f>
        <v>140000-160000</v>
      </c>
      <c r="AP978" s="5" t="str">
        <f>VLOOKUP(AB978,Sheet3!$L$4:$M$14,2,1)</f>
        <v>11% - 15%</v>
      </c>
    </row>
    <row r="979">
      <c r="A979" s="6">
        <v>537235.0</v>
      </c>
      <c r="B979" s="1" t="s">
        <v>42</v>
      </c>
      <c r="C979" s="1" t="s">
        <v>9738</v>
      </c>
      <c r="D979" s="1" t="s">
        <v>70</v>
      </c>
      <c r="E979" s="1" t="s">
        <v>7751</v>
      </c>
      <c r="F979" s="1" t="s">
        <v>46</v>
      </c>
      <c r="G979" s="1" t="s">
        <v>9739</v>
      </c>
      <c r="H979" s="1" t="s">
        <v>8579</v>
      </c>
      <c r="I979" s="1" t="s">
        <v>9740</v>
      </c>
      <c r="J979" s="1" t="s">
        <v>9741</v>
      </c>
      <c r="K979" s="1" t="s">
        <v>6671</v>
      </c>
      <c r="L979" s="9">
        <v>31279.0</v>
      </c>
      <c r="M979" s="8">
        <v>0.4977199074074074</v>
      </c>
      <c r="N979" s="6">
        <v>31.96</v>
      </c>
      <c r="O979" s="6">
        <v>47.0</v>
      </c>
      <c r="P979" s="14">
        <v>41161.0</v>
      </c>
      <c r="Q979" s="1" t="s">
        <v>308</v>
      </c>
      <c r="R979" s="1" t="s">
        <v>53</v>
      </c>
      <c r="S979" s="6">
        <v>2012.0</v>
      </c>
      <c r="T979" s="6">
        <v>9.0</v>
      </c>
      <c r="U979" s="1" t="s">
        <v>309</v>
      </c>
      <c r="V979" s="1" t="s">
        <v>310</v>
      </c>
      <c r="W979" s="6">
        <v>9.0</v>
      </c>
      <c r="X979" s="1" t="s">
        <v>534</v>
      </c>
      <c r="Y979" s="1" t="s">
        <v>535</v>
      </c>
      <c r="Z979" s="6">
        <v>4.88</v>
      </c>
      <c r="AA979" s="6">
        <v>191484.0</v>
      </c>
      <c r="AB979" s="10">
        <v>0.29</v>
      </c>
      <c r="AC979" s="1" t="s">
        <v>9742</v>
      </c>
      <c r="AD979" s="1" t="s">
        <v>9743</v>
      </c>
      <c r="AE979" s="1" t="s">
        <v>635</v>
      </c>
      <c r="AF979" s="1" t="s">
        <v>3365</v>
      </c>
      <c r="AG979" s="1" t="s">
        <v>635</v>
      </c>
      <c r="AH979" s="1" t="s">
        <v>1344</v>
      </c>
      <c r="AI979" s="6">
        <v>6468.0</v>
      </c>
      <c r="AJ979" s="1" t="s">
        <v>224</v>
      </c>
      <c r="AK979" s="1" t="s">
        <v>9744</v>
      </c>
      <c r="AL979" s="1" t="s">
        <v>9745</v>
      </c>
      <c r="AM979" s="11" t="str">
        <f>VLOOKUP(N979,Sheet3!$B$4:$C$10,2,1)</f>
        <v>31-40</v>
      </c>
      <c r="AN979" s="13" t="str">
        <f>VLOOKUP(Z979,Sheet3!$F$4:$G$10,2,1)</f>
        <v>&lt; 5</v>
      </c>
      <c r="AO979" s="5" t="str">
        <f>VLOOKUP(AA979,Sheet3!$I$3:$J$16,2,1)</f>
        <v>180000-200000</v>
      </c>
      <c r="AP979" s="5" t="str">
        <f>VLOOKUP(AB979,Sheet3!$L$4:$M$14,2,1)</f>
        <v>26% - 30%</v>
      </c>
    </row>
    <row r="980">
      <c r="A980" s="6">
        <v>712170.0</v>
      </c>
      <c r="B980" s="1" t="s">
        <v>66</v>
      </c>
      <c r="C980" s="1" t="s">
        <v>9746</v>
      </c>
      <c r="D980" s="1" t="s">
        <v>861</v>
      </c>
      <c r="E980" s="1" t="s">
        <v>8156</v>
      </c>
      <c r="F980" s="1" t="s">
        <v>70</v>
      </c>
      <c r="G980" s="1" t="s">
        <v>9747</v>
      </c>
      <c r="H980" s="1" t="s">
        <v>8579</v>
      </c>
      <c r="I980" s="1" t="s">
        <v>9748</v>
      </c>
      <c r="J980" s="1" t="s">
        <v>9749</v>
      </c>
      <c r="K980" s="1" t="s">
        <v>3461</v>
      </c>
      <c r="L980" s="9">
        <v>34685.0</v>
      </c>
      <c r="M980" s="8">
        <v>0.05831018518518519</v>
      </c>
      <c r="N980" s="6">
        <v>22.63</v>
      </c>
      <c r="O980" s="6">
        <v>90.0</v>
      </c>
      <c r="P980" s="14">
        <v>42917.0</v>
      </c>
      <c r="Q980" s="1" t="s">
        <v>308</v>
      </c>
      <c r="R980" s="1" t="s">
        <v>53</v>
      </c>
      <c r="S980" s="6">
        <v>2017.0</v>
      </c>
      <c r="T980" s="6">
        <v>7.0</v>
      </c>
      <c r="U980" s="1" t="s">
        <v>366</v>
      </c>
      <c r="V980" s="1" t="s">
        <v>367</v>
      </c>
      <c r="W980" s="6">
        <v>1.0</v>
      </c>
      <c r="X980" s="1" t="s">
        <v>56</v>
      </c>
      <c r="Y980" s="1" t="s">
        <v>57</v>
      </c>
      <c r="Z980" s="6">
        <v>0.07</v>
      </c>
      <c r="AA980" s="6">
        <v>40096.0</v>
      </c>
      <c r="AB980" s="10">
        <v>0.21</v>
      </c>
      <c r="AC980" s="1" t="s">
        <v>9750</v>
      </c>
      <c r="AD980" s="1" t="s">
        <v>9751</v>
      </c>
      <c r="AE980" s="1" t="s">
        <v>9752</v>
      </c>
      <c r="AF980" s="1" t="s">
        <v>1390</v>
      </c>
      <c r="AG980" s="1" t="s">
        <v>9752</v>
      </c>
      <c r="AH980" s="1" t="s">
        <v>210</v>
      </c>
      <c r="AI980" s="6">
        <v>61468.0</v>
      </c>
      <c r="AJ980" s="1" t="s">
        <v>86</v>
      </c>
      <c r="AK980" s="1" t="s">
        <v>9753</v>
      </c>
      <c r="AL980" s="1" t="s">
        <v>9754</v>
      </c>
      <c r="AM980" s="11" t="str">
        <f>VLOOKUP(N980,Sheet3!$B$4:$C$10,2,1)</f>
        <v>21-30</v>
      </c>
      <c r="AN980" s="13" t="str">
        <f>VLOOKUP(Z980,Sheet3!$F$4:$G$10,2,1)</f>
        <v>&lt; 5</v>
      </c>
      <c r="AO980" s="5" t="str">
        <f>VLOOKUP(AA980,Sheet3!$I$3:$J$16,2,1)</f>
        <v>40000-60000</v>
      </c>
      <c r="AP980" s="5" t="str">
        <f>VLOOKUP(AB980,Sheet3!$L$4:$M$14,2,1)</f>
        <v>21% - 25%</v>
      </c>
    </row>
    <row r="981">
      <c r="A981" s="6">
        <v>285184.0</v>
      </c>
      <c r="B981" s="1" t="s">
        <v>109</v>
      </c>
      <c r="C981" s="1" t="s">
        <v>9755</v>
      </c>
      <c r="D981" s="1" t="s">
        <v>242</v>
      </c>
      <c r="E981" s="1" t="s">
        <v>1456</v>
      </c>
      <c r="F981" s="1" t="s">
        <v>46</v>
      </c>
      <c r="G981" s="1" t="s">
        <v>9756</v>
      </c>
      <c r="H981" s="1" t="s">
        <v>8579</v>
      </c>
      <c r="I981" s="1" t="s">
        <v>9757</v>
      </c>
      <c r="J981" s="1" t="s">
        <v>9758</v>
      </c>
      <c r="K981" s="1" t="s">
        <v>6515</v>
      </c>
      <c r="L981" s="9">
        <v>28633.0</v>
      </c>
      <c r="M981" s="8">
        <v>0.6195717592592592</v>
      </c>
      <c r="N981" s="6">
        <v>39.21</v>
      </c>
      <c r="O981" s="6">
        <v>60.0</v>
      </c>
      <c r="P981" s="14">
        <v>39853.0</v>
      </c>
      <c r="Q981" s="1" t="s">
        <v>96</v>
      </c>
      <c r="R981" s="1" t="s">
        <v>76</v>
      </c>
      <c r="S981" s="6">
        <v>2009.0</v>
      </c>
      <c r="T981" s="6">
        <v>2.0</v>
      </c>
      <c r="U981" s="1" t="s">
        <v>117</v>
      </c>
      <c r="V981" s="1" t="s">
        <v>118</v>
      </c>
      <c r="W981" s="6">
        <v>9.0</v>
      </c>
      <c r="X981" s="1" t="s">
        <v>99</v>
      </c>
      <c r="Y981" s="1" t="s">
        <v>100</v>
      </c>
      <c r="Z981" s="6">
        <v>8.47</v>
      </c>
      <c r="AA981" s="6">
        <v>46866.0</v>
      </c>
      <c r="AB981" s="10">
        <v>0.09</v>
      </c>
      <c r="AC981" s="1" t="s">
        <v>9759</v>
      </c>
      <c r="AD981" s="1" t="s">
        <v>9760</v>
      </c>
      <c r="AE981" s="1" t="s">
        <v>9761</v>
      </c>
      <c r="AF981" s="1" t="s">
        <v>4502</v>
      </c>
      <c r="AG981" s="1" t="s">
        <v>9761</v>
      </c>
      <c r="AH981" s="1" t="s">
        <v>2007</v>
      </c>
      <c r="AI981" s="6">
        <v>87750.0</v>
      </c>
      <c r="AJ981" s="1" t="s">
        <v>63</v>
      </c>
      <c r="AK981" s="1" t="s">
        <v>9762</v>
      </c>
      <c r="AL981" s="1" t="s">
        <v>9763</v>
      </c>
      <c r="AM981" s="11" t="str">
        <f>VLOOKUP(N981,Sheet3!$B$4:$C$10,2,1)</f>
        <v>31-40</v>
      </c>
      <c r="AN981" s="12" t="str">
        <f>VLOOKUP(Z981,Sheet3!$F$4:$G$10,2,1)</f>
        <v>5-10</v>
      </c>
      <c r="AO981" s="5" t="str">
        <f>VLOOKUP(AA981,Sheet3!$I$3:$J$16,2,1)</f>
        <v>40000-60000</v>
      </c>
      <c r="AP981" s="5" t="str">
        <f>VLOOKUP(AB981,Sheet3!$L$4:$M$14,2,1)</f>
        <v>5% - 10%</v>
      </c>
    </row>
    <row r="982">
      <c r="A982" s="6">
        <v>994907.0</v>
      </c>
      <c r="B982" s="1" t="s">
        <v>125</v>
      </c>
      <c r="C982" s="1" t="s">
        <v>9764</v>
      </c>
      <c r="D982" s="1" t="s">
        <v>127</v>
      </c>
      <c r="E982" s="1" t="s">
        <v>699</v>
      </c>
      <c r="F982" s="1" t="s">
        <v>46</v>
      </c>
      <c r="G982" s="1" t="s">
        <v>9765</v>
      </c>
      <c r="H982" s="1" t="s">
        <v>8579</v>
      </c>
      <c r="I982" s="1" t="s">
        <v>9766</v>
      </c>
      <c r="J982" s="1" t="s">
        <v>9767</v>
      </c>
      <c r="K982" s="1" t="s">
        <v>7513</v>
      </c>
      <c r="L982" s="9">
        <v>35239.0</v>
      </c>
      <c r="M982" s="8">
        <v>0.2821180555555556</v>
      </c>
      <c r="N982" s="6">
        <v>21.11</v>
      </c>
      <c r="O982" s="6">
        <v>45.0</v>
      </c>
      <c r="P982" s="9">
        <v>42909.0</v>
      </c>
      <c r="Q982" s="1" t="s">
        <v>75</v>
      </c>
      <c r="R982" s="1" t="s">
        <v>76</v>
      </c>
      <c r="S982" s="6">
        <v>2017.0</v>
      </c>
      <c r="T982" s="6">
        <v>6.0</v>
      </c>
      <c r="U982" s="1" t="s">
        <v>324</v>
      </c>
      <c r="V982" s="1" t="s">
        <v>325</v>
      </c>
      <c r="W982" s="6">
        <v>23.0</v>
      </c>
      <c r="X982" s="1" t="s">
        <v>263</v>
      </c>
      <c r="Y982" s="1" t="s">
        <v>264</v>
      </c>
      <c r="Z982" s="6">
        <v>0.1</v>
      </c>
      <c r="AA982" s="6">
        <v>198733.0</v>
      </c>
      <c r="AB982" s="10">
        <v>0.17</v>
      </c>
      <c r="AC982" s="1" t="s">
        <v>9768</v>
      </c>
      <c r="AD982" s="1" t="s">
        <v>9769</v>
      </c>
      <c r="AE982" s="1" t="s">
        <v>9770</v>
      </c>
      <c r="AF982" s="1" t="s">
        <v>4087</v>
      </c>
      <c r="AG982" s="1" t="s">
        <v>9770</v>
      </c>
      <c r="AH982" s="1" t="s">
        <v>488</v>
      </c>
      <c r="AI982" s="6">
        <v>32266.0</v>
      </c>
      <c r="AJ982" s="1" t="s">
        <v>106</v>
      </c>
      <c r="AK982" s="1" t="s">
        <v>9771</v>
      </c>
      <c r="AL982" s="1" t="s">
        <v>9772</v>
      </c>
      <c r="AM982" s="11" t="str">
        <f>VLOOKUP(N982,Sheet3!$B$4:$C$10,2,1)</f>
        <v>21-30</v>
      </c>
      <c r="AN982" s="13" t="str">
        <f>VLOOKUP(Z982,Sheet3!$F$4:$G$10,2,1)</f>
        <v>&lt; 5</v>
      </c>
      <c r="AO982" s="5" t="str">
        <f>VLOOKUP(AA982,Sheet3!$I$3:$J$16,2,1)</f>
        <v>180000-200000</v>
      </c>
      <c r="AP982" s="5" t="str">
        <f>VLOOKUP(AB982,Sheet3!$L$4:$M$14,2,1)</f>
        <v>16% - 20%</v>
      </c>
    </row>
    <row r="983">
      <c r="A983" s="6">
        <v>523887.0</v>
      </c>
      <c r="B983" s="1" t="s">
        <v>66</v>
      </c>
      <c r="C983" s="1" t="s">
        <v>1764</v>
      </c>
      <c r="D983" s="1" t="s">
        <v>127</v>
      </c>
      <c r="E983" s="1" t="s">
        <v>6778</v>
      </c>
      <c r="F983" s="1" t="s">
        <v>70</v>
      </c>
      <c r="G983" s="1" t="s">
        <v>9773</v>
      </c>
      <c r="H983" s="1" t="s">
        <v>8579</v>
      </c>
      <c r="I983" s="1" t="s">
        <v>9774</v>
      </c>
      <c r="J983" s="1" t="s">
        <v>9775</v>
      </c>
      <c r="K983" s="1" t="s">
        <v>509</v>
      </c>
      <c r="L983" s="14">
        <v>25112.0</v>
      </c>
      <c r="M983" s="8">
        <v>0.41606481481481483</v>
      </c>
      <c r="N983" s="6">
        <v>48.85</v>
      </c>
      <c r="O983" s="6">
        <v>61.0</v>
      </c>
      <c r="P983" s="9">
        <v>38346.0</v>
      </c>
      <c r="Q983" s="1" t="s">
        <v>52</v>
      </c>
      <c r="R983" s="1" t="s">
        <v>53</v>
      </c>
      <c r="S983" s="6">
        <v>2004.0</v>
      </c>
      <c r="T983" s="6">
        <v>12.0</v>
      </c>
      <c r="U983" s="1" t="s">
        <v>54</v>
      </c>
      <c r="V983" s="1" t="s">
        <v>55</v>
      </c>
      <c r="W983" s="6">
        <v>25.0</v>
      </c>
      <c r="X983" s="1" t="s">
        <v>56</v>
      </c>
      <c r="Y983" s="1" t="s">
        <v>57</v>
      </c>
      <c r="Z983" s="6">
        <v>12.6</v>
      </c>
      <c r="AA983" s="6">
        <v>176601.0</v>
      </c>
      <c r="AB983" s="10">
        <v>0.15</v>
      </c>
      <c r="AC983" s="1" t="s">
        <v>9776</v>
      </c>
      <c r="AD983" s="1" t="s">
        <v>9777</v>
      </c>
      <c r="AE983" s="1" t="s">
        <v>9778</v>
      </c>
      <c r="AF983" s="1" t="s">
        <v>9779</v>
      </c>
      <c r="AG983" s="1" t="s">
        <v>9778</v>
      </c>
      <c r="AH983" s="1" t="s">
        <v>974</v>
      </c>
      <c r="AI983" s="6">
        <v>45350.0</v>
      </c>
      <c r="AJ983" s="1" t="s">
        <v>86</v>
      </c>
      <c r="AK983" s="1" t="s">
        <v>9780</v>
      </c>
      <c r="AL983" s="1" t="s">
        <v>9781</v>
      </c>
      <c r="AM983" s="11" t="str">
        <f>VLOOKUP(N983,Sheet3!$B$4:$C$10,2,1)</f>
        <v>41-50</v>
      </c>
      <c r="AN983" s="12" t="str">
        <f>VLOOKUP(Z983,Sheet3!$F$4:$G$10,2,1)</f>
        <v>11-20</v>
      </c>
      <c r="AO983" s="5" t="str">
        <f>VLOOKUP(AA983,Sheet3!$I$3:$J$16,2,1)</f>
        <v>160000-180000</v>
      </c>
      <c r="AP983" s="5" t="str">
        <f>VLOOKUP(AB983,Sheet3!$L$4:$M$14,2,1)</f>
        <v>11% - 15%</v>
      </c>
    </row>
    <row r="984">
      <c r="A984" s="6">
        <v>684722.0</v>
      </c>
      <c r="B984" s="1" t="s">
        <v>66</v>
      </c>
      <c r="C984" s="1" t="s">
        <v>933</v>
      </c>
      <c r="D984" s="1" t="s">
        <v>334</v>
      </c>
      <c r="E984" s="1" t="s">
        <v>1229</v>
      </c>
      <c r="F984" s="1" t="s">
        <v>70</v>
      </c>
      <c r="G984" s="1" t="s">
        <v>9782</v>
      </c>
      <c r="H984" s="1" t="s">
        <v>8579</v>
      </c>
      <c r="I984" s="1" t="s">
        <v>9783</v>
      </c>
      <c r="J984" s="1" t="s">
        <v>9784</v>
      </c>
      <c r="K984" s="1" t="s">
        <v>9785</v>
      </c>
      <c r="L984" s="9">
        <v>26690.0</v>
      </c>
      <c r="M984" s="8">
        <v>0.7952430555555555</v>
      </c>
      <c r="N984" s="6">
        <v>44.53</v>
      </c>
      <c r="O984" s="6">
        <v>64.0</v>
      </c>
      <c r="P984" s="9">
        <v>41941.0</v>
      </c>
      <c r="Q984" s="1" t="s">
        <v>52</v>
      </c>
      <c r="R984" s="1" t="s">
        <v>53</v>
      </c>
      <c r="S984" s="6">
        <v>2014.0</v>
      </c>
      <c r="T984" s="6">
        <v>10.0</v>
      </c>
      <c r="U984" s="1" t="s">
        <v>133</v>
      </c>
      <c r="V984" s="1" t="s">
        <v>134</v>
      </c>
      <c r="W984" s="6">
        <v>29.0</v>
      </c>
      <c r="X984" s="1" t="s">
        <v>278</v>
      </c>
      <c r="Y984" s="1" t="s">
        <v>279</v>
      </c>
      <c r="Z984" s="6">
        <v>2.75</v>
      </c>
      <c r="AA984" s="6">
        <v>92597.0</v>
      </c>
      <c r="AB984" s="10">
        <v>0.28</v>
      </c>
      <c r="AC984" s="1" t="s">
        <v>9786</v>
      </c>
      <c r="AD984" s="1" t="s">
        <v>9787</v>
      </c>
      <c r="AE984" s="1" t="s">
        <v>8582</v>
      </c>
      <c r="AF984" s="1" t="s">
        <v>914</v>
      </c>
      <c r="AG984" s="1" t="s">
        <v>8582</v>
      </c>
      <c r="AH984" s="1" t="s">
        <v>893</v>
      </c>
      <c r="AI984" s="6">
        <v>27527.0</v>
      </c>
      <c r="AJ984" s="1" t="s">
        <v>106</v>
      </c>
      <c r="AK984" s="1" t="s">
        <v>9788</v>
      </c>
      <c r="AL984" s="1" t="s">
        <v>9789</v>
      </c>
      <c r="AM984" s="11" t="str">
        <f>VLOOKUP(N984,Sheet3!$B$4:$C$10,2,1)</f>
        <v>41-50</v>
      </c>
      <c r="AN984" s="13" t="str">
        <f>VLOOKUP(Z984,Sheet3!$F$4:$G$10,2,1)</f>
        <v>&lt; 5</v>
      </c>
      <c r="AO984" s="5" t="str">
        <f>VLOOKUP(AA984,Sheet3!$I$3:$J$16,2,1)</f>
        <v>80000-100000</v>
      </c>
      <c r="AP984" s="5" t="str">
        <f>VLOOKUP(AB984,Sheet3!$L$4:$M$14,2,1)</f>
        <v>26% - 30%</v>
      </c>
    </row>
    <row r="985">
      <c r="A985" s="6">
        <v>792224.0</v>
      </c>
      <c r="B985" s="1" t="s">
        <v>66</v>
      </c>
      <c r="C985" s="1" t="s">
        <v>1940</v>
      </c>
      <c r="D985" s="1" t="s">
        <v>403</v>
      </c>
      <c r="E985" s="1" t="s">
        <v>9790</v>
      </c>
      <c r="F985" s="1" t="s">
        <v>70</v>
      </c>
      <c r="G985" s="1" t="s">
        <v>9791</v>
      </c>
      <c r="H985" s="1" t="s">
        <v>8579</v>
      </c>
      <c r="I985" s="1" t="s">
        <v>9792</v>
      </c>
      <c r="J985" s="1" t="s">
        <v>9793</v>
      </c>
      <c r="K985" s="1" t="s">
        <v>9794</v>
      </c>
      <c r="L985" s="14">
        <v>28318.0</v>
      </c>
      <c r="M985" s="8">
        <v>0.028136574074074074</v>
      </c>
      <c r="N985" s="6">
        <v>40.07</v>
      </c>
      <c r="O985" s="6">
        <v>69.0</v>
      </c>
      <c r="P985" s="9">
        <v>41574.0</v>
      </c>
      <c r="Q985" s="1" t="s">
        <v>52</v>
      </c>
      <c r="R985" s="1" t="s">
        <v>53</v>
      </c>
      <c r="S985" s="6">
        <v>2013.0</v>
      </c>
      <c r="T985" s="6">
        <v>10.0</v>
      </c>
      <c r="U985" s="1" t="s">
        <v>133</v>
      </c>
      <c r="V985" s="1" t="s">
        <v>134</v>
      </c>
      <c r="W985" s="6">
        <v>27.0</v>
      </c>
      <c r="X985" s="1" t="s">
        <v>534</v>
      </c>
      <c r="Y985" s="1" t="s">
        <v>535</v>
      </c>
      <c r="Z985" s="6">
        <v>3.75</v>
      </c>
      <c r="AA985" s="6">
        <v>65809.0</v>
      </c>
      <c r="AB985" s="10">
        <v>0.16</v>
      </c>
      <c r="AC985" s="1" t="s">
        <v>9795</v>
      </c>
      <c r="AD985" s="1" t="s">
        <v>9796</v>
      </c>
      <c r="AE985" s="1" t="s">
        <v>9797</v>
      </c>
      <c r="AF985" s="1" t="s">
        <v>2335</v>
      </c>
      <c r="AG985" s="1" t="s">
        <v>9797</v>
      </c>
      <c r="AH985" s="1" t="s">
        <v>1413</v>
      </c>
      <c r="AI985" s="6">
        <v>80420.0</v>
      </c>
      <c r="AJ985" s="1" t="s">
        <v>63</v>
      </c>
      <c r="AK985" s="1" t="s">
        <v>9798</v>
      </c>
      <c r="AL985" s="1" t="s">
        <v>9799</v>
      </c>
      <c r="AM985" s="11" t="str">
        <f>VLOOKUP(N985,Sheet3!$B$4:$C$10,2,1)</f>
        <v>31-40</v>
      </c>
      <c r="AN985" s="13" t="str">
        <f>VLOOKUP(Z985,Sheet3!$F$4:$G$10,2,1)</f>
        <v>&lt; 5</v>
      </c>
      <c r="AO985" s="5" t="str">
        <f>VLOOKUP(AA985,Sheet3!$I$3:$J$16,2,1)</f>
        <v>60000-80000</v>
      </c>
      <c r="AP985" s="5" t="str">
        <f>VLOOKUP(AB985,Sheet3!$L$4:$M$14,2,1)</f>
        <v>16% - 20%</v>
      </c>
    </row>
    <row r="986">
      <c r="A986" s="6">
        <v>199699.0</v>
      </c>
      <c r="B986" s="1" t="s">
        <v>227</v>
      </c>
      <c r="C986" s="1" t="s">
        <v>5242</v>
      </c>
      <c r="D986" s="1" t="s">
        <v>44</v>
      </c>
      <c r="E986" s="1" t="s">
        <v>2999</v>
      </c>
      <c r="F986" s="1" t="s">
        <v>70</v>
      </c>
      <c r="G986" s="1" t="s">
        <v>9800</v>
      </c>
      <c r="H986" s="1" t="s">
        <v>8579</v>
      </c>
      <c r="I986" s="1" t="s">
        <v>9801</v>
      </c>
      <c r="J986" s="1" t="s">
        <v>9802</v>
      </c>
      <c r="K986" s="1" t="s">
        <v>2550</v>
      </c>
      <c r="L986" s="9">
        <v>22294.0</v>
      </c>
      <c r="M986" s="8">
        <v>0.8490393518518519</v>
      </c>
      <c r="N986" s="6">
        <v>56.58</v>
      </c>
      <c r="O986" s="6">
        <v>67.0</v>
      </c>
      <c r="P986" s="9">
        <v>38891.0</v>
      </c>
      <c r="Q986" s="1" t="s">
        <v>75</v>
      </c>
      <c r="R986" s="1" t="s">
        <v>76</v>
      </c>
      <c r="S986" s="6">
        <v>2006.0</v>
      </c>
      <c r="T986" s="6">
        <v>6.0</v>
      </c>
      <c r="U986" s="1" t="s">
        <v>324</v>
      </c>
      <c r="V986" s="1" t="s">
        <v>325</v>
      </c>
      <c r="W986" s="6">
        <v>23.0</v>
      </c>
      <c r="X986" s="1" t="s">
        <v>263</v>
      </c>
      <c r="Y986" s="1" t="s">
        <v>264</v>
      </c>
      <c r="Z986" s="6">
        <v>11.1</v>
      </c>
      <c r="AA986" s="6">
        <v>132568.0</v>
      </c>
      <c r="AB986" s="10">
        <v>0.21</v>
      </c>
      <c r="AC986" s="1" t="s">
        <v>9803</v>
      </c>
      <c r="AD986" s="1" t="s">
        <v>9804</v>
      </c>
      <c r="AE986" s="1" t="s">
        <v>9805</v>
      </c>
      <c r="AF986" s="1" t="s">
        <v>3026</v>
      </c>
      <c r="AG986" s="1" t="s">
        <v>9805</v>
      </c>
      <c r="AH986" s="1" t="s">
        <v>811</v>
      </c>
      <c r="AI986" s="6">
        <v>38878.0</v>
      </c>
      <c r="AJ986" s="1" t="s">
        <v>106</v>
      </c>
      <c r="AK986" s="1" t="s">
        <v>9806</v>
      </c>
      <c r="AL986" s="1" t="s">
        <v>9807</v>
      </c>
      <c r="AM986" s="11" t="str">
        <f>VLOOKUP(N986,Sheet3!$B$4:$C$10,2,1)</f>
        <v>51-60</v>
      </c>
      <c r="AN986" s="12" t="str">
        <f>VLOOKUP(Z986,Sheet3!$F$4:$G$10,2,1)</f>
        <v>11-20</v>
      </c>
      <c r="AO986" s="5" t="str">
        <f>VLOOKUP(AA986,Sheet3!$I$3:$J$16,2,1)</f>
        <v>120000-140000</v>
      </c>
      <c r="AP986" s="5" t="str">
        <f>VLOOKUP(AB986,Sheet3!$L$4:$M$14,2,1)</f>
        <v>21% - 25%</v>
      </c>
    </row>
    <row r="987">
      <c r="A987" s="6">
        <v>953997.0</v>
      </c>
      <c r="B987" s="1" t="s">
        <v>66</v>
      </c>
      <c r="C987" s="1" t="s">
        <v>1967</v>
      </c>
      <c r="D987" s="1" t="s">
        <v>46</v>
      </c>
      <c r="E987" s="1" t="s">
        <v>9808</v>
      </c>
      <c r="F987" s="1" t="s">
        <v>70</v>
      </c>
      <c r="G987" s="1" t="s">
        <v>9809</v>
      </c>
      <c r="H987" s="1" t="s">
        <v>8579</v>
      </c>
      <c r="I987" s="1" t="s">
        <v>9810</v>
      </c>
      <c r="J987" s="1" t="s">
        <v>9811</v>
      </c>
      <c r="K987" s="1" t="s">
        <v>692</v>
      </c>
      <c r="L987" s="9">
        <v>31185.0</v>
      </c>
      <c r="M987" s="8">
        <v>0.35552083333333334</v>
      </c>
      <c r="N987" s="6">
        <v>32.22</v>
      </c>
      <c r="O987" s="6">
        <v>87.0</v>
      </c>
      <c r="P987" s="14">
        <v>41316.0</v>
      </c>
      <c r="Q987" s="1" t="s">
        <v>96</v>
      </c>
      <c r="R987" s="1" t="s">
        <v>76</v>
      </c>
      <c r="S987" s="6">
        <v>2013.0</v>
      </c>
      <c r="T987" s="6">
        <v>2.0</v>
      </c>
      <c r="U987" s="1" t="s">
        <v>117</v>
      </c>
      <c r="V987" s="1" t="s">
        <v>118</v>
      </c>
      <c r="W987" s="6">
        <v>11.0</v>
      </c>
      <c r="X987" s="1" t="s">
        <v>99</v>
      </c>
      <c r="Y987" s="1" t="s">
        <v>100</v>
      </c>
      <c r="Z987" s="6">
        <v>4.46</v>
      </c>
      <c r="AA987" s="6">
        <v>123103.0</v>
      </c>
      <c r="AB987" s="10">
        <v>0.03</v>
      </c>
      <c r="AC987" s="1" t="s">
        <v>9812</v>
      </c>
      <c r="AD987" s="1" t="s">
        <v>9813</v>
      </c>
      <c r="AE987" s="1" t="s">
        <v>9814</v>
      </c>
      <c r="AF987" s="1" t="s">
        <v>1593</v>
      </c>
      <c r="AG987" s="1" t="s">
        <v>9814</v>
      </c>
      <c r="AH987" s="1" t="s">
        <v>974</v>
      </c>
      <c r="AI987" s="6">
        <v>45683.0</v>
      </c>
      <c r="AJ987" s="1" t="s">
        <v>86</v>
      </c>
      <c r="AK987" s="1" t="s">
        <v>9815</v>
      </c>
      <c r="AL987" s="1" t="s">
        <v>9816</v>
      </c>
      <c r="AM987" s="11" t="str">
        <f>VLOOKUP(N987,Sheet3!$B$4:$C$10,2,1)</f>
        <v>31-40</v>
      </c>
      <c r="AN987" s="13" t="str">
        <f>VLOOKUP(Z987,Sheet3!$F$4:$G$10,2,1)</f>
        <v>&lt; 5</v>
      </c>
      <c r="AO987" s="5" t="str">
        <f>VLOOKUP(AA987,Sheet3!$I$3:$J$16,2,1)</f>
        <v>120000-140000</v>
      </c>
      <c r="AP987" s="5" t="str">
        <f>VLOOKUP(AB987,Sheet3!$L$4:$M$14,2,1)</f>
        <v>&lt; 5%</v>
      </c>
    </row>
    <row r="988">
      <c r="A988" s="6">
        <v>149818.0</v>
      </c>
      <c r="B988" s="1" t="s">
        <v>109</v>
      </c>
      <c r="C988" s="1" t="s">
        <v>2019</v>
      </c>
      <c r="D988" s="1" t="s">
        <v>68</v>
      </c>
      <c r="E988" s="1" t="s">
        <v>509</v>
      </c>
      <c r="F988" s="1" t="s">
        <v>46</v>
      </c>
      <c r="G988" s="1" t="s">
        <v>9817</v>
      </c>
      <c r="H988" s="1" t="s">
        <v>8579</v>
      </c>
      <c r="I988" s="1" t="s">
        <v>9818</v>
      </c>
      <c r="J988" s="1" t="s">
        <v>9819</v>
      </c>
      <c r="K988" s="1" t="s">
        <v>2290</v>
      </c>
      <c r="L988" s="14">
        <v>31423.0</v>
      </c>
      <c r="M988" s="8">
        <v>0.9778356481481482</v>
      </c>
      <c r="N988" s="6">
        <v>31.56</v>
      </c>
      <c r="O988" s="6">
        <v>43.0</v>
      </c>
      <c r="P988" s="9">
        <v>42544.0</v>
      </c>
      <c r="Q988" s="1" t="s">
        <v>75</v>
      </c>
      <c r="R988" s="1" t="s">
        <v>76</v>
      </c>
      <c r="S988" s="6">
        <v>2016.0</v>
      </c>
      <c r="T988" s="6">
        <v>6.0</v>
      </c>
      <c r="U988" s="1" t="s">
        <v>324</v>
      </c>
      <c r="V988" s="1" t="s">
        <v>325</v>
      </c>
      <c r="W988" s="6">
        <v>23.0</v>
      </c>
      <c r="X988" s="1" t="s">
        <v>150</v>
      </c>
      <c r="Y988" s="1" t="s">
        <v>151</v>
      </c>
      <c r="Z988" s="6">
        <v>1.1</v>
      </c>
      <c r="AA988" s="6">
        <v>89068.0</v>
      </c>
      <c r="AB988" s="10">
        <v>0.12</v>
      </c>
      <c r="AC988" s="1" t="s">
        <v>9820</v>
      </c>
      <c r="AD988" s="1" t="s">
        <v>9821</v>
      </c>
      <c r="AE988" s="1" t="s">
        <v>9822</v>
      </c>
      <c r="AF988" s="1" t="s">
        <v>5294</v>
      </c>
      <c r="AG988" s="1" t="s">
        <v>9822</v>
      </c>
      <c r="AH988" s="1" t="s">
        <v>882</v>
      </c>
      <c r="AI988" s="6">
        <v>31548.0</v>
      </c>
      <c r="AJ988" s="1" t="s">
        <v>106</v>
      </c>
      <c r="AK988" s="1" t="s">
        <v>9823</v>
      </c>
      <c r="AL988" s="1" t="s">
        <v>9824</v>
      </c>
      <c r="AM988" s="11" t="str">
        <f>VLOOKUP(N988,Sheet3!$B$4:$C$10,2,1)</f>
        <v>31-40</v>
      </c>
      <c r="AN988" s="13" t="str">
        <f>VLOOKUP(Z988,Sheet3!$F$4:$G$10,2,1)</f>
        <v>&lt; 5</v>
      </c>
      <c r="AO988" s="5" t="str">
        <f>VLOOKUP(AA988,Sheet3!$I$3:$J$16,2,1)</f>
        <v>80000-100000</v>
      </c>
      <c r="AP988" s="5" t="str">
        <f>VLOOKUP(AB988,Sheet3!$L$4:$M$14,2,1)</f>
        <v>11% - 15%</v>
      </c>
    </row>
    <row r="989">
      <c r="A989" s="6">
        <v>352882.0</v>
      </c>
      <c r="B989" s="1" t="s">
        <v>255</v>
      </c>
      <c r="C989" s="1" t="s">
        <v>6983</v>
      </c>
      <c r="D989" s="1" t="s">
        <v>554</v>
      </c>
      <c r="E989" s="1" t="s">
        <v>5387</v>
      </c>
      <c r="F989" s="1" t="s">
        <v>70</v>
      </c>
      <c r="G989" s="1" t="s">
        <v>9825</v>
      </c>
      <c r="H989" s="1" t="s">
        <v>8579</v>
      </c>
      <c r="I989" s="1" t="s">
        <v>9826</v>
      </c>
      <c r="J989" s="1" t="s">
        <v>9827</v>
      </c>
      <c r="K989" s="1" t="s">
        <v>1844</v>
      </c>
      <c r="L989" s="9">
        <v>34448.0</v>
      </c>
      <c r="M989" s="8">
        <v>0.7021412037037037</v>
      </c>
      <c r="N989" s="6">
        <v>23.28</v>
      </c>
      <c r="O989" s="6">
        <v>78.0</v>
      </c>
      <c r="P989" s="14">
        <v>42615.0</v>
      </c>
      <c r="Q989" s="1" t="s">
        <v>308</v>
      </c>
      <c r="R989" s="1" t="s">
        <v>53</v>
      </c>
      <c r="S989" s="6">
        <v>2016.0</v>
      </c>
      <c r="T989" s="6">
        <v>9.0</v>
      </c>
      <c r="U989" s="1" t="s">
        <v>309</v>
      </c>
      <c r="V989" s="1" t="s">
        <v>310</v>
      </c>
      <c r="W989" s="6">
        <v>2.0</v>
      </c>
      <c r="X989" s="1" t="s">
        <v>263</v>
      </c>
      <c r="Y989" s="1" t="s">
        <v>264</v>
      </c>
      <c r="Z989" s="6">
        <v>0.9</v>
      </c>
      <c r="AA989" s="6">
        <v>128467.0</v>
      </c>
      <c r="AB989" s="10">
        <v>0.05</v>
      </c>
      <c r="AC989" s="1" t="s">
        <v>9828</v>
      </c>
      <c r="AD989" s="1" t="s">
        <v>9829</v>
      </c>
      <c r="AE989" s="1" t="s">
        <v>3577</v>
      </c>
      <c r="AF989" s="1" t="s">
        <v>1424</v>
      </c>
      <c r="AG989" s="1" t="s">
        <v>3577</v>
      </c>
      <c r="AH989" s="1" t="s">
        <v>1032</v>
      </c>
      <c r="AI989" s="6">
        <v>66201.0</v>
      </c>
      <c r="AJ989" s="1" t="s">
        <v>86</v>
      </c>
      <c r="AK989" s="1" t="s">
        <v>9830</v>
      </c>
      <c r="AL989" s="1" t="s">
        <v>9831</v>
      </c>
      <c r="AM989" s="11" t="str">
        <f>VLOOKUP(N989,Sheet3!$B$4:$C$10,2,1)</f>
        <v>21-30</v>
      </c>
      <c r="AN989" s="13" t="str">
        <f>VLOOKUP(Z989,Sheet3!$F$4:$G$10,2,1)</f>
        <v>&lt; 5</v>
      </c>
      <c r="AO989" s="5" t="str">
        <f>VLOOKUP(AA989,Sheet3!$I$3:$J$16,2,1)</f>
        <v>120000-140000</v>
      </c>
      <c r="AP989" s="5" t="str">
        <f>VLOOKUP(AB989,Sheet3!$L$4:$M$14,2,1)</f>
        <v>5% - 10%</v>
      </c>
    </row>
    <row r="990">
      <c r="A990" s="6">
        <v>760995.0</v>
      </c>
      <c r="B990" s="1" t="s">
        <v>66</v>
      </c>
      <c r="C990" s="1" t="s">
        <v>9832</v>
      </c>
      <c r="D990" s="1" t="s">
        <v>200</v>
      </c>
      <c r="E990" s="1" t="s">
        <v>9531</v>
      </c>
      <c r="F990" s="1" t="s">
        <v>70</v>
      </c>
      <c r="G990" s="1" t="s">
        <v>9833</v>
      </c>
      <c r="H990" s="1" t="s">
        <v>8579</v>
      </c>
      <c r="I990" s="1" t="s">
        <v>9834</v>
      </c>
      <c r="J990" s="1" t="s">
        <v>9835</v>
      </c>
      <c r="K990" s="1" t="s">
        <v>6328</v>
      </c>
      <c r="L990" s="9">
        <v>33994.0</v>
      </c>
      <c r="M990" s="8">
        <v>0.5381944444444444</v>
      </c>
      <c r="N990" s="6">
        <v>24.52</v>
      </c>
      <c r="O990" s="6">
        <v>60.0</v>
      </c>
      <c r="P990" s="9">
        <v>41726.0</v>
      </c>
      <c r="Q990" s="1" t="s">
        <v>96</v>
      </c>
      <c r="R990" s="1" t="s">
        <v>76</v>
      </c>
      <c r="S990" s="6">
        <v>2014.0</v>
      </c>
      <c r="T990" s="6">
        <v>3.0</v>
      </c>
      <c r="U990" s="1" t="s">
        <v>97</v>
      </c>
      <c r="V990" s="1" t="s">
        <v>98</v>
      </c>
      <c r="W990" s="6">
        <v>28.0</v>
      </c>
      <c r="X990" s="1" t="s">
        <v>263</v>
      </c>
      <c r="Y990" s="1" t="s">
        <v>264</v>
      </c>
      <c r="Z990" s="6">
        <v>3.34</v>
      </c>
      <c r="AA990" s="6">
        <v>148387.0</v>
      </c>
      <c r="AB990" s="10">
        <v>0.14</v>
      </c>
      <c r="AC990" s="1" t="s">
        <v>9836</v>
      </c>
      <c r="AD990" s="1" t="s">
        <v>9837</v>
      </c>
      <c r="AE990" s="1" t="s">
        <v>9838</v>
      </c>
      <c r="AF990" s="1" t="s">
        <v>2813</v>
      </c>
      <c r="AG990" s="1" t="s">
        <v>9838</v>
      </c>
      <c r="AH990" s="1" t="s">
        <v>525</v>
      </c>
      <c r="AI990" s="6">
        <v>71833.0</v>
      </c>
      <c r="AJ990" s="1" t="s">
        <v>106</v>
      </c>
      <c r="AK990" s="1" t="s">
        <v>9839</v>
      </c>
      <c r="AL990" s="1" t="s">
        <v>9840</v>
      </c>
      <c r="AM990" s="11" t="str">
        <f>VLOOKUP(N990,Sheet3!$B$4:$C$10,2,1)</f>
        <v>21-30</v>
      </c>
      <c r="AN990" s="13" t="str">
        <f>VLOOKUP(Z990,Sheet3!$F$4:$G$10,2,1)</f>
        <v>&lt; 5</v>
      </c>
      <c r="AO990" s="5" t="str">
        <f>VLOOKUP(AA990,Sheet3!$I$3:$J$16,2,1)</f>
        <v>140000-160000</v>
      </c>
      <c r="AP990" s="5" t="str">
        <f>VLOOKUP(AB990,Sheet3!$L$4:$M$14,2,1)</f>
        <v>11% - 15%</v>
      </c>
    </row>
    <row r="991">
      <c r="A991" s="6">
        <v>873626.0</v>
      </c>
      <c r="B991" s="1" t="s">
        <v>109</v>
      </c>
      <c r="C991" s="1" t="s">
        <v>7349</v>
      </c>
      <c r="D991" s="1" t="s">
        <v>683</v>
      </c>
      <c r="E991" s="1" t="s">
        <v>1004</v>
      </c>
      <c r="F991" s="1" t="s">
        <v>46</v>
      </c>
      <c r="G991" s="1" t="s">
        <v>9841</v>
      </c>
      <c r="H991" s="1" t="s">
        <v>8579</v>
      </c>
      <c r="I991" s="1" t="s">
        <v>9842</v>
      </c>
      <c r="J991" s="1" t="s">
        <v>9843</v>
      </c>
      <c r="K991" s="1" t="s">
        <v>361</v>
      </c>
      <c r="L991" s="14">
        <v>29958.0</v>
      </c>
      <c r="M991" s="8">
        <v>6.944444444444444E-5</v>
      </c>
      <c r="N991" s="6">
        <v>35.58</v>
      </c>
      <c r="O991" s="6">
        <v>43.0</v>
      </c>
      <c r="P991" s="9">
        <v>39411.0</v>
      </c>
      <c r="Q991" s="1" t="s">
        <v>52</v>
      </c>
      <c r="R991" s="1" t="s">
        <v>53</v>
      </c>
      <c r="S991" s="6">
        <v>2007.0</v>
      </c>
      <c r="T991" s="6">
        <v>11.0</v>
      </c>
      <c r="U991" s="1" t="s">
        <v>148</v>
      </c>
      <c r="V991" s="1" t="s">
        <v>149</v>
      </c>
      <c r="W991" s="6">
        <v>25.0</v>
      </c>
      <c r="X991" s="1" t="s">
        <v>534</v>
      </c>
      <c r="Y991" s="1" t="s">
        <v>535</v>
      </c>
      <c r="Z991" s="6">
        <v>9.68</v>
      </c>
      <c r="AA991" s="6">
        <v>144280.0</v>
      </c>
      <c r="AB991" s="10">
        <v>0.25</v>
      </c>
      <c r="AC991" s="1" t="s">
        <v>9844</v>
      </c>
      <c r="AD991" s="1" t="s">
        <v>9845</v>
      </c>
      <c r="AE991" s="1" t="s">
        <v>1523</v>
      </c>
      <c r="AF991" s="1" t="s">
        <v>6762</v>
      </c>
      <c r="AG991" s="1" t="s">
        <v>1523</v>
      </c>
      <c r="AH991" s="1" t="s">
        <v>563</v>
      </c>
      <c r="AI991" s="6">
        <v>25083.0</v>
      </c>
      <c r="AJ991" s="1" t="s">
        <v>106</v>
      </c>
      <c r="AK991" s="1" t="s">
        <v>9846</v>
      </c>
      <c r="AL991" s="1" t="s">
        <v>9847</v>
      </c>
      <c r="AM991" s="11" t="str">
        <f>VLOOKUP(N991,Sheet3!$B$4:$C$10,2,1)</f>
        <v>31-40</v>
      </c>
      <c r="AN991" s="12" t="str">
        <f>VLOOKUP(Z991,Sheet3!$F$4:$G$10,2,1)</f>
        <v>5-10</v>
      </c>
      <c r="AO991" s="5" t="str">
        <f>VLOOKUP(AA991,Sheet3!$I$3:$J$16,2,1)</f>
        <v>140000-160000</v>
      </c>
      <c r="AP991" s="5" t="str">
        <f>VLOOKUP(AB991,Sheet3!$L$4:$M$14,2,1)</f>
        <v>21% - 25%</v>
      </c>
    </row>
    <row r="992">
      <c r="A992" s="6">
        <v>247051.0</v>
      </c>
      <c r="B992" s="1" t="s">
        <v>42</v>
      </c>
      <c r="C992" s="1" t="s">
        <v>825</v>
      </c>
      <c r="D992" s="1" t="s">
        <v>683</v>
      </c>
      <c r="E992" s="1" t="s">
        <v>2363</v>
      </c>
      <c r="F992" s="1" t="s">
        <v>46</v>
      </c>
      <c r="G992" s="1" t="s">
        <v>9848</v>
      </c>
      <c r="H992" s="1" t="s">
        <v>8579</v>
      </c>
      <c r="I992" s="1" t="s">
        <v>9849</v>
      </c>
      <c r="J992" s="1" t="s">
        <v>9850</v>
      </c>
      <c r="K992" s="1" t="s">
        <v>4338</v>
      </c>
      <c r="L992" s="14">
        <v>29622.0</v>
      </c>
      <c r="M992" s="8">
        <v>0.4554050925925926</v>
      </c>
      <c r="N992" s="6">
        <v>36.5</v>
      </c>
      <c r="O992" s="6">
        <v>55.0</v>
      </c>
      <c r="P992" s="9">
        <v>40407.0</v>
      </c>
      <c r="Q992" s="1" t="s">
        <v>308</v>
      </c>
      <c r="R992" s="1" t="s">
        <v>53</v>
      </c>
      <c r="S992" s="6">
        <v>2010.0</v>
      </c>
      <c r="T992" s="6">
        <v>8.0</v>
      </c>
      <c r="U992" s="1" t="s">
        <v>433</v>
      </c>
      <c r="V992" s="1" t="s">
        <v>434</v>
      </c>
      <c r="W992" s="6">
        <v>17.0</v>
      </c>
      <c r="X992" s="1" t="s">
        <v>79</v>
      </c>
      <c r="Y992" s="1" t="s">
        <v>80</v>
      </c>
      <c r="Z992" s="6">
        <v>6.95</v>
      </c>
      <c r="AA992" s="6">
        <v>179637.0</v>
      </c>
      <c r="AB992" s="10">
        <v>0.05</v>
      </c>
      <c r="AC992" s="1" t="s">
        <v>9851</v>
      </c>
      <c r="AD992" s="1" t="s">
        <v>9852</v>
      </c>
      <c r="AE992" s="1" t="s">
        <v>9853</v>
      </c>
      <c r="AF992" s="1" t="s">
        <v>9854</v>
      </c>
      <c r="AG992" s="1" t="s">
        <v>9853</v>
      </c>
      <c r="AH992" s="1" t="s">
        <v>439</v>
      </c>
      <c r="AI992" s="6">
        <v>4456.0</v>
      </c>
      <c r="AJ992" s="1" t="s">
        <v>224</v>
      </c>
      <c r="AK992" s="1" t="s">
        <v>9855</v>
      </c>
      <c r="AL992" s="1" t="s">
        <v>9856</v>
      </c>
      <c r="AM992" s="11" t="str">
        <f>VLOOKUP(N992,Sheet3!$B$4:$C$10,2,1)</f>
        <v>31-40</v>
      </c>
      <c r="AN992" s="12" t="str">
        <f>VLOOKUP(Z992,Sheet3!$F$4:$G$10,2,1)</f>
        <v>5-10</v>
      </c>
      <c r="AO992" s="5" t="str">
        <f>VLOOKUP(AA992,Sheet3!$I$3:$J$16,2,1)</f>
        <v>160000-180000</v>
      </c>
      <c r="AP992" s="5" t="str">
        <f>VLOOKUP(AB992,Sheet3!$L$4:$M$14,2,1)</f>
        <v>5% - 10%</v>
      </c>
    </row>
    <row r="993">
      <c r="A993" s="6">
        <v>715045.0</v>
      </c>
      <c r="B993" s="1" t="s">
        <v>89</v>
      </c>
      <c r="C993" s="1" t="s">
        <v>9857</v>
      </c>
      <c r="D993" s="1" t="s">
        <v>389</v>
      </c>
      <c r="E993" s="1" t="s">
        <v>4338</v>
      </c>
      <c r="F993" s="1" t="s">
        <v>46</v>
      </c>
      <c r="G993" s="1" t="s">
        <v>9858</v>
      </c>
      <c r="H993" s="1" t="s">
        <v>8579</v>
      </c>
      <c r="I993" s="1" t="s">
        <v>9859</v>
      </c>
      <c r="J993" s="1" t="s">
        <v>9860</v>
      </c>
      <c r="K993" s="1" t="s">
        <v>365</v>
      </c>
      <c r="L993" s="7">
        <v>30265.0</v>
      </c>
      <c r="M993" s="8">
        <v>0.14622685185185186</v>
      </c>
      <c r="N993" s="6">
        <v>34.74</v>
      </c>
      <c r="O993" s="6">
        <v>45.0</v>
      </c>
      <c r="P993" s="9">
        <v>42784.0</v>
      </c>
      <c r="Q993" s="1" t="s">
        <v>96</v>
      </c>
      <c r="R993" s="1" t="s">
        <v>76</v>
      </c>
      <c r="S993" s="6">
        <v>2017.0</v>
      </c>
      <c r="T993" s="6">
        <v>2.0</v>
      </c>
      <c r="U993" s="1" t="s">
        <v>117</v>
      </c>
      <c r="V993" s="1" t="s">
        <v>118</v>
      </c>
      <c r="W993" s="6">
        <v>18.0</v>
      </c>
      <c r="X993" s="1" t="s">
        <v>56</v>
      </c>
      <c r="Y993" s="1" t="s">
        <v>57</v>
      </c>
      <c r="Z993" s="6">
        <v>0.44</v>
      </c>
      <c r="AA993" s="6">
        <v>74456.0</v>
      </c>
      <c r="AB993" s="10">
        <v>0.06</v>
      </c>
      <c r="AC993" s="1" t="s">
        <v>9861</v>
      </c>
      <c r="AD993" s="1" t="s">
        <v>9862</v>
      </c>
      <c r="AE993" s="1" t="s">
        <v>9863</v>
      </c>
      <c r="AF993" s="1" t="s">
        <v>2546</v>
      </c>
      <c r="AG993" s="1" t="s">
        <v>9863</v>
      </c>
      <c r="AH993" s="1" t="s">
        <v>525</v>
      </c>
      <c r="AI993" s="6">
        <v>72053.0</v>
      </c>
      <c r="AJ993" s="1" t="s">
        <v>106</v>
      </c>
      <c r="AK993" s="1" t="s">
        <v>9864</v>
      </c>
      <c r="AL993" s="1" t="s">
        <v>9865</v>
      </c>
      <c r="AM993" s="11" t="str">
        <f>VLOOKUP(N993,Sheet3!$B$4:$C$10,2,1)</f>
        <v>31-40</v>
      </c>
      <c r="AN993" s="13" t="str">
        <f>VLOOKUP(Z993,Sheet3!$F$4:$G$10,2,1)</f>
        <v>&lt; 5</v>
      </c>
      <c r="AO993" s="5" t="str">
        <f>VLOOKUP(AA993,Sheet3!$I$3:$J$16,2,1)</f>
        <v>60000-80000</v>
      </c>
      <c r="AP993" s="5" t="str">
        <f>VLOOKUP(AB993,Sheet3!$L$4:$M$14,2,1)</f>
        <v>5% - 10%</v>
      </c>
    </row>
    <row r="994">
      <c r="A994" s="6">
        <v>601808.0</v>
      </c>
      <c r="B994" s="1" t="s">
        <v>66</v>
      </c>
      <c r="C994" s="1" t="s">
        <v>9866</v>
      </c>
      <c r="D994" s="1" t="s">
        <v>318</v>
      </c>
      <c r="E994" s="1" t="s">
        <v>7607</v>
      </c>
      <c r="F994" s="1" t="s">
        <v>70</v>
      </c>
      <c r="G994" s="1" t="s">
        <v>9867</v>
      </c>
      <c r="H994" s="1" t="s">
        <v>8579</v>
      </c>
      <c r="I994" s="1" t="s">
        <v>9868</v>
      </c>
      <c r="J994" s="1" t="s">
        <v>9869</v>
      </c>
      <c r="K994" s="1" t="s">
        <v>2968</v>
      </c>
      <c r="L994" s="14">
        <v>33395.0</v>
      </c>
      <c r="M994" s="8">
        <v>0.5120486111111111</v>
      </c>
      <c r="N994" s="6">
        <v>26.16</v>
      </c>
      <c r="O994" s="6">
        <v>78.0</v>
      </c>
      <c r="P994" s="9">
        <v>42049.0</v>
      </c>
      <c r="Q994" s="1" t="s">
        <v>96</v>
      </c>
      <c r="R994" s="1" t="s">
        <v>76</v>
      </c>
      <c r="S994" s="6">
        <v>2015.0</v>
      </c>
      <c r="T994" s="6">
        <v>2.0</v>
      </c>
      <c r="U994" s="1" t="s">
        <v>117</v>
      </c>
      <c r="V994" s="1" t="s">
        <v>118</v>
      </c>
      <c r="W994" s="6">
        <v>14.0</v>
      </c>
      <c r="X994" s="1" t="s">
        <v>56</v>
      </c>
      <c r="Y994" s="1" t="s">
        <v>57</v>
      </c>
      <c r="Z994" s="6">
        <v>2.45</v>
      </c>
      <c r="AA994" s="6">
        <v>177331.0</v>
      </c>
      <c r="AB994" s="10">
        <v>0.17</v>
      </c>
      <c r="AC994" s="1" t="s">
        <v>9870</v>
      </c>
      <c r="AD994" s="1" t="s">
        <v>9871</v>
      </c>
      <c r="AE994" s="1" t="s">
        <v>9872</v>
      </c>
      <c r="AF994" s="1" t="s">
        <v>9873</v>
      </c>
      <c r="AG994" s="1" t="s">
        <v>9872</v>
      </c>
      <c r="AH994" s="1" t="s">
        <v>372</v>
      </c>
      <c r="AI994" s="6">
        <v>68326.0</v>
      </c>
      <c r="AJ994" s="1" t="s">
        <v>86</v>
      </c>
      <c r="AK994" s="1" t="s">
        <v>9874</v>
      </c>
      <c r="AL994" s="1" t="s">
        <v>9875</v>
      </c>
      <c r="AM994" s="11" t="str">
        <f>VLOOKUP(N994,Sheet3!$B$4:$C$10,2,1)</f>
        <v>21-30</v>
      </c>
      <c r="AN994" s="13" t="str">
        <f>VLOOKUP(Z994,Sheet3!$F$4:$G$10,2,1)</f>
        <v>&lt; 5</v>
      </c>
      <c r="AO994" s="5" t="str">
        <f>VLOOKUP(AA994,Sheet3!$I$3:$J$16,2,1)</f>
        <v>160000-180000</v>
      </c>
      <c r="AP994" s="5" t="str">
        <f>VLOOKUP(AB994,Sheet3!$L$4:$M$14,2,1)</f>
        <v>16% - 20%</v>
      </c>
    </row>
    <row r="995">
      <c r="A995" s="6">
        <v>569286.0</v>
      </c>
      <c r="B995" s="1" t="s">
        <v>66</v>
      </c>
      <c r="C995" s="1" t="s">
        <v>9876</v>
      </c>
      <c r="D995" s="1" t="s">
        <v>127</v>
      </c>
      <c r="E995" s="1" t="s">
        <v>5098</v>
      </c>
      <c r="F995" s="1" t="s">
        <v>70</v>
      </c>
      <c r="G995" s="1" t="s">
        <v>9877</v>
      </c>
      <c r="H995" s="1" t="s">
        <v>8579</v>
      </c>
      <c r="I995" s="1" t="s">
        <v>9878</v>
      </c>
      <c r="J995" s="1" t="s">
        <v>9879</v>
      </c>
      <c r="K995" s="1" t="s">
        <v>1027</v>
      </c>
      <c r="L995" s="9">
        <v>30585.0</v>
      </c>
      <c r="M995" s="8">
        <v>0.3878125</v>
      </c>
      <c r="N995" s="6">
        <v>33.86</v>
      </c>
      <c r="O995" s="6">
        <v>58.0</v>
      </c>
      <c r="P995" s="9">
        <v>39751.0</v>
      </c>
      <c r="Q995" s="1" t="s">
        <v>52</v>
      </c>
      <c r="R995" s="1" t="s">
        <v>53</v>
      </c>
      <c r="S995" s="6">
        <v>2008.0</v>
      </c>
      <c r="T995" s="6">
        <v>10.0</v>
      </c>
      <c r="U995" s="1" t="s">
        <v>133</v>
      </c>
      <c r="V995" s="1" t="s">
        <v>134</v>
      </c>
      <c r="W995" s="6">
        <v>30.0</v>
      </c>
      <c r="X995" s="1" t="s">
        <v>150</v>
      </c>
      <c r="Y995" s="1" t="s">
        <v>151</v>
      </c>
      <c r="Z995" s="6">
        <v>8.75</v>
      </c>
      <c r="AA995" s="6">
        <v>176707.0</v>
      </c>
      <c r="AB995" s="10">
        <v>0.0</v>
      </c>
      <c r="AC995" s="1" t="s">
        <v>9880</v>
      </c>
      <c r="AD995" s="1" t="s">
        <v>9881</v>
      </c>
      <c r="AE995" s="1" t="s">
        <v>9882</v>
      </c>
      <c r="AF995" s="1" t="s">
        <v>9883</v>
      </c>
      <c r="AG995" s="1" t="s">
        <v>9882</v>
      </c>
      <c r="AH995" s="1" t="s">
        <v>156</v>
      </c>
      <c r="AI995" s="6">
        <v>22402.0</v>
      </c>
      <c r="AJ995" s="1" t="s">
        <v>106</v>
      </c>
      <c r="AK995" s="1" t="s">
        <v>9884</v>
      </c>
      <c r="AL995" s="1" t="s">
        <v>9885</v>
      </c>
      <c r="AM995" s="11" t="str">
        <f>VLOOKUP(N995,Sheet3!$B$4:$C$10,2,1)</f>
        <v>31-40</v>
      </c>
      <c r="AN995" s="12" t="str">
        <f>VLOOKUP(Z995,Sheet3!$F$4:$G$10,2,1)</f>
        <v>5-10</v>
      </c>
      <c r="AO995" s="5" t="str">
        <f>VLOOKUP(AA995,Sheet3!$I$3:$J$16,2,1)</f>
        <v>160000-180000</v>
      </c>
      <c r="AP995" s="5" t="str">
        <f>VLOOKUP(AB995,Sheet3!$L$4:$M$14,2,1)</f>
        <v>&lt; 5%</v>
      </c>
    </row>
    <row r="996">
      <c r="A996" s="6">
        <v>172440.0</v>
      </c>
      <c r="B996" s="1" t="s">
        <v>255</v>
      </c>
      <c r="C996" s="1" t="s">
        <v>8662</v>
      </c>
      <c r="D996" s="1" t="s">
        <v>242</v>
      </c>
      <c r="E996" s="1" t="s">
        <v>3725</v>
      </c>
      <c r="F996" s="1" t="s">
        <v>70</v>
      </c>
      <c r="G996" s="1" t="s">
        <v>9886</v>
      </c>
      <c r="H996" s="1" t="s">
        <v>8579</v>
      </c>
      <c r="I996" s="1" t="s">
        <v>9887</v>
      </c>
      <c r="J996" s="1" t="s">
        <v>9888</v>
      </c>
      <c r="K996" s="1" t="s">
        <v>723</v>
      </c>
      <c r="L996" s="9">
        <v>32500.0</v>
      </c>
      <c r="M996" s="8">
        <v>0.41388888888888886</v>
      </c>
      <c r="N996" s="6">
        <v>28.61</v>
      </c>
      <c r="O996" s="6">
        <v>73.0</v>
      </c>
      <c r="P996" s="9">
        <v>42907.0</v>
      </c>
      <c r="Q996" s="1" t="s">
        <v>75</v>
      </c>
      <c r="R996" s="1" t="s">
        <v>76</v>
      </c>
      <c r="S996" s="6">
        <v>2017.0</v>
      </c>
      <c r="T996" s="6">
        <v>6.0</v>
      </c>
      <c r="U996" s="1" t="s">
        <v>324</v>
      </c>
      <c r="V996" s="1" t="s">
        <v>325</v>
      </c>
      <c r="W996" s="6">
        <v>21.0</v>
      </c>
      <c r="X996" s="1" t="s">
        <v>278</v>
      </c>
      <c r="Y996" s="1" t="s">
        <v>279</v>
      </c>
      <c r="Z996" s="6">
        <v>0.1</v>
      </c>
      <c r="AA996" s="6">
        <v>84585.0</v>
      </c>
      <c r="AB996" s="10">
        <v>0.07</v>
      </c>
      <c r="AC996" s="1" t="s">
        <v>9889</v>
      </c>
      <c r="AD996" s="1" t="s">
        <v>9890</v>
      </c>
      <c r="AE996" s="1" t="s">
        <v>9891</v>
      </c>
      <c r="AF996" s="1" t="s">
        <v>237</v>
      </c>
      <c r="AG996" s="1" t="s">
        <v>9891</v>
      </c>
      <c r="AH996" s="1" t="s">
        <v>238</v>
      </c>
      <c r="AI996" s="6">
        <v>91051.0</v>
      </c>
      <c r="AJ996" s="1" t="s">
        <v>63</v>
      </c>
      <c r="AK996" s="1" t="s">
        <v>9892</v>
      </c>
      <c r="AL996" s="1" t="s">
        <v>9893</v>
      </c>
      <c r="AM996" s="11" t="str">
        <f>VLOOKUP(N996,Sheet3!$B$4:$C$10,2,1)</f>
        <v>21-30</v>
      </c>
      <c r="AN996" s="13" t="str">
        <f>VLOOKUP(Z996,Sheet3!$F$4:$G$10,2,1)</f>
        <v>&lt; 5</v>
      </c>
      <c r="AO996" s="5" t="str">
        <f>VLOOKUP(AA996,Sheet3!$I$3:$J$16,2,1)</f>
        <v>80000-100000</v>
      </c>
      <c r="AP996" s="5" t="str">
        <f>VLOOKUP(AB996,Sheet3!$L$4:$M$14,2,1)</f>
        <v>5% - 10%</v>
      </c>
    </row>
    <row r="997">
      <c r="A997" s="6">
        <v>568435.0</v>
      </c>
      <c r="B997" s="1" t="s">
        <v>42</v>
      </c>
      <c r="C997" s="1" t="s">
        <v>9894</v>
      </c>
      <c r="D997" s="1" t="s">
        <v>1663</v>
      </c>
      <c r="E997" s="1" t="s">
        <v>1252</v>
      </c>
      <c r="F997" s="1" t="s">
        <v>46</v>
      </c>
      <c r="G997" s="1" t="s">
        <v>9895</v>
      </c>
      <c r="H997" s="1" t="s">
        <v>8579</v>
      </c>
      <c r="I997" s="1" t="s">
        <v>9896</v>
      </c>
      <c r="J997" s="1" t="s">
        <v>9897</v>
      </c>
      <c r="K997" s="1" t="s">
        <v>3614</v>
      </c>
      <c r="L997" s="14">
        <v>31262.0</v>
      </c>
      <c r="M997" s="8">
        <v>0.5044675925925926</v>
      </c>
      <c r="N997" s="6">
        <v>32.01</v>
      </c>
      <c r="O997" s="6">
        <v>59.0</v>
      </c>
      <c r="P997" s="14">
        <v>39454.0</v>
      </c>
      <c r="Q997" s="1" t="s">
        <v>96</v>
      </c>
      <c r="R997" s="1" t="s">
        <v>76</v>
      </c>
      <c r="S997" s="6">
        <v>2008.0</v>
      </c>
      <c r="T997" s="6">
        <v>1.0</v>
      </c>
      <c r="U997" s="1" t="s">
        <v>276</v>
      </c>
      <c r="V997" s="1" t="s">
        <v>277</v>
      </c>
      <c r="W997" s="6">
        <v>7.0</v>
      </c>
      <c r="X997" s="1" t="s">
        <v>99</v>
      </c>
      <c r="Y997" s="1" t="s">
        <v>100</v>
      </c>
      <c r="Z997" s="6">
        <v>9.56</v>
      </c>
      <c r="AA997" s="6">
        <v>72930.0</v>
      </c>
      <c r="AB997" s="10">
        <v>0.1</v>
      </c>
      <c r="AC997" s="1" t="s">
        <v>9898</v>
      </c>
      <c r="AD997" s="1" t="s">
        <v>9899</v>
      </c>
      <c r="AE997" s="1" t="s">
        <v>9900</v>
      </c>
      <c r="AF997" s="1" t="s">
        <v>8385</v>
      </c>
      <c r="AG997" s="1" t="s">
        <v>9900</v>
      </c>
      <c r="AH997" s="1" t="s">
        <v>1561</v>
      </c>
      <c r="AI997" s="6">
        <v>53149.0</v>
      </c>
      <c r="AJ997" s="1" t="s">
        <v>86</v>
      </c>
      <c r="AK997" s="1" t="s">
        <v>9901</v>
      </c>
      <c r="AL997" s="1" t="s">
        <v>9902</v>
      </c>
      <c r="AM997" s="11" t="str">
        <f>VLOOKUP(N997,Sheet3!$B$4:$C$10,2,1)</f>
        <v>31-40</v>
      </c>
      <c r="AN997" s="12" t="str">
        <f>VLOOKUP(Z997,Sheet3!$F$4:$G$10,2,1)</f>
        <v>5-10</v>
      </c>
      <c r="AO997" s="5" t="str">
        <f>VLOOKUP(AA997,Sheet3!$I$3:$J$16,2,1)</f>
        <v>60000-80000</v>
      </c>
      <c r="AP997" s="5" t="str">
        <f>VLOOKUP(AB997,Sheet3!$L$4:$M$14,2,1)</f>
        <v>5% - 10%</v>
      </c>
    </row>
    <row r="998">
      <c r="A998" s="6">
        <v>597409.0</v>
      </c>
      <c r="B998" s="1" t="s">
        <v>66</v>
      </c>
      <c r="C998" s="1" t="s">
        <v>3754</v>
      </c>
      <c r="D998" s="1" t="s">
        <v>416</v>
      </c>
      <c r="E998" s="1" t="s">
        <v>1637</v>
      </c>
      <c r="F998" s="1" t="s">
        <v>70</v>
      </c>
      <c r="G998" s="1" t="s">
        <v>9903</v>
      </c>
      <c r="H998" s="1" t="s">
        <v>8579</v>
      </c>
      <c r="I998" s="1" t="s">
        <v>9904</v>
      </c>
      <c r="J998" s="1" t="s">
        <v>9905</v>
      </c>
      <c r="K998" s="1" t="s">
        <v>479</v>
      </c>
      <c r="L998" s="14">
        <v>31820.0</v>
      </c>
      <c r="M998" s="8">
        <v>0.6175694444444444</v>
      </c>
      <c r="N998" s="6">
        <v>30.48</v>
      </c>
      <c r="O998" s="6">
        <v>84.0</v>
      </c>
      <c r="P998" s="14">
        <v>40242.0</v>
      </c>
      <c r="Q998" s="1" t="s">
        <v>96</v>
      </c>
      <c r="R998" s="1" t="s">
        <v>76</v>
      </c>
      <c r="S998" s="6">
        <v>2010.0</v>
      </c>
      <c r="T998" s="6">
        <v>3.0</v>
      </c>
      <c r="U998" s="1" t="s">
        <v>97</v>
      </c>
      <c r="V998" s="1" t="s">
        <v>98</v>
      </c>
      <c r="W998" s="6">
        <v>5.0</v>
      </c>
      <c r="X998" s="1" t="s">
        <v>263</v>
      </c>
      <c r="Y998" s="1" t="s">
        <v>264</v>
      </c>
      <c r="Z998" s="6">
        <v>7.4</v>
      </c>
      <c r="AA998" s="6">
        <v>121949.0</v>
      </c>
      <c r="AB998" s="10">
        <v>0.16</v>
      </c>
      <c r="AC998" s="1" t="s">
        <v>9906</v>
      </c>
      <c r="AD998" s="1" t="s">
        <v>9907</v>
      </c>
      <c r="AE998" s="1" t="s">
        <v>9908</v>
      </c>
      <c r="AF998" s="1" t="s">
        <v>856</v>
      </c>
      <c r="AG998" s="1" t="s">
        <v>9908</v>
      </c>
      <c r="AH998" s="1" t="s">
        <v>85</v>
      </c>
      <c r="AI998" s="6">
        <v>49325.0</v>
      </c>
      <c r="AJ998" s="1" t="s">
        <v>86</v>
      </c>
      <c r="AK998" s="1" t="s">
        <v>9909</v>
      </c>
      <c r="AL998" s="1" t="s">
        <v>9910</v>
      </c>
      <c r="AM998" s="11" t="str">
        <f>VLOOKUP(N998,Sheet3!$B$4:$C$10,2,1)</f>
        <v>21-30</v>
      </c>
      <c r="AN998" s="12" t="str">
        <f>VLOOKUP(Z998,Sheet3!$F$4:$G$10,2,1)</f>
        <v>5-10</v>
      </c>
      <c r="AO998" s="5" t="str">
        <f>VLOOKUP(AA998,Sheet3!$I$3:$J$16,2,1)</f>
        <v>120000-140000</v>
      </c>
      <c r="AP998" s="5" t="str">
        <f>VLOOKUP(AB998,Sheet3!$L$4:$M$14,2,1)</f>
        <v>16% - 20%</v>
      </c>
    </row>
    <row r="999">
      <c r="A999" s="6">
        <v>359608.0</v>
      </c>
      <c r="B999" s="1" t="s">
        <v>125</v>
      </c>
      <c r="C999" s="1" t="s">
        <v>9911</v>
      </c>
      <c r="D999" s="1" t="s">
        <v>416</v>
      </c>
      <c r="E999" s="1" t="s">
        <v>5734</v>
      </c>
      <c r="F999" s="1" t="s">
        <v>46</v>
      </c>
      <c r="G999" s="1" t="s">
        <v>9912</v>
      </c>
      <c r="H999" s="1" t="s">
        <v>8579</v>
      </c>
      <c r="I999" s="1" t="s">
        <v>9913</v>
      </c>
      <c r="J999" s="1" t="s">
        <v>9914</v>
      </c>
      <c r="K999" s="1" t="s">
        <v>8012</v>
      </c>
      <c r="L999" s="9">
        <v>21089.0</v>
      </c>
      <c r="M999" s="8">
        <v>0.5322106481481481</v>
      </c>
      <c r="N999" s="6">
        <v>59.88</v>
      </c>
      <c r="O999" s="6">
        <v>50.0</v>
      </c>
      <c r="P999" s="9">
        <v>36942.0</v>
      </c>
      <c r="Q999" s="1" t="s">
        <v>96</v>
      </c>
      <c r="R999" s="1" t="s">
        <v>76</v>
      </c>
      <c r="S999" s="6">
        <v>2001.0</v>
      </c>
      <c r="T999" s="6">
        <v>2.0</v>
      </c>
      <c r="U999" s="1" t="s">
        <v>117</v>
      </c>
      <c r="V999" s="1" t="s">
        <v>118</v>
      </c>
      <c r="W999" s="6">
        <v>20.0</v>
      </c>
      <c r="X999" s="1" t="s">
        <v>79</v>
      </c>
      <c r="Y999" s="1" t="s">
        <v>80</v>
      </c>
      <c r="Z999" s="6">
        <v>16.44</v>
      </c>
      <c r="AA999" s="6">
        <v>82734.0</v>
      </c>
      <c r="AB999" s="10">
        <v>0.14</v>
      </c>
      <c r="AC999" s="1" t="s">
        <v>9915</v>
      </c>
      <c r="AD999" s="1" t="s">
        <v>9916</v>
      </c>
      <c r="AE999" s="1" t="s">
        <v>9917</v>
      </c>
      <c r="AF999" s="1" t="s">
        <v>9918</v>
      </c>
      <c r="AG999" s="1" t="s">
        <v>9917</v>
      </c>
      <c r="AH999" s="1" t="s">
        <v>238</v>
      </c>
      <c r="AI999" s="6">
        <v>95381.0</v>
      </c>
      <c r="AJ999" s="1" t="s">
        <v>63</v>
      </c>
      <c r="AK999" s="1" t="s">
        <v>9919</v>
      </c>
      <c r="AL999" s="1" t="s">
        <v>9920</v>
      </c>
      <c r="AM999" s="11" t="str">
        <f>VLOOKUP(N999,Sheet3!$B$4:$C$10,2,1)</f>
        <v>51-60</v>
      </c>
      <c r="AN999" s="12" t="str">
        <f>VLOOKUP(Z999,Sheet3!$F$4:$G$10,2,1)</f>
        <v>11-20</v>
      </c>
      <c r="AO999" s="5" t="str">
        <f>VLOOKUP(AA999,Sheet3!$I$3:$J$16,2,1)</f>
        <v>80000-100000</v>
      </c>
      <c r="AP999" s="5" t="str">
        <f>VLOOKUP(AB999,Sheet3!$L$4:$M$14,2,1)</f>
        <v>11% - 15%</v>
      </c>
    </row>
    <row r="1000">
      <c r="A1000" s="6">
        <v>803426.0</v>
      </c>
      <c r="B1000" s="1" t="s">
        <v>109</v>
      </c>
      <c r="C1000" s="1" t="s">
        <v>9921</v>
      </c>
      <c r="D1000" s="1" t="s">
        <v>242</v>
      </c>
      <c r="E1000" s="1" t="s">
        <v>365</v>
      </c>
      <c r="F1000" s="1" t="s">
        <v>46</v>
      </c>
      <c r="G1000" s="1" t="s">
        <v>9922</v>
      </c>
      <c r="H1000" s="1" t="s">
        <v>8579</v>
      </c>
      <c r="I1000" s="1" t="s">
        <v>9923</v>
      </c>
      <c r="J1000" s="1" t="s">
        <v>9924</v>
      </c>
      <c r="K1000" s="1" t="s">
        <v>4422</v>
      </c>
      <c r="L1000" s="9">
        <v>31916.0</v>
      </c>
      <c r="M1000" s="8">
        <v>0.21056712962962962</v>
      </c>
      <c r="N1000" s="6">
        <v>30.21</v>
      </c>
      <c r="O1000" s="6">
        <v>48.0</v>
      </c>
      <c r="P1000" s="9">
        <v>40983.0</v>
      </c>
      <c r="Q1000" s="1" t="s">
        <v>96</v>
      </c>
      <c r="R1000" s="1" t="s">
        <v>76</v>
      </c>
      <c r="S1000" s="6">
        <v>2012.0</v>
      </c>
      <c r="T1000" s="6">
        <v>3.0</v>
      </c>
      <c r="U1000" s="1" t="s">
        <v>97</v>
      </c>
      <c r="V1000" s="1" t="s">
        <v>98</v>
      </c>
      <c r="W1000" s="6">
        <v>15.0</v>
      </c>
      <c r="X1000" s="1" t="s">
        <v>150</v>
      </c>
      <c r="Y1000" s="1" t="s">
        <v>151</v>
      </c>
      <c r="Z1000" s="6">
        <v>5.37</v>
      </c>
      <c r="AA1000" s="6">
        <v>66854.0</v>
      </c>
      <c r="AB1000" s="10">
        <v>0.09</v>
      </c>
      <c r="AC1000" s="1" t="s">
        <v>9925</v>
      </c>
      <c r="AD1000" s="1" t="s">
        <v>9926</v>
      </c>
      <c r="AE1000" s="1" t="s">
        <v>9927</v>
      </c>
      <c r="AF1000" s="1" t="s">
        <v>3365</v>
      </c>
      <c r="AG1000" s="1" t="s">
        <v>9927</v>
      </c>
      <c r="AH1000" s="1" t="s">
        <v>1344</v>
      </c>
      <c r="AI1000" s="6">
        <v>6910.0</v>
      </c>
      <c r="AJ1000" s="1" t="s">
        <v>224</v>
      </c>
      <c r="AK1000" s="1" t="s">
        <v>9928</v>
      </c>
      <c r="AL1000" s="1" t="s">
        <v>9929</v>
      </c>
      <c r="AM1000" s="11" t="str">
        <f>VLOOKUP(N1000,Sheet3!$B$4:$C$10,2,1)</f>
        <v>21-30</v>
      </c>
      <c r="AN1000" s="12" t="str">
        <f>VLOOKUP(Z1000,Sheet3!$F$4:$G$10,2,1)</f>
        <v>5-10</v>
      </c>
      <c r="AO1000" s="5" t="str">
        <f>VLOOKUP(AA1000,Sheet3!$I$3:$J$16,2,1)</f>
        <v>60000-80000</v>
      </c>
      <c r="AP1000" s="5" t="str">
        <f>VLOOKUP(AB1000,Sheet3!$L$4:$M$14,2,1)</f>
        <v>5% - 10%</v>
      </c>
    </row>
    <row r="1001">
      <c r="A1001" s="6">
        <v>669618.0</v>
      </c>
      <c r="B1001" s="1" t="s">
        <v>89</v>
      </c>
      <c r="C1001" s="1" t="s">
        <v>1745</v>
      </c>
      <c r="D1001" s="1" t="s">
        <v>242</v>
      </c>
      <c r="E1001" s="1" t="s">
        <v>2486</v>
      </c>
      <c r="F1001" s="1" t="s">
        <v>46</v>
      </c>
      <c r="G1001" s="1" t="s">
        <v>9930</v>
      </c>
      <c r="H1001" s="1" t="s">
        <v>8579</v>
      </c>
      <c r="I1001" s="1" t="s">
        <v>9931</v>
      </c>
      <c r="J1001" s="1" t="s">
        <v>9932</v>
      </c>
      <c r="K1001" s="1" t="s">
        <v>3581</v>
      </c>
      <c r="L1001" s="14">
        <v>21126.0</v>
      </c>
      <c r="M1001" s="8">
        <v>0.7616782407407408</v>
      </c>
      <c r="N1001" s="6">
        <v>59.78</v>
      </c>
      <c r="O1001" s="6">
        <v>56.0</v>
      </c>
      <c r="P1001" s="9">
        <v>29237.0</v>
      </c>
      <c r="Q1001" s="1" t="s">
        <v>96</v>
      </c>
      <c r="R1001" s="1" t="s">
        <v>76</v>
      </c>
      <c r="S1001" s="6">
        <v>1980.0</v>
      </c>
      <c r="T1001" s="6">
        <v>1.0</v>
      </c>
      <c r="U1001" s="1" t="s">
        <v>276</v>
      </c>
      <c r="V1001" s="1" t="s">
        <v>277</v>
      </c>
      <c r="W1001" s="6">
        <v>17.0</v>
      </c>
      <c r="X1001" s="1" t="s">
        <v>150</v>
      </c>
      <c r="Y1001" s="1" t="s">
        <v>151</v>
      </c>
      <c r="Z1001" s="6">
        <v>37.55</v>
      </c>
      <c r="AA1001" s="6">
        <v>105069.0</v>
      </c>
      <c r="AB1001" s="10">
        <v>0.06</v>
      </c>
      <c r="AC1001" s="1" t="s">
        <v>9933</v>
      </c>
      <c r="AD1001" s="1" t="s">
        <v>9934</v>
      </c>
      <c r="AE1001" s="1" t="s">
        <v>9935</v>
      </c>
      <c r="AF1001" s="1" t="s">
        <v>5238</v>
      </c>
      <c r="AG1001" s="1" t="s">
        <v>9935</v>
      </c>
      <c r="AH1001" s="1" t="s">
        <v>299</v>
      </c>
      <c r="AI1001" s="6">
        <v>73760.0</v>
      </c>
      <c r="AJ1001" s="1" t="s">
        <v>106</v>
      </c>
      <c r="AK1001" s="1" t="s">
        <v>9936</v>
      </c>
      <c r="AL1001" s="1" t="s">
        <v>9937</v>
      </c>
      <c r="AM1001" s="11" t="str">
        <f>VLOOKUP(N1001,Sheet3!$B$4:$C$10,2,1)</f>
        <v>51-60</v>
      </c>
      <c r="AN1001" s="13" t="str">
        <f>VLOOKUP(Z1001,Sheet3!$F$4:$G$10,2,1)</f>
        <v>31-40</v>
      </c>
      <c r="AO1001" s="5" t="str">
        <f>VLOOKUP(AA1001,Sheet3!$I$3:$J$16,2,1)</f>
        <v>100000-120000</v>
      </c>
      <c r="AP1001" s="5" t="str">
        <f>VLOOKUP(AB1001,Sheet3!$L$4:$M$14,2,1)</f>
        <v>5% - 10%</v>
      </c>
    </row>
  </sheetData>
  <customSheetViews>
    <customSheetView guid="{022A648A-E272-4718-A30B-414854979C7D}" filter="1" showAutoFilter="1">
      <autoFilter ref="$A$1:$AN$1001">
        <filterColumn colId="7">
          <filters>
            <filter val="Human Resources"/>
          </filters>
        </filterColumn>
        <filterColumn colId="39">
          <filters>
            <filter val="21-30"/>
          </filters>
        </filterColumn>
      </autoFilter>
    </customSheetView>
    <customSheetView guid="{B3B5721E-1AC3-4DE9-B313-CD4F96865536}" filter="1" showAutoFilter="1">
      <autoFilter ref="$A$1:$AL$1001">
        <filterColumn colId="7">
          <filters>
            <filter val="Human Resources"/>
          </filters>
        </filterColumn>
      </autoFilter>
    </customSheetView>
  </customSheetViews>
  <hyperlinks>
    <hyperlink r:id="rId1" ref="AL400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I3" s="16" t="s">
        <v>26</v>
      </c>
      <c r="J3" s="16" t="s">
        <v>9938</v>
      </c>
      <c r="L3" s="16" t="s">
        <v>9939</v>
      </c>
    </row>
    <row r="4">
      <c r="B4" s="17" t="s">
        <v>9940</v>
      </c>
      <c r="C4" s="17" t="s">
        <v>9941</v>
      </c>
      <c r="F4" s="18" t="s">
        <v>9942</v>
      </c>
      <c r="G4" s="18" t="s">
        <v>39</v>
      </c>
      <c r="I4" s="16">
        <v>1.0</v>
      </c>
      <c r="J4" s="19" t="s">
        <v>9943</v>
      </c>
      <c r="L4" s="20">
        <v>0.0</v>
      </c>
      <c r="M4" s="16" t="s">
        <v>9944</v>
      </c>
    </row>
    <row r="5">
      <c r="B5" s="17">
        <v>1.0</v>
      </c>
      <c r="C5" s="17" t="s">
        <v>9945</v>
      </c>
      <c r="F5" s="18">
        <v>0.0</v>
      </c>
      <c r="G5" s="21" t="s">
        <v>9946</v>
      </c>
      <c r="I5" s="16">
        <v>10000.0</v>
      </c>
      <c r="J5" s="19" t="s">
        <v>9947</v>
      </c>
      <c r="L5" s="20">
        <v>0.05</v>
      </c>
      <c r="M5" s="16" t="s">
        <v>9948</v>
      </c>
    </row>
    <row r="6">
      <c r="B6" s="17">
        <v>21.0</v>
      </c>
      <c r="C6" s="17" t="s">
        <v>9949</v>
      </c>
      <c r="F6" s="18">
        <v>5.0</v>
      </c>
      <c r="G6" s="21" t="s">
        <v>9950</v>
      </c>
      <c r="I6" s="16">
        <v>40000.0</v>
      </c>
      <c r="J6" s="19" t="s">
        <v>9951</v>
      </c>
      <c r="L6" s="20">
        <v>0.11</v>
      </c>
      <c r="M6" s="16" t="s">
        <v>9952</v>
      </c>
    </row>
    <row r="7">
      <c r="B7" s="17">
        <v>31.0</v>
      </c>
      <c r="C7" s="17" t="s">
        <v>9953</v>
      </c>
      <c r="F7" s="18">
        <v>11.0</v>
      </c>
      <c r="G7" s="21" t="s">
        <v>9954</v>
      </c>
      <c r="I7" s="16">
        <v>60000.0</v>
      </c>
      <c r="J7" s="19" t="s">
        <v>9955</v>
      </c>
      <c r="L7" s="20">
        <v>0.16</v>
      </c>
      <c r="M7" s="16" t="s">
        <v>9956</v>
      </c>
    </row>
    <row r="8">
      <c r="B8" s="17">
        <v>41.0</v>
      </c>
      <c r="C8" s="17" t="s">
        <v>9957</v>
      </c>
      <c r="F8" s="18">
        <v>21.0</v>
      </c>
      <c r="G8" s="21" t="s">
        <v>9949</v>
      </c>
      <c r="I8" s="16">
        <v>80000.0</v>
      </c>
      <c r="J8" s="19" t="s">
        <v>9958</v>
      </c>
      <c r="L8" s="20">
        <v>0.21</v>
      </c>
      <c r="M8" s="16" t="s">
        <v>9959</v>
      </c>
    </row>
    <row r="9">
      <c r="B9" s="17">
        <v>51.0</v>
      </c>
      <c r="C9" s="17" t="s">
        <v>9960</v>
      </c>
      <c r="F9" s="18">
        <v>31.0</v>
      </c>
      <c r="G9" s="21" t="s">
        <v>9953</v>
      </c>
      <c r="I9" s="16">
        <v>100000.0</v>
      </c>
      <c r="J9" s="19" t="s">
        <v>9961</v>
      </c>
      <c r="L9" s="20">
        <v>0.26</v>
      </c>
      <c r="M9" s="16" t="s">
        <v>9962</v>
      </c>
    </row>
    <row r="10">
      <c r="B10" s="17">
        <v>61.0</v>
      </c>
      <c r="C10" s="17" t="s">
        <v>9963</v>
      </c>
      <c r="F10" s="18">
        <v>41.0</v>
      </c>
      <c r="G10" s="21" t="s">
        <v>9964</v>
      </c>
      <c r="I10" s="16">
        <v>120000.0</v>
      </c>
      <c r="J10" s="19" t="s">
        <v>9965</v>
      </c>
      <c r="L10" s="20">
        <v>0.31</v>
      </c>
      <c r="M10" s="16" t="s">
        <v>9966</v>
      </c>
    </row>
    <row r="11">
      <c r="F11" s="18"/>
      <c r="G11" s="18"/>
      <c r="I11" s="16">
        <v>140000.0</v>
      </c>
      <c r="J11" s="19" t="s">
        <v>9967</v>
      </c>
      <c r="L11" s="20">
        <v>0.36</v>
      </c>
      <c r="M11" s="16" t="s">
        <v>9968</v>
      </c>
    </row>
    <row r="12">
      <c r="F12" s="18"/>
      <c r="G12" s="18"/>
      <c r="I12" s="16">
        <v>160000.0</v>
      </c>
      <c r="J12" s="19" t="s">
        <v>9969</v>
      </c>
      <c r="L12" s="20">
        <v>0.41</v>
      </c>
      <c r="M12" s="16" t="s">
        <v>9970</v>
      </c>
    </row>
    <row r="13">
      <c r="I13" s="16">
        <v>180000.0</v>
      </c>
      <c r="J13" s="19" t="s">
        <v>9971</v>
      </c>
      <c r="L13" s="20">
        <v>0.46</v>
      </c>
      <c r="M13" s="16" t="s">
        <v>9972</v>
      </c>
    </row>
    <row r="14">
      <c r="I14" s="16">
        <v>200000.0</v>
      </c>
      <c r="J14" s="19" t="s">
        <v>9973</v>
      </c>
      <c r="L14" s="20">
        <v>0.51</v>
      </c>
      <c r="M14" s="16" t="s">
        <v>9974</v>
      </c>
    </row>
    <row r="17">
      <c r="C17" s="1" t="s">
        <v>604</v>
      </c>
    </row>
    <row r="18">
      <c r="C18" s="1" t="s">
        <v>1395</v>
      </c>
    </row>
    <row r="19">
      <c r="C19" s="1" t="s">
        <v>8579</v>
      </c>
    </row>
    <row r="20">
      <c r="C20" s="1" t="s">
        <v>4643</v>
      </c>
    </row>
    <row r="21">
      <c r="C21" s="1" t="s">
        <v>5806</v>
      </c>
    </row>
    <row r="22">
      <c r="C22" s="1" t="s">
        <v>6842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5"/>
    <col customWidth="1" min="2" max="2" width="16.38"/>
    <col customWidth="1" min="3" max="3" width="6.13"/>
    <col customWidth="1" min="4" max="4" width="14.0"/>
    <col customWidth="1" min="5" max="5" width="17.13"/>
    <col customWidth="1" min="9" max="9" width="18.13"/>
  </cols>
  <sheetData>
    <row r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23" t="s">
        <v>9975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23" t="s">
        <v>9976</v>
      </c>
      <c r="B4" s="24"/>
      <c r="C4" s="22"/>
      <c r="D4" s="25" t="s">
        <v>9977</v>
      </c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26" t="str">
        <f>IFERROR(__xludf.DUMMYFUNCTION("QUERY(Data!A1:AN1001,""SELECT AM, Count(AM) GROUP BY AM"")"),"Age Break")</f>
        <v>Age Break</v>
      </c>
      <c r="B5" s="26" t="str">
        <f>IFERROR(__xludf.DUMMYFUNCTION("""COMPUTED_VALUE"""),"count Age Break")</f>
        <v>count Age Break</v>
      </c>
      <c r="C5" s="27"/>
      <c r="D5" s="28" t="str">
        <f>IFERROR(__xludf.DUMMYFUNCTION("QUERY(Data!A1:AN1001,""SELECT AN, Count(AN) GROUP BY AN"")"),"Tenure Break")</f>
        <v>Tenure Break</v>
      </c>
      <c r="E5" s="26" t="str">
        <f>IFERROR(__xludf.DUMMYFUNCTION("""COMPUTED_VALUE"""),"count Tenure Break")</f>
        <v>count Tenure Break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29" t="str">
        <f>IFERROR(__xludf.DUMMYFUNCTION("""COMPUTED_VALUE"""),"21-30")</f>
        <v>21-30</v>
      </c>
      <c r="B6" s="29">
        <f>IFERROR(__xludf.DUMMYFUNCTION("""COMPUTED_VALUE"""),251.0)</f>
        <v>251</v>
      </c>
      <c r="C6" s="30"/>
      <c r="D6" s="29" t="str">
        <f>IFERROR(__xludf.DUMMYFUNCTION("""COMPUTED_VALUE"""),"11-20")</f>
        <v>11-20</v>
      </c>
      <c r="E6" s="29">
        <f>IFERROR(__xludf.DUMMYFUNCTION("""COMPUTED_VALUE"""),257.0)</f>
        <v>257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29" t="str">
        <f>IFERROR(__xludf.DUMMYFUNCTION("""COMPUTED_VALUE"""),"31-40")</f>
        <v>31-40</v>
      </c>
      <c r="B7" s="29">
        <f>IFERROR(__xludf.DUMMYFUNCTION("""COMPUTED_VALUE"""),259.0)</f>
        <v>259</v>
      </c>
      <c r="C7" s="30"/>
      <c r="D7" s="29" t="str">
        <f>IFERROR(__xludf.DUMMYFUNCTION("""COMPUTED_VALUE"""),"21-30")</f>
        <v>21-30</v>
      </c>
      <c r="E7" s="29">
        <f>IFERROR(__xludf.DUMMYFUNCTION("""COMPUTED_VALUE"""),98.0)</f>
        <v>98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29" t="str">
        <f>IFERROR(__xludf.DUMMYFUNCTION("""COMPUTED_VALUE"""),"41-50")</f>
        <v>41-50</v>
      </c>
      <c r="B8" s="29">
        <f>IFERROR(__xludf.DUMMYFUNCTION("""COMPUTED_VALUE"""),267.0)</f>
        <v>267</v>
      </c>
      <c r="C8" s="30"/>
      <c r="D8" s="29" t="str">
        <f>IFERROR(__xludf.DUMMYFUNCTION("""COMPUTED_VALUE"""),"31-40")</f>
        <v>31-40</v>
      </c>
      <c r="E8" s="29">
        <f>IFERROR(__xludf.DUMMYFUNCTION("""COMPUTED_VALUE"""),26.0)</f>
        <v>26</v>
      </c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29" t="str">
        <f>IFERROR(__xludf.DUMMYFUNCTION("""COMPUTED_VALUE"""),"51-60")</f>
        <v>51-60</v>
      </c>
      <c r="B9" s="29">
        <f>IFERROR(__xludf.DUMMYFUNCTION("""COMPUTED_VALUE"""),223.0)</f>
        <v>223</v>
      </c>
      <c r="C9" s="30"/>
      <c r="D9" s="29" t="str">
        <f>IFERROR(__xludf.DUMMYFUNCTION("""COMPUTED_VALUE"""),"5-10")</f>
        <v>5-10</v>
      </c>
      <c r="E9" s="29">
        <f>IFERROR(__xludf.DUMMYFUNCTION("""COMPUTED_VALUE"""),255.0)</f>
        <v>255</v>
      </c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24"/>
      <c r="B10" s="24"/>
      <c r="C10" s="30"/>
      <c r="D10" s="29" t="str">
        <f>IFERROR(__xludf.DUMMYFUNCTION("""COMPUTED_VALUE"""),"&lt; 5")</f>
        <v>&lt; 5</v>
      </c>
      <c r="E10" s="29">
        <f>IFERROR(__xludf.DUMMYFUNCTION("""COMPUTED_VALUE"""),364.0)</f>
        <v>364</v>
      </c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24"/>
      <c r="B11" s="24"/>
      <c r="C11" s="30"/>
      <c r="D11" s="31"/>
      <c r="E11" s="31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25" t="s">
        <v>9978</v>
      </c>
      <c r="B12" s="24"/>
      <c r="C12" s="30"/>
      <c r="D12" s="25" t="s">
        <v>9979</v>
      </c>
      <c r="E12" s="31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29" t="str">
        <f>IFERROR(__xludf.DUMMYFUNCTION("QUERY(Data!$A$1:$AN$1001,""select AJ, Count(AJ) GROUP BY AJ"")"),"Region")</f>
        <v>Region</v>
      </c>
      <c r="B13" s="29" t="str">
        <f>IFERROR(__xludf.DUMMYFUNCTION("""COMPUTED_VALUE"""),"count Region")</f>
        <v>count Region</v>
      </c>
      <c r="C13" s="30"/>
      <c r="D13" s="32" t="str">
        <f>IFERROR(__xludf.DUMMYFUNCTION("QUERY(Data!$A$1:$AN$1001,""select F, Count(F) WHERE H = 'Operations' GROUP BY F"")"),"Gender")</f>
        <v>Gender</v>
      </c>
      <c r="E13" s="32" t="str">
        <f>IFERROR(__xludf.DUMMYFUNCTION("""COMPUTED_VALUE"""),"count Gender")</f>
        <v>count Gender</v>
      </c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29" t="str">
        <f>IFERROR(__xludf.DUMMYFUNCTION("""COMPUTED_VALUE"""),"Midwest")</f>
        <v>Midwest</v>
      </c>
      <c r="B14" s="29">
        <f>IFERROR(__xludf.DUMMYFUNCTION("""COMPUTED_VALUE"""),285.0)</f>
        <v>285</v>
      </c>
      <c r="C14" s="30"/>
      <c r="D14" s="32" t="str">
        <f>IFERROR(__xludf.DUMMYFUNCTION("""COMPUTED_VALUE"""),"F")</f>
        <v>F</v>
      </c>
      <c r="E14" s="32">
        <f>IFERROR(__xludf.DUMMYFUNCTION("""COMPUTED_VALUE"""),149.0)</f>
        <v>149</v>
      </c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29" t="str">
        <f>IFERROR(__xludf.DUMMYFUNCTION("""COMPUTED_VALUE"""),"Northeast")</f>
        <v>Northeast</v>
      </c>
      <c r="B15" s="29">
        <f>IFERROR(__xludf.DUMMYFUNCTION("""COMPUTED_VALUE"""),182.0)</f>
        <v>182</v>
      </c>
      <c r="C15" s="30"/>
      <c r="D15" s="32" t="str">
        <f>IFERROR(__xludf.DUMMYFUNCTION("""COMPUTED_VALUE"""),"M")</f>
        <v>M</v>
      </c>
      <c r="E15" s="32">
        <f>IFERROR(__xludf.DUMMYFUNCTION("""COMPUTED_VALUE"""),165.0)</f>
        <v>165</v>
      </c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29" t="str">
        <f>IFERROR(__xludf.DUMMYFUNCTION("""COMPUTED_VALUE"""),"South")</f>
        <v>South</v>
      </c>
      <c r="B16" s="29">
        <f>IFERROR(__xludf.DUMMYFUNCTION("""COMPUTED_VALUE"""),371.0)</f>
        <v>371</v>
      </c>
      <c r="C16" s="30"/>
      <c r="D16" s="31"/>
      <c r="E16" s="31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29" t="str">
        <f>IFERROR(__xludf.DUMMYFUNCTION("""COMPUTED_VALUE"""),"West")</f>
        <v>West</v>
      </c>
      <c r="B17" s="29">
        <f>IFERROR(__xludf.DUMMYFUNCTION("""COMPUTED_VALUE"""),162.0)</f>
        <v>162</v>
      </c>
      <c r="C17" s="30"/>
      <c r="D17" s="31"/>
      <c r="E17" s="31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24"/>
      <c r="B18" s="24"/>
      <c r="C18" s="30"/>
      <c r="D18" s="31"/>
      <c r="E18" s="31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33" t="s">
        <v>9980</v>
      </c>
      <c r="B19" s="24"/>
      <c r="C19" s="30"/>
      <c r="D19" s="34" t="s">
        <v>9981</v>
      </c>
      <c r="E19" s="31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29" t="str">
        <f>IFERROR(__xludf.DUMMYFUNCTION("QUERY(Data!A1:AO1001,""SELECT AO,COUNT(AO) GROUP BY AO"")"),"Salary Break")</f>
        <v>Salary Break</v>
      </c>
      <c r="B20" s="29" t="str">
        <f>IFERROR(__xludf.DUMMYFUNCTION("""COMPUTED_VALUE"""),"count Salary Break")</f>
        <v>count Salary Break</v>
      </c>
      <c r="C20" s="30"/>
      <c r="D20" s="32" t="str">
        <f>IFERROR(__xludf.DUMMYFUNCTION("QUERY(Data!1:1001,""SELECT AP, COUNT(AP) GROUP BY AP"")"),"Last Hike% Break")</f>
        <v>Last Hike% Break</v>
      </c>
      <c r="E20" s="32" t="str">
        <f>IFERROR(__xludf.DUMMYFUNCTION("""COMPUTED_VALUE"""),"count Last Hike% Break")</f>
        <v>count Last Hike% Break</v>
      </c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29" t="str">
        <f>IFERROR(__xludf.DUMMYFUNCTION("""COMPUTED_VALUE"""),"100000-120000")</f>
        <v>100000-120000</v>
      </c>
      <c r="B21" s="29">
        <f>IFERROR(__xludf.DUMMYFUNCTION("""COMPUTED_VALUE"""),127.0)</f>
        <v>127</v>
      </c>
      <c r="C21" s="30"/>
      <c r="D21" s="35" t="str">
        <f>IFERROR(__xludf.DUMMYFUNCTION("""COMPUTED_VALUE"""),"11% - 15%")</f>
        <v>11% - 15%</v>
      </c>
      <c r="E21" s="36">
        <f>IFERROR(__xludf.DUMMYFUNCTION("""COMPUTED_VALUE"""),149.0)</f>
        <v>149</v>
      </c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29" t="str">
        <f>IFERROR(__xludf.DUMMYFUNCTION("""COMPUTED_VALUE"""),"120000-140000")</f>
        <v>120000-140000</v>
      </c>
      <c r="B22" s="29">
        <f>IFERROR(__xludf.DUMMYFUNCTION("""COMPUTED_VALUE"""),133.0)</f>
        <v>133</v>
      </c>
      <c r="C22" s="30"/>
      <c r="D22" s="35" t="str">
        <f>IFERROR(__xludf.DUMMYFUNCTION("""COMPUTED_VALUE"""),"16% - 20%")</f>
        <v>16% - 20%</v>
      </c>
      <c r="E22" s="36">
        <f>IFERROR(__xludf.DUMMYFUNCTION("""COMPUTED_VALUE"""),175.0)</f>
        <v>175</v>
      </c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29" t="str">
        <f>IFERROR(__xludf.DUMMYFUNCTION("""COMPUTED_VALUE"""),"140000-160000")</f>
        <v>140000-160000</v>
      </c>
      <c r="B23" s="29">
        <f>IFERROR(__xludf.DUMMYFUNCTION("""COMPUTED_VALUE"""),117.0)</f>
        <v>117</v>
      </c>
      <c r="C23" s="30"/>
      <c r="D23" s="35" t="str">
        <f>IFERROR(__xludf.DUMMYFUNCTION("""COMPUTED_VALUE"""),"21% - 25%")</f>
        <v>21% - 25%</v>
      </c>
      <c r="E23" s="36">
        <f>IFERROR(__xludf.DUMMYFUNCTION("""COMPUTED_VALUE"""),174.0)</f>
        <v>174</v>
      </c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29" t="str">
        <f>IFERROR(__xludf.DUMMYFUNCTION("""COMPUTED_VALUE"""),"160000-180000")</f>
        <v>160000-180000</v>
      </c>
      <c r="B24" s="29">
        <f>IFERROR(__xludf.DUMMYFUNCTION("""COMPUTED_VALUE"""),119.0)</f>
        <v>119</v>
      </c>
      <c r="C24" s="30"/>
      <c r="D24" s="32" t="str">
        <f>IFERROR(__xludf.DUMMYFUNCTION("""COMPUTED_VALUE"""),"26% - 30%")</f>
        <v>26% - 30%</v>
      </c>
      <c r="E24" s="32">
        <f>IFERROR(__xludf.DUMMYFUNCTION("""COMPUTED_VALUE"""),170.0)</f>
        <v>170</v>
      </c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29" t="str">
        <f>IFERROR(__xludf.DUMMYFUNCTION("""COMPUTED_VALUE"""),"180000-200000")</f>
        <v>180000-200000</v>
      </c>
      <c r="B25" s="29">
        <f>IFERROR(__xludf.DUMMYFUNCTION("""COMPUTED_VALUE"""),125.0)</f>
        <v>125</v>
      </c>
      <c r="C25" s="30"/>
      <c r="D25" s="35" t="str">
        <f>IFERROR(__xludf.DUMMYFUNCTION("""COMPUTED_VALUE"""),"5% - 10%")</f>
        <v>5% - 10%</v>
      </c>
      <c r="E25" s="36">
        <f>IFERROR(__xludf.DUMMYFUNCTION("""COMPUTED_VALUE"""),175.0)</f>
        <v>175</v>
      </c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29" t="str">
        <f>IFERROR(__xludf.DUMMYFUNCTION("""COMPUTED_VALUE"""),"40000-60000")</f>
        <v>40000-60000</v>
      </c>
      <c r="B26" s="29">
        <f>IFERROR(__xludf.DUMMYFUNCTION("""COMPUTED_VALUE"""),101.0)</f>
        <v>101</v>
      </c>
      <c r="C26" s="30"/>
      <c r="D26" s="37" t="str">
        <f>IFERROR(__xludf.DUMMYFUNCTION("""COMPUTED_VALUE"""),"&lt; 5%")</f>
        <v>&lt; 5%</v>
      </c>
      <c r="E26" s="38">
        <f>IFERROR(__xludf.DUMMYFUNCTION("""COMPUTED_VALUE"""),157.0)</f>
        <v>157</v>
      </c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29" t="str">
        <f>IFERROR(__xludf.DUMMYFUNCTION("""COMPUTED_VALUE"""),"60000-80000")</f>
        <v>60000-80000</v>
      </c>
      <c r="B27" s="29">
        <f>IFERROR(__xludf.DUMMYFUNCTION("""COMPUTED_VALUE"""),137.0)</f>
        <v>137</v>
      </c>
      <c r="C27" s="30"/>
      <c r="D27" s="39"/>
      <c r="E27" s="40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29" t="str">
        <f>IFERROR(__xludf.DUMMYFUNCTION("""COMPUTED_VALUE"""),"80000-100000")</f>
        <v>80000-100000</v>
      </c>
      <c r="B28" s="29">
        <f>IFERROR(__xludf.DUMMYFUNCTION("""COMPUTED_VALUE"""),141.0)</f>
        <v>141</v>
      </c>
      <c r="C28" s="30"/>
      <c r="D28" s="39"/>
      <c r="E28" s="31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24"/>
      <c r="B29" s="24"/>
      <c r="C29" s="30"/>
      <c r="D29" s="39"/>
      <c r="E29" s="31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24"/>
      <c r="B30" s="24"/>
      <c r="C30" s="30"/>
      <c r="D30" s="39"/>
      <c r="E30" s="31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24"/>
      <c r="B31" s="24"/>
      <c r="C31" s="30"/>
      <c r="D31" s="39"/>
      <c r="E31" s="31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24"/>
      <c r="B32" s="24"/>
      <c r="C32" s="30"/>
      <c r="D32" s="39"/>
      <c r="E32" s="31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24"/>
      <c r="B33" s="24"/>
      <c r="C33" s="30"/>
      <c r="D33" s="39"/>
      <c r="E33" s="31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24"/>
      <c r="B34" s="24"/>
      <c r="C34" s="30"/>
      <c r="D34" s="39"/>
      <c r="E34" s="31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22"/>
      <c r="B35" s="22"/>
      <c r="C35" s="22"/>
      <c r="D35" s="41"/>
      <c r="E35" s="4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22"/>
      <c r="B36" s="22"/>
      <c r="C36" s="22"/>
      <c r="D36" s="41"/>
      <c r="E36" s="4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22"/>
      <c r="B37" s="22"/>
      <c r="C37" s="22"/>
      <c r="D37" s="41"/>
      <c r="E37" s="4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22"/>
      <c r="B38" s="22"/>
      <c r="C38" s="22"/>
      <c r="D38" s="41"/>
      <c r="E38" s="4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22"/>
      <c r="B39" s="22"/>
      <c r="C39" s="22"/>
      <c r="D39" s="41"/>
      <c r="E39" s="4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22"/>
      <c r="B40" s="22"/>
      <c r="C40" s="22"/>
      <c r="D40" s="41"/>
      <c r="E40" s="4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22"/>
      <c r="B41" s="22"/>
      <c r="C41" s="22"/>
      <c r="D41" s="41"/>
      <c r="E41" s="4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22"/>
      <c r="B42" s="22"/>
      <c r="C42" s="22"/>
      <c r="D42" s="41"/>
      <c r="E42" s="4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22"/>
      <c r="B43" s="22"/>
      <c r="C43" s="22"/>
      <c r="D43" s="41"/>
      <c r="E43" s="4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22"/>
      <c r="B44" s="22"/>
      <c r="C44" s="22"/>
      <c r="D44" s="41"/>
      <c r="E44" s="4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22"/>
      <c r="B45" s="22"/>
      <c r="C45" s="22"/>
      <c r="D45" s="41"/>
      <c r="E45" s="4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22"/>
      <c r="B46" s="22"/>
      <c r="C46" s="22"/>
      <c r="D46" s="41"/>
      <c r="E46" s="4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22"/>
      <c r="B47" s="22"/>
      <c r="C47" s="22"/>
      <c r="D47" s="41"/>
      <c r="E47" s="4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22"/>
      <c r="B48" s="22"/>
      <c r="C48" s="22"/>
      <c r="D48" s="41"/>
      <c r="E48" s="4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22"/>
      <c r="B49" s="22"/>
      <c r="C49" s="22"/>
      <c r="D49" s="41"/>
      <c r="E49" s="4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22"/>
      <c r="B50" s="22"/>
      <c r="C50" s="22"/>
      <c r="D50" s="41"/>
      <c r="E50" s="4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22"/>
      <c r="B51" s="22"/>
      <c r="C51" s="22"/>
      <c r="D51" s="41"/>
      <c r="E51" s="4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22"/>
      <c r="B52" s="22"/>
      <c r="C52" s="22"/>
      <c r="D52" s="42"/>
      <c r="E52" s="4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22"/>
      <c r="B53" s="22"/>
      <c r="C53" s="22"/>
      <c r="D53" s="42"/>
      <c r="E53" s="4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22"/>
      <c r="B54" s="22"/>
      <c r="C54" s="22"/>
      <c r="D54" s="42"/>
      <c r="E54" s="4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22"/>
      <c r="B55" s="22"/>
      <c r="C55" s="22"/>
      <c r="D55" s="42"/>
      <c r="E55" s="4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22"/>
      <c r="B56" s="22"/>
      <c r="C56" s="22"/>
      <c r="D56" s="42"/>
      <c r="E56" s="4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22"/>
      <c r="B57" s="22"/>
      <c r="C57" s="22"/>
      <c r="D57" s="42"/>
      <c r="E57" s="4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22"/>
      <c r="B58" s="22"/>
      <c r="C58" s="22"/>
      <c r="D58" s="42"/>
      <c r="E58" s="4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22"/>
      <c r="B59" s="22"/>
      <c r="C59" s="22"/>
      <c r="D59" s="42"/>
      <c r="E59" s="4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22"/>
      <c r="B60" s="22"/>
      <c r="C60" s="22"/>
      <c r="D60" s="42"/>
      <c r="E60" s="4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22"/>
      <c r="B61" s="22"/>
      <c r="C61" s="22"/>
      <c r="D61" s="42"/>
      <c r="E61" s="4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22"/>
      <c r="B62" s="22"/>
      <c r="C62" s="22"/>
      <c r="D62" s="42"/>
      <c r="E62" s="4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22"/>
      <c r="B63" s="22"/>
      <c r="C63" s="22"/>
      <c r="D63" s="42"/>
      <c r="E63" s="4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22"/>
      <c r="B64" s="22"/>
      <c r="C64" s="22"/>
      <c r="D64" s="42"/>
      <c r="E64" s="4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22"/>
      <c r="B65" s="22"/>
      <c r="C65" s="22"/>
      <c r="D65" s="42"/>
      <c r="E65" s="4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22"/>
      <c r="B66" s="22"/>
      <c r="C66" s="22"/>
      <c r="D66" s="42"/>
      <c r="E66" s="4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22"/>
      <c r="B67" s="22"/>
      <c r="C67" s="22"/>
      <c r="D67" s="42"/>
      <c r="E67" s="4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22"/>
      <c r="B68" s="22"/>
      <c r="C68" s="22"/>
      <c r="D68" s="42"/>
      <c r="E68" s="4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22"/>
      <c r="B69" s="22"/>
      <c r="C69" s="22"/>
      <c r="D69" s="42"/>
      <c r="E69" s="4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22"/>
      <c r="B70" s="22"/>
      <c r="C70" s="22"/>
      <c r="D70" s="42"/>
      <c r="E70" s="4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43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</sheetData>
  <drawing r:id="rId1"/>
  <tableParts count="6">
    <tablePart r:id="rId8"/>
    <tablePart r:id="rId9"/>
    <tablePart r:id="rId10"/>
    <tablePart r:id="rId11"/>
    <tablePart r:id="rId12"/>
    <tablePart r:id="rId1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3.75"/>
    <col customWidth="1" min="5" max="5" width="14.63"/>
    <col customWidth="1" min="6" max="6" width="11.38"/>
    <col customWidth="1" min="7" max="7" width="8.88"/>
  </cols>
  <sheetData>
    <row r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44"/>
      <c r="B2" s="45"/>
      <c r="C2" s="45"/>
      <c r="D2" s="45"/>
      <c r="E2" s="45"/>
      <c r="F2" s="46"/>
      <c r="G2" s="22"/>
      <c r="H2" s="22"/>
      <c r="I2" s="22"/>
      <c r="J2" s="22"/>
      <c r="K2" s="47" t="s">
        <v>48</v>
      </c>
      <c r="L2" s="22"/>
      <c r="M2" s="22"/>
      <c r="N2" s="22"/>
      <c r="O2" s="22"/>
      <c r="P2" s="22"/>
      <c r="Q2" s="22"/>
      <c r="R2" s="47" t="s">
        <v>6842</v>
      </c>
      <c r="S2" s="22"/>
      <c r="T2" s="22"/>
      <c r="U2" s="22"/>
      <c r="V2" s="22"/>
      <c r="W2" s="22"/>
      <c r="X2" s="22"/>
      <c r="Y2" s="22"/>
      <c r="Z2" s="22"/>
    </row>
    <row r="3">
      <c r="A3" s="48" t="s">
        <v>48</v>
      </c>
      <c r="F3" s="49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43"/>
      <c r="U3" s="22"/>
      <c r="V3" s="22"/>
      <c r="W3" s="22"/>
      <c r="X3" s="22"/>
      <c r="Y3" s="22"/>
      <c r="Z3" s="22"/>
    </row>
    <row r="4">
      <c r="A4" s="50" t="str">
        <f>IFERROR(__xludf.DUMMYFUNCTION("QUERY(Data!$A$1:$AN$1001,""select AM, Count(AM) WHERE H = 'Human Resources' GROUP BY AM"")"),"Age Break")</f>
        <v>Age Break</v>
      </c>
      <c r="B4" s="50" t="str">
        <f>IFERROR(__xludf.DUMMYFUNCTION("""COMPUTED_VALUE"""),"count Age Break")</f>
        <v>count Age Break</v>
      </c>
      <c r="D4" s="50" t="str">
        <f>IFERROR(__xludf.DUMMYFUNCTION("QUERY(Data!A1:AN1001,""SELECT AN, COUNT(AN) WHERE H = 'Human Resources' GROUP BY AN"")"),"Tenure Break")</f>
        <v>Tenure Break</v>
      </c>
      <c r="E4" s="50" t="str">
        <f>IFERROR(__xludf.DUMMYFUNCTION("""COMPUTED_VALUE"""),"count Tenure Break")</f>
        <v>count Tenure Break</v>
      </c>
      <c r="F4" s="49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50" t="str">
        <f>IFERROR(__xludf.DUMMYFUNCTION("""COMPUTED_VALUE"""),"21-30")</f>
        <v>21-30</v>
      </c>
      <c r="B5" s="50">
        <f>IFERROR(__xludf.DUMMYFUNCTION("""COMPUTED_VALUE"""),15.0)</f>
        <v>15</v>
      </c>
      <c r="D5" s="50" t="str">
        <f>IFERROR(__xludf.DUMMYFUNCTION("""COMPUTED_VALUE"""),"11-20")</f>
        <v>11-20</v>
      </c>
      <c r="E5" s="50">
        <f>IFERROR(__xludf.DUMMYFUNCTION("""COMPUTED_VALUE"""),12.0)</f>
        <v>12</v>
      </c>
      <c r="F5" s="49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50" t="str">
        <f>IFERROR(__xludf.DUMMYFUNCTION("""COMPUTED_VALUE"""),"31-40")</f>
        <v>31-40</v>
      </c>
      <c r="B6" s="50">
        <f>IFERROR(__xludf.DUMMYFUNCTION("""COMPUTED_VALUE"""),9.0)</f>
        <v>9</v>
      </c>
      <c r="D6" s="50" t="str">
        <f>IFERROR(__xludf.DUMMYFUNCTION("""COMPUTED_VALUE"""),"21-30")</f>
        <v>21-30</v>
      </c>
      <c r="E6" s="50">
        <f>IFERROR(__xludf.DUMMYFUNCTION("""COMPUTED_VALUE"""),3.0)</f>
        <v>3</v>
      </c>
      <c r="F6" s="49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50" t="str">
        <f>IFERROR(__xludf.DUMMYFUNCTION("""COMPUTED_VALUE"""),"41-50")</f>
        <v>41-50</v>
      </c>
      <c r="B7" s="50">
        <f>IFERROR(__xludf.DUMMYFUNCTION("""COMPUTED_VALUE"""),11.0)</f>
        <v>11</v>
      </c>
      <c r="D7" s="50" t="str">
        <f>IFERROR(__xludf.DUMMYFUNCTION("""COMPUTED_VALUE"""),"31-40")</f>
        <v>31-40</v>
      </c>
      <c r="E7" s="50">
        <f>IFERROR(__xludf.DUMMYFUNCTION("""COMPUTED_VALUE"""),1.0)</f>
        <v>1</v>
      </c>
      <c r="F7" s="49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50" t="str">
        <f>IFERROR(__xludf.DUMMYFUNCTION("""COMPUTED_VALUE"""),"51-60")</f>
        <v>51-60</v>
      </c>
      <c r="B8" s="50">
        <f>IFERROR(__xludf.DUMMYFUNCTION("""COMPUTED_VALUE"""),4.0)</f>
        <v>4</v>
      </c>
      <c r="D8" s="50" t="str">
        <f>IFERROR(__xludf.DUMMYFUNCTION("""COMPUTED_VALUE"""),"5-10")</f>
        <v>5-10</v>
      </c>
      <c r="E8" s="50">
        <f>IFERROR(__xludf.DUMMYFUNCTION("""COMPUTED_VALUE"""),7.0)</f>
        <v>7</v>
      </c>
      <c r="F8" s="49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51"/>
      <c r="D9" s="50" t="str">
        <f>IFERROR(__xludf.DUMMYFUNCTION("""COMPUTED_VALUE"""),"&lt; 5")</f>
        <v>&lt; 5</v>
      </c>
      <c r="E9" s="50">
        <f>IFERROR(__xludf.DUMMYFUNCTION("""COMPUTED_VALUE"""),16.0)</f>
        <v>16</v>
      </c>
      <c r="F9" s="49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52"/>
      <c r="F10" s="49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50" t="str">
        <f>IFERROR(__xludf.DUMMYFUNCTION("QUERY(Data!$A$1:$AN$1001,""select AJ, Count(AJ) WHERE H = 'Human Resources' GROUP BY AJ"")"),"Region")</f>
        <v>Region</v>
      </c>
      <c r="B11" s="50" t="str">
        <f>IFERROR(__xludf.DUMMYFUNCTION("""COMPUTED_VALUE"""),"count Region")</f>
        <v>count Region</v>
      </c>
      <c r="D11" s="50" t="str">
        <f>IFERROR(__xludf.DUMMYFUNCTION("QUERY(Data!$A$1:$AN$1001,""select F, Count(F) WHERE H = 'Human Resources' GROUP BY F"")"),"Gender")</f>
        <v>Gender</v>
      </c>
      <c r="E11" s="50" t="str">
        <f>IFERROR(__xludf.DUMMYFUNCTION("""COMPUTED_VALUE"""),"count Gender")</f>
        <v>count Gender</v>
      </c>
      <c r="F11" s="49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50" t="str">
        <f>IFERROR(__xludf.DUMMYFUNCTION("""COMPUTED_VALUE"""),"Midwest")</f>
        <v>Midwest</v>
      </c>
      <c r="B12" s="50">
        <f>IFERROR(__xludf.DUMMYFUNCTION("""COMPUTED_VALUE"""),8.0)</f>
        <v>8</v>
      </c>
      <c r="D12" s="50" t="str">
        <f>IFERROR(__xludf.DUMMYFUNCTION("""COMPUTED_VALUE"""),"F")</f>
        <v>F</v>
      </c>
      <c r="E12" s="50">
        <f>IFERROR(__xludf.DUMMYFUNCTION("""COMPUTED_VALUE"""),21.0)</f>
        <v>21</v>
      </c>
      <c r="F12" s="49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50" t="str">
        <f>IFERROR(__xludf.DUMMYFUNCTION("""COMPUTED_VALUE"""),"Northeast")</f>
        <v>Northeast</v>
      </c>
      <c r="B13" s="50">
        <f>IFERROR(__xludf.DUMMYFUNCTION("""COMPUTED_VALUE"""),4.0)</f>
        <v>4</v>
      </c>
      <c r="D13" s="50" t="str">
        <f>IFERROR(__xludf.DUMMYFUNCTION("""COMPUTED_VALUE"""),"M")</f>
        <v>M</v>
      </c>
      <c r="E13" s="50">
        <f>IFERROR(__xludf.DUMMYFUNCTION("""COMPUTED_VALUE"""),18.0)</f>
        <v>18</v>
      </c>
      <c r="F13" s="49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50" t="str">
        <f>IFERROR(__xludf.DUMMYFUNCTION("""COMPUTED_VALUE"""),"South")</f>
        <v>South</v>
      </c>
      <c r="B14" s="50">
        <f>IFERROR(__xludf.DUMMYFUNCTION("""COMPUTED_VALUE"""),14.0)</f>
        <v>14</v>
      </c>
      <c r="F14" s="49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50" t="str">
        <f>IFERROR(__xludf.DUMMYFUNCTION("""COMPUTED_VALUE"""),"West")</f>
        <v>West</v>
      </c>
      <c r="B15" s="50">
        <f>IFERROR(__xludf.DUMMYFUNCTION("""COMPUTED_VALUE"""),13.0)</f>
        <v>13</v>
      </c>
      <c r="F15" s="49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53"/>
      <c r="B16" s="54"/>
      <c r="C16" s="54"/>
      <c r="D16" s="54"/>
      <c r="E16" s="54"/>
      <c r="F16" s="55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23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23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A19" s="56" t="s">
        <v>7398</v>
      </c>
      <c r="B19" s="45"/>
      <c r="C19" s="45"/>
      <c r="D19" s="45"/>
      <c r="E19" s="45"/>
      <c r="F19" s="46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s="50" t="str">
        <f>IFERROR(__xludf.DUMMYFUNCTION("QUERY(Data!$A$1:$AN$1001,""select AM, Count(AM) WHERE H = 'Analytics' GROUP BY AM"")"),"Age Break")</f>
        <v>Age Break</v>
      </c>
      <c r="B20" s="50" t="str">
        <f>IFERROR(__xludf.DUMMYFUNCTION("""COMPUTED_VALUE"""),"count Age Break")</f>
        <v>count Age Break</v>
      </c>
      <c r="D20" s="50" t="str">
        <f>IFERROR(__xludf.DUMMYFUNCTION("QUERY(Data!A1:AN1001,""SELECT AN, COUNT(AN) WHERE H = 'Analytics' GROUP BY AN"")"),"Tenure Break")</f>
        <v>Tenure Break</v>
      </c>
      <c r="E20" s="50" t="str">
        <f>IFERROR(__xludf.DUMMYFUNCTION("""COMPUTED_VALUE"""),"count Tenure Break")</f>
        <v>count Tenure Break</v>
      </c>
      <c r="F20" s="49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>
      <c r="A21" s="50" t="str">
        <f>IFERROR(__xludf.DUMMYFUNCTION("""COMPUTED_VALUE"""),"21-30")</f>
        <v>21-30</v>
      </c>
      <c r="B21" s="50">
        <f>IFERROR(__xludf.DUMMYFUNCTION("""COMPUTED_VALUE"""),29.0)</f>
        <v>29</v>
      </c>
      <c r="D21" s="50" t="str">
        <f>IFERROR(__xludf.DUMMYFUNCTION("""COMPUTED_VALUE"""),"11-20")</f>
        <v>11-20</v>
      </c>
      <c r="E21" s="50">
        <f>IFERROR(__xludf.DUMMYFUNCTION("""COMPUTED_VALUE"""),28.0)</f>
        <v>28</v>
      </c>
      <c r="F21" s="49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>
      <c r="A22" s="50" t="str">
        <f>IFERROR(__xludf.DUMMYFUNCTION("""COMPUTED_VALUE"""),"31-40")</f>
        <v>31-40</v>
      </c>
      <c r="B22" s="50">
        <f>IFERROR(__xludf.DUMMYFUNCTION("""COMPUTED_VALUE"""),37.0)</f>
        <v>37</v>
      </c>
      <c r="D22" s="50" t="str">
        <f>IFERROR(__xludf.DUMMYFUNCTION("""COMPUTED_VALUE"""),"21-30")</f>
        <v>21-30</v>
      </c>
      <c r="E22" s="50">
        <f>IFERROR(__xludf.DUMMYFUNCTION("""COMPUTED_VALUE"""),13.0)</f>
        <v>13</v>
      </c>
      <c r="F22" s="49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>
      <c r="A23" s="50" t="str">
        <f>IFERROR(__xludf.DUMMYFUNCTION("""COMPUTED_VALUE"""),"41-50")</f>
        <v>41-50</v>
      </c>
      <c r="B23" s="50">
        <f>IFERROR(__xludf.DUMMYFUNCTION("""COMPUTED_VALUE"""),43.0)</f>
        <v>43</v>
      </c>
      <c r="D23" s="50" t="str">
        <f>IFERROR(__xludf.DUMMYFUNCTION("""COMPUTED_VALUE"""),"31-40")</f>
        <v>31-40</v>
      </c>
      <c r="E23" s="50">
        <f>IFERROR(__xludf.DUMMYFUNCTION("""COMPUTED_VALUE"""),4.0)</f>
        <v>4</v>
      </c>
      <c r="F23" s="49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>
      <c r="A24" s="50" t="str">
        <f>IFERROR(__xludf.DUMMYFUNCTION("""COMPUTED_VALUE"""),"51-60")</f>
        <v>51-60</v>
      </c>
      <c r="B24" s="50">
        <f>IFERROR(__xludf.DUMMYFUNCTION("""COMPUTED_VALUE"""),22.0)</f>
        <v>22</v>
      </c>
      <c r="D24" s="50" t="str">
        <f>IFERROR(__xludf.DUMMYFUNCTION("""COMPUTED_VALUE"""),"5-10")</f>
        <v>5-10</v>
      </c>
      <c r="E24" s="50">
        <f>IFERROR(__xludf.DUMMYFUNCTION("""COMPUTED_VALUE"""),33.0)</f>
        <v>33</v>
      </c>
      <c r="F24" s="49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>
      <c r="A25" s="51"/>
      <c r="D25" s="50" t="str">
        <f>IFERROR(__xludf.DUMMYFUNCTION("""COMPUTED_VALUE"""),"&lt; 5")</f>
        <v>&lt; 5</v>
      </c>
      <c r="E25" s="50">
        <f>IFERROR(__xludf.DUMMYFUNCTION("""COMPUTED_VALUE"""),53.0)</f>
        <v>53</v>
      </c>
      <c r="F25" s="49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>
      <c r="A26" s="51"/>
      <c r="F26" s="49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>
      <c r="A27" s="50" t="str">
        <f>IFERROR(__xludf.DUMMYFUNCTION("QUERY(Data!$A$1:$AN$1001,""select AJ, Count(AJ) WHERE H = 'Analytics' GROUP BY AJ"")"),"Region")</f>
        <v>Region</v>
      </c>
      <c r="B27" s="50" t="str">
        <f>IFERROR(__xludf.DUMMYFUNCTION("""COMPUTED_VALUE"""),"count Region")</f>
        <v>count Region</v>
      </c>
      <c r="D27" s="50" t="str">
        <f>IFERROR(__xludf.DUMMYFUNCTION("QUERY(Data!$A$1:$AN$1001,""select F, Count(F) WHERE H = 'Analytics' GROUP BY F"")"),"Gender")</f>
        <v>Gender</v>
      </c>
      <c r="E27" s="50" t="str">
        <f>IFERROR(__xludf.DUMMYFUNCTION("""COMPUTED_VALUE"""),"count Gender")</f>
        <v>count Gender</v>
      </c>
      <c r="F27" s="49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24.0" customHeight="1">
      <c r="A28" s="50" t="str">
        <f>IFERROR(__xludf.DUMMYFUNCTION("""COMPUTED_VALUE"""),"Midwest")</f>
        <v>Midwest</v>
      </c>
      <c r="B28" s="50">
        <f>IFERROR(__xludf.DUMMYFUNCTION("""COMPUTED_VALUE"""),42.0)</f>
        <v>42</v>
      </c>
      <c r="D28" s="50" t="str">
        <f>IFERROR(__xludf.DUMMYFUNCTION("""COMPUTED_VALUE"""),"F")</f>
        <v>F</v>
      </c>
      <c r="E28" s="50">
        <f>IFERROR(__xludf.DUMMYFUNCTION("""COMPUTED_VALUE"""),67.0)</f>
        <v>67</v>
      </c>
      <c r="F28" s="49"/>
      <c r="G28" s="22"/>
      <c r="H28" s="22"/>
      <c r="I28" s="22"/>
      <c r="J28" s="22"/>
      <c r="K28" s="47" t="s">
        <v>7398</v>
      </c>
      <c r="L28" s="22"/>
      <c r="M28" s="22"/>
      <c r="N28" s="22"/>
      <c r="O28" s="22"/>
      <c r="P28" s="22"/>
      <c r="Q28" s="22"/>
      <c r="R28" s="22"/>
      <c r="S28" s="47" t="s">
        <v>8579</v>
      </c>
      <c r="T28" s="22"/>
      <c r="U28" s="22"/>
      <c r="V28" s="22"/>
      <c r="W28" s="22"/>
      <c r="X28" s="22"/>
      <c r="Y28" s="22"/>
      <c r="Z28" s="22"/>
    </row>
    <row r="29">
      <c r="A29" s="50" t="str">
        <f>IFERROR(__xludf.DUMMYFUNCTION("""COMPUTED_VALUE"""),"Northeast")</f>
        <v>Northeast</v>
      </c>
      <c r="B29" s="50">
        <f>IFERROR(__xludf.DUMMYFUNCTION("""COMPUTED_VALUE"""),18.0)</f>
        <v>18</v>
      </c>
      <c r="D29" s="50" t="str">
        <f>IFERROR(__xludf.DUMMYFUNCTION("""COMPUTED_VALUE"""),"M")</f>
        <v>M</v>
      </c>
      <c r="E29" s="50">
        <f>IFERROR(__xludf.DUMMYFUNCTION("""COMPUTED_VALUE"""),64.0)</f>
        <v>64</v>
      </c>
      <c r="F29" s="49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>
      <c r="A30" s="50" t="str">
        <f>IFERROR(__xludf.DUMMYFUNCTION("""COMPUTED_VALUE"""),"South")</f>
        <v>South</v>
      </c>
      <c r="B30" s="50">
        <f>IFERROR(__xludf.DUMMYFUNCTION("""COMPUTED_VALUE"""),50.0)</f>
        <v>50</v>
      </c>
      <c r="F30" s="49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>
      <c r="A31" s="50" t="str">
        <f>IFERROR(__xludf.DUMMYFUNCTION("""COMPUTED_VALUE"""),"West")</f>
        <v>West</v>
      </c>
      <c r="B31" s="50">
        <f>IFERROR(__xludf.DUMMYFUNCTION("""COMPUTED_VALUE"""),21.0)</f>
        <v>21</v>
      </c>
      <c r="F31" s="49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>
      <c r="A32" s="57"/>
      <c r="B32" s="54"/>
      <c r="C32" s="54"/>
      <c r="D32" s="54"/>
      <c r="E32" s="54"/>
      <c r="F32" s="55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>
      <c r="A35" s="58" t="s">
        <v>6842</v>
      </c>
      <c r="B35" s="45"/>
      <c r="C35" s="45"/>
      <c r="D35" s="45"/>
      <c r="E35" s="45"/>
      <c r="F35" s="46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>
      <c r="A36" s="50" t="str">
        <f>IFERROR(__xludf.DUMMYFUNCTION("QUERY(Data!$A$1:$AN$1001,""select AM, Count(AM) WHERE H = 'Business Support' GROUP BY AM"")"),"Age Break")</f>
        <v>Age Break</v>
      </c>
      <c r="B36" s="50" t="str">
        <f>IFERROR(__xludf.DUMMYFUNCTION("""COMPUTED_VALUE"""),"count Age Break")</f>
        <v>count Age Break</v>
      </c>
      <c r="D36" s="50" t="str">
        <f>IFERROR(__xludf.DUMMYFUNCTION("QUERY(Data!A1:AN1001,""SELECT AN, COUNT(AN) WHERE H = 'Business Support' GROUP BY AN"")"),"Tenure Break")</f>
        <v>Tenure Break</v>
      </c>
      <c r="E36" s="50" t="str">
        <f>IFERROR(__xludf.DUMMYFUNCTION("""COMPUTED_VALUE"""),"count Tenure Break")</f>
        <v>count Tenure Break</v>
      </c>
      <c r="F36" s="49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>
      <c r="A37" s="50" t="str">
        <f>IFERROR(__xludf.DUMMYFUNCTION("""COMPUTED_VALUE"""),"21-30")</f>
        <v>21-30</v>
      </c>
      <c r="B37" s="50">
        <f>IFERROR(__xludf.DUMMYFUNCTION("""COMPUTED_VALUE"""),11.0)</f>
        <v>11</v>
      </c>
      <c r="D37" s="50" t="str">
        <f>IFERROR(__xludf.DUMMYFUNCTION("""COMPUTED_VALUE"""),"11-20")</f>
        <v>11-20</v>
      </c>
      <c r="E37" s="50">
        <f>IFERROR(__xludf.DUMMYFUNCTION("""COMPUTED_VALUE"""),13.0)</f>
        <v>13</v>
      </c>
      <c r="F37" s="49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>
      <c r="A38" s="50" t="str">
        <f>IFERROR(__xludf.DUMMYFUNCTION("""COMPUTED_VALUE"""),"31-40")</f>
        <v>31-40</v>
      </c>
      <c r="B38" s="50">
        <f>IFERROR(__xludf.DUMMYFUNCTION("""COMPUTED_VALUE"""),19.0)</f>
        <v>19</v>
      </c>
      <c r="D38" s="50" t="str">
        <f>IFERROR(__xludf.DUMMYFUNCTION("""COMPUTED_VALUE"""),"21-30")</f>
        <v>21-30</v>
      </c>
      <c r="E38" s="50">
        <f>IFERROR(__xludf.DUMMYFUNCTION("""COMPUTED_VALUE"""),1.0)</f>
        <v>1</v>
      </c>
      <c r="F38" s="49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>
      <c r="A39" s="50" t="str">
        <f>IFERROR(__xludf.DUMMYFUNCTION("""COMPUTED_VALUE"""),"41-50")</f>
        <v>41-50</v>
      </c>
      <c r="B39" s="50">
        <f>IFERROR(__xludf.DUMMYFUNCTION("""COMPUTED_VALUE"""),7.0)</f>
        <v>7</v>
      </c>
      <c r="D39" s="50" t="str">
        <f>IFERROR(__xludf.DUMMYFUNCTION("""COMPUTED_VALUE"""),"31-40")</f>
        <v>31-40</v>
      </c>
      <c r="E39" s="50">
        <f>IFERROR(__xludf.DUMMYFUNCTION("""COMPUTED_VALUE"""),1.0)</f>
        <v>1</v>
      </c>
      <c r="F39" s="49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>
      <c r="A40" s="50" t="str">
        <f>IFERROR(__xludf.DUMMYFUNCTION("""COMPUTED_VALUE"""),"51-60")</f>
        <v>51-60</v>
      </c>
      <c r="B40" s="50">
        <f>IFERROR(__xludf.DUMMYFUNCTION("""COMPUTED_VALUE"""),6.0)</f>
        <v>6</v>
      </c>
      <c r="D40" s="50" t="str">
        <f>IFERROR(__xludf.DUMMYFUNCTION("""COMPUTED_VALUE"""),"5-10")</f>
        <v>5-10</v>
      </c>
      <c r="E40" s="50">
        <f>IFERROR(__xludf.DUMMYFUNCTION("""COMPUTED_VALUE"""),14.0)</f>
        <v>14</v>
      </c>
      <c r="F40" s="49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>
      <c r="A41" s="51"/>
      <c r="D41" s="50" t="str">
        <f>IFERROR(__xludf.DUMMYFUNCTION("""COMPUTED_VALUE"""),"&lt; 5")</f>
        <v>&lt; 5</v>
      </c>
      <c r="E41" s="50">
        <f>IFERROR(__xludf.DUMMYFUNCTION("""COMPUTED_VALUE"""),14.0)</f>
        <v>14</v>
      </c>
      <c r="F41" s="49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>
      <c r="A42" s="51"/>
      <c r="F42" s="49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>
      <c r="A43" s="51"/>
      <c r="F43" s="49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>
      <c r="A44" s="50" t="str">
        <f>IFERROR(__xludf.DUMMYFUNCTION("QUERY(Data!$A$1:$AN$1001,""select AJ, Count(AJ) WHERE H = 'Business Support' GROUP BY AJ"")"),"Region")</f>
        <v>Region</v>
      </c>
      <c r="B44" s="50" t="str">
        <f>IFERROR(__xludf.DUMMYFUNCTION("""COMPUTED_VALUE"""),"count Region")</f>
        <v>count Region</v>
      </c>
      <c r="D44" s="50" t="str">
        <f>IFERROR(__xludf.DUMMYFUNCTION("QUERY(Data!$A$1:$AN$1001,""select F, Count(F) WHERE H = 'Business Support' GROUP BY F"")"),"Gender")</f>
        <v>Gender</v>
      </c>
      <c r="E44" s="50" t="str">
        <f>IFERROR(__xludf.DUMMYFUNCTION("""COMPUTED_VALUE"""),"count Gender")</f>
        <v>count Gender</v>
      </c>
      <c r="F44" s="49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>
      <c r="A45" s="50" t="str">
        <f>IFERROR(__xludf.DUMMYFUNCTION("""COMPUTED_VALUE"""),"Midwest")</f>
        <v>Midwest</v>
      </c>
      <c r="B45" s="50">
        <f>IFERROR(__xludf.DUMMYFUNCTION("""COMPUTED_VALUE"""),15.0)</f>
        <v>15</v>
      </c>
      <c r="D45" s="50" t="str">
        <f>IFERROR(__xludf.DUMMYFUNCTION("""COMPUTED_VALUE"""),"F")</f>
        <v>F</v>
      </c>
      <c r="E45" s="50">
        <f>IFERROR(__xludf.DUMMYFUNCTION("""COMPUTED_VALUE"""),22.0)</f>
        <v>22</v>
      </c>
      <c r="F45" s="49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>
      <c r="A46" s="50" t="str">
        <f>IFERROR(__xludf.DUMMYFUNCTION("""COMPUTED_VALUE"""),"Northeast")</f>
        <v>Northeast</v>
      </c>
      <c r="B46" s="50">
        <f>IFERROR(__xludf.DUMMYFUNCTION("""COMPUTED_VALUE"""),10.0)</f>
        <v>10</v>
      </c>
      <c r="D46" s="50" t="str">
        <f>IFERROR(__xludf.DUMMYFUNCTION("""COMPUTED_VALUE"""),"M")</f>
        <v>M</v>
      </c>
      <c r="E46" s="50">
        <f>IFERROR(__xludf.DUMMYFUNCTION("""COMPUTED_VALUE"""),21.0)</f>
        <v>21</v>
      </c>
      <c r="F46" s="49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>
      <c r="A47" s="50" t="str">
        <f>IFERROR(__xludf.DUMMYFUNCTION("""COMPUTED_VALUE"""),"South")</f>
        <v>South</v>
      </c>
      <c r="B47" s="50">
        <f>IFERROR(__xludf.DUMMYFUNCTION("""COMPUTED_VALUE"""),11.0)</f>
        <v>11</v>
      </c>
      <c r="F47" s="49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>
      <c r="A48" s="50" t="str">
        <f>IFERROR(__xludf.DUMMYFUNCTION("""COMPUTED_VALUE"""),"West")</f>
        <v>West</v>
      </c>
      <c r="B48" s="50">
        <f>IFERROR(__xludf.DUMMYFUNCTION("""COMPUTED_VALUE"""),7.0)</f>
        <v>7</v>
      </c>
      <c r="F48" s="49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>
      <c r="A49" s="51"/>
      <c r="F49" s="49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>
      <c r="A50" s="57"/>
      <c r="B50" s="54"/>
      <c r="C50" s="54"/>
      <c r="D50" s="54"/>
      <c r="E50" s="54"/>
      <c r="F50" s="55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8.0" customHeight="1">
      <c r="A53" s="58" t="s">
        <v>8579</v>
      </c>
      <c r="B53" s="45"/>
      <c r="C53" s="45"/>
      <c r="D53" s="45"/>
      <c r="E53" s="45"/>
      <c r="F53" s="46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>
      <c r="A54" s="50" t="str">
        <f>IFERROR(__xludf.DUMMYFUNCTION("QUERY(Data!$A$1:$AN$1001,""select AM, Count(AM) WHERE H = 'Customer Support' GROUP BY AM"")"),"Age Break")</f>
        <v>Age Break</v>
      </c>
      <c r="B54" s="50" t="str">
        <f>IFERROR(__xludf.DUMMYFUNCTION("""COMPUTED_VALUE"""),"count Age Break")</f>
        <v>count Age Break</v>
      </c>
      <c r="D54" s="50" t="str">
        <f>IFERROR(__xludf.DUMMYFUNCTION("QUERY(Data!A1:AN1001,""SELECT AN, COUNT(AN) WHERE H = 'Customer Support' GROUP BY AN"")"),"Tenure Break")</f>
        <v>Tenure Break</v>
      </c>
      <c r="E54" s="50" t="str">
        <f>IFERROR(__xludf.DUMMYFUNCTION("""COMPUTED_VALUE"""),"count Tenure Break")</f>
        <v>count Tenure Break</v>
      </c>
      <c r="F54" s="49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>
      <c r="A55" s="50" t="str">
        <f>IFERROR(__xludf.DUMMYFUNCTION("""COMPUTED_VALUE"""),"21-30")</f>
        <v>21-30</v>
      </c>
      <c r="B55" s="50">
        <f>IFERROR(__xludf.DUMMYFUNCTION("""COMPUTED_VALUE"""),52.0)</f>
        <v>52</v>
      </c>
      <c r="D55" s="50" t="str">
        <f>IFERROR(__xludf.DUMMYFUNCTION("""COMPUTED_VALUE"""),"11-20")</f>
        <v>11-20</v>
      </c>
      <c r="E55" s="50">
        <f>IFERROR(__xludf.DUMMYFUNCTION("""COMPUTED_VALUE"""),35.0)</f>
        <v>35</v>
      </c>
      <c r="F55" s="49"/>
      <c r="G55" s="22"/>
      <c r="H55" s="22"/>
      <c r="I55" s="22"/>
      <c r="J55" s="22"/>
      <c r="K55" s="47" t="s">
        <v>5806</v>
      </c>
      <c r="L55" s="22"/>
      <c r="M55" s="22"/>
      <c r="N55" s="22"/>
      <c r="O55" s="22"/>
      <c r="P55" s="22"/>
      <c r="Q55" s="22"/>
      <c r="R55" s="22"/>
      <c r="S55" s="47" t="s">
        <v>7234</v>
      </c>
      <c r="T55" s="22"/>
      <c r="U55" s="22"/>
      <c r="V55" s="22"/>
      <c r="W55" s="22"/>
      <c r="X55" s="22"/>
      <c r="Y55" s="22"/>
      <c r="Z55" s="22"/>
    </row>
    <row r="56">
      <c r="A56" s="50" t="str">
        <f>IFERROR(__xludf.DUMMYFUNCTION("""COMPUTED_VALUE"""),"31-40")</f>
        <v>31-40</v>
      </c>
      <c r="B56" s="50">
        <f>IFERROR(__xludf.DUMMYFUNCTION("""COMPUTED_VALUE"""),37.0)</f>
        <v>37</v>
      </c>
      <c r="D56" s="50" t="str">
        <f>IFERROR(__xludf.DUMMYFUNCTION("""COMPUTED_VALUE"""),"21-30")</f>
        <v>21-30</v>
      </c>
      <c r="E56" s="50">
        <f>IFERROR(__xludf.DUMMYFUNCTION("""COMPUTED_VALUE"""),13.0)</f>
        <v>13</v>
      </c>
      <c r="F56" s="49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>
      <c r="A57" s="50" t="str">
        <f>IFERROR(__xludf.DUMMYFUNCTION("""COMPUTED_VALUE"""),"41-50")</f>
        <v>41-50</v>
      </c>
      <c r="B57" s="50">
        <f>IFERROR(__xludf.DUMMYFUNCTION("""COMPUTED_VALUE"""),29.0)</f>
        <v>29</v>
      </c>
      <c r="D57" s="50" t="str">
        <f>IFERROR(__xludf.DUMMYFUNCTION("""COMPUTED_VALUE"""),"31-40")</f>
        <v>31-40</v>
      </c>
      <c r="E57" s="50">
        <f>IFERROR(__xludf.DUMMYFUNCTION("""COMPUTED_VALUE"""),5.0)</f>
        <v>5</v>
      </c>
      <c r="F57" s="49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>
      <c r="A58" s="50" t="str">
        <f>IFERROR(__xludf.DUMMYFUNCTION("""COMPUTED_VALUE"""),"51-60")</f>
        <v>51-60</v>
      </c>
      <c r="B58" s="50">
        <f>IFERROR(__xludf.DUMMYFUNCTION("""COMPUTED_VALUE"""),36.0)</f>
        <v>36</v>
      </c>
      <c r="D58" s="50" t="str">
        <f>IFERROR(__xludf.DUMMYFUNCTION("""COMPUTED_VALUE"""),"5-10")</f>
        <v>5-10</v>
      </c>
      <c r="E58" s="50">
        <f>IFERROR(__xludf.DUMMYFUNCTION("""COMPUTED_VALUE"""),36.0)</f>
        <v>36</v>
      </c>
      <c r="F58" s="49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>
      <c r="A59" s="51"/>
      <c r="D59" s="50" t="str">
        <f>IFERROR(__xludf.DUMMYFUNCTION("""COMPUTED_VALUE"""),"&lt; 5")</f>
        <v>&lt; 5</v>
      </c>
      <c r="E59" s="50">
        <f>IFERROR(__xludf.DUMMYFUNCTION("""COMPUTED_VALUE"""),65.0)</f>
        <v>65</v>
      </c>
      <c r="F59" s="49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>
      <c r="A60" s="51"/>
      <c r="F60" s="49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>
      <c r="A61" s="50" t="str">
        <f>IFERROR(__xludf.DUMMYFUNCTION("QUERY(Data!$A$1:$AN$1001,""select AJ, Count(AJ) WHERE H = 'Customer Support' GROUP BY AJ"")"),"Region")</f>
        <v>Region</v>
      </c>
      <c r="B61" s="50" t="str">
        <f>IFERROR(__xludf.DUMMYFUNCTION("""COMPUTED_VALUE"""),"count Region")</f>
        <v>count Region</v>
      </c>
      <c r="D61" s="50" t="str">
        <f>IFERROR(__xludf.DUMMYFUNCTION("QUERY(Data!$A$1:$AN$1001,""select F, Count(F) WHERE H = 'Customer Support' GROUP BY F"")"),"Gender")</f>
        <v>Gender</v>
      </c>
      <c r="E61" s="50" t="str">
        <f>IFERROR(__xludf.DUMMYFUNCTION("""COMPUTED_VALUE"""),"count Gender")</f>
        <v>count Gender</v>
      </c>
      <c r="F61" s="49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>
      <c r="A62" s="50" t="str">
        <f>IFERROR(__xludf.DUMMYFUNCTION("""COMPUTED_VALUE"""),"Midwest")</f>
        <v>Midwest</v>
      </c>
      <c r="B62" s="50">
        <f>IFERROR(__xludf.DUMMYFUNCTION("""COMPUTED_VALUE"""),37.0)</f>
        <v>37</v>
      </c>
      <c r="D62" s="50" t="str">
        <f>IFERROR(__xludf.DUMMYFUNCTION("""COMPUTED_VALUE"""),"F")</f>
        <v>F</v>
      </c>
      <c r="E62" s="50">
        <f>IFERROR(__xludf.DUMMYFUNCTION("""COMPUTED_VALUE"""),78.0)</f>
        <v>78</v>
      </c>
      <c r="F62" s="49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>
      <c r="A63" s="50" t="str">
        <f>IFERROR(__xludf.DUMMYFUNCTION("""COMPUTED_VALUE"""),"Northeast")</f>
        <v>Northeast</v>
      </c>
      <c r="B63" s="50">
        <f>IFERROR(__xludf.DUMMYFUNCTION("""COMPUTED_VALUE"""),25.0)</f>
        <v>25</v>
      </c>
      <c r="D63" s="50" t="str">
        <f>IFERROR(__xludf.DUMMYFUNCTION("""COMPUTED_VALUE"""),"M")</f>
        <v>M</v>
      </c>
      <c r="E63" s="50">
        <f>IFERROR(__xludf.DUMMYFUNCTION("""COMPUTED_VALUE"""),76.0)</f>
        <v>76</v>
      </c>
      <c r="F63" s="49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>
      <c r="A64" s="50" t="str">
        <f>IFERROR(__xludf.DUMMYFUNCTION("""COMPUTED_VALUE"""),"South")</f>
        <v>South</v>
      </c>
      <c r="B64" s="50">
        <f>IFERROR(__xludf.DUMMYFUNCTION("""COMPUTED_VALUE"""),66.0)</f>
        <v>66</v>
      </c>
      <c r="F64" s="49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>
      <c r="A65" s="50" t="str">
        <f>IFERROR(__xludf.DUMMYFUNCTION("""COMPUTED_VALUE"""),"West")</f>
        <v>West</v>
      </c>
      <c r="B65" s="50">
        <f>IFERROR(__xludf.DUMMYFUNCTION("""COMPUTED_VALUE"""),26.0)</f>
        <v>26</v>
      </c>
      <c r="F65" s="49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>
      <c r="A66" s="57"/>
      <c r="B66" s="54"/>
      <c r="C66" s="54"/>
      <c r="D66" s="54"/>
      <c r="E66" s="54"/>
      <c r="F66" s="55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>
      <c r="A69" s="44"/>
      <c r="B69" s="45"/>
      <c r="C69" s="45"/>
      <c r="D69" s="45"/>
      <c r="E69" s="45"/>
      <c r="F69" s="46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>
      <c r="A70" s="59" t="s">
        <v>5806</v>
      </c>
      <c r="F70" s="49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>
      <c r="A71" s="50" t="str">
        <f>IFERROR(__xludf.DUMMYFUNCTION("QUERY(Data!$A$1:$AN$1001,""select AM, Count(AM) WHERE H = 'Finanace' GROUP BY AM"")"),"Age Break")</f>
        <v>Age Break</v>
      </c>
      <c r="B71" s="50" t="str">
        <f>IFERROR(__xludf.DUMMYFUNCTION("""COMPUTED_VALUE"""),"count Age Break")</f>
        <v>count Age Break</v>
      </c>
      <c r="D71" s="50" t="str">
        <f>IFERROR(__xludf.DUMMYFUNCTION("QUERY(Data!A1:AN1001,""SELECT AN, COUNT(AN) WHERE H = 'Finanace' GROUP BY AN"")"),"Tenure Break")</f>
        <v>Tenure Break</v>
      </c>
      <c r="E71" s="50" t="str">
        <f>IFERROR(__xludf.DUMMYFUNCTION("""COMPUTED_VALUE"""),"count Tenure Break")</f>
        <v>count Tenure Break</v>
      </c>
      <c r="F71" s="49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>
      <c r="A72" s="50" t="str">
        <f>IFERROR(__xludf.DUMMYFUNCTION("""COMPUTED_VALUE"""),"21-30")</f>
        <v>21-30</v>
      </c>
      <c r="B72" s="50">
        <f>IFERROR(__xludf.DUMMYFUNCTION("""COMPUTED_VALUE"""),20.0)</f>
        <v>20</v>
      </c>
      <c r="D72" s="50" t="str">
        <f>IFERROR(__xludf.DUMMYFUNCTION("""COMPUTED_VALUE"""),"11-20")</f>
        <v>11-20</v>
      </c>
      <c r="E72" s="50">
        <f>IFERROR(__xludf.DUMMYFUNCTION("""COMPUTED_VALUE"""),29.0)</f>
        <v>29</v>
      </c>
      <c r="F72" s="49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>
      <c r="A73" s="50" t="str">
        <f>IFERROR(__xludf.DUMMYFUNCTION("""COMPUTED_VALUE"""),"31-40")</f>
        <v>31-40</v>
      </c>
      <c r="B73" s="50">
        <f>IFERROR(__xludf.DUMMYFUNCTION("""COMPUTED_VALUE"""),29.0)</f>
        <v>29</v>
      </c>
      <c r="D73" s="50" t="str">
        <f>IFERROR(__xludf.DUMMYFUNCTION("""COMPUTED_VALUE"""),"21-30")</f>
        <v>21-30</v>
      </c>
      <c r="E73" s="50">
        <f>IFERROR(__xludf.DUMMYFUNCTION("""COMPUTED_VALUE"""),13.0)</f>
        <v>13</v>
      </c>
      <c r="F73" s="49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>
      <c r="A74" s="50" t="str">
        <f>IFERROR(__xludf.DUMMYFUNCTION("""COMPUTED_VALUE"""),"41-50")</f>
        <v>41-50</v>
      </c>
      <c r="B74" s="50">
        <f>IFERROR(__xludf.DUMMYFUNCTION("""COMPUTED_VALUE"""),31.0)</f>
        <v>31</v>
      </c>
      <c r="D74" s="50" t="str">
        <f>IFERROR(__xludf.DUMMYFUNCTION("""COMPUTED_VALUE"""),"31-40")</f>
        <v>31-40</v>
      </c>
      <c r="E74" s="50">
        <f>IFERROR(__xludf.DUMMYFUNCTION("""COMPUTED_VALUE"""),5.0)</f>
        <v>5</v>
      </c>
      <c r="F74" s="49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>
      <c r="A75" s="50" t="str">
        <f>IFERROR(__xludf.DUMMYFUNCTION("""COMPUTED_VALUE"""),"51-60")</f>
        <v>51-60</v>
      </c>
      <c r="B75" s="50">
        <f>IFERROR(__xludf.DUMMYFUNCTION("""COMPUTED_VALUE"""),31.0)</f>
        <v>31</v>
      </c>
      <c r="D75" s="50" t="str">
        <f>IFERROR(__xludf.DUMMYFUNCTION("""COMPUTED_VALUE"""),"5-10")</f>
        <v>5-10</v>
      </c>
      <c r="E75" s="50">
        <f>IFERROR(__xludf.DUMMYFUNCTION("""COMPUTED_VALUE"""),20.0)</f>
        <v>20</v>
      </c>
      <c r="F75" s="49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>
      <c r="A76" s="51"/>
      <c r="D76" s="50" t="str">
        <f>IFERROR(__xludf.DUMMYFUNCTION("""COMPUTED_VALUE"""),"&lt; 5")</f>
        <v>&lt; 5</v>
      </c>
      <c r="E76" s="50">
        <f>IFERROR(__xludf.DUMMYFUNCTION("""COMPUTED_VALUE"""),44.0)</f>
        <v>44</v>
      </c>
      <c r="F76" s="49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>
      <c r="A77" s="51"/>
      <c r="F77" s="49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>
      <c r="A78" s="50" t="str">
        <f>IFERROR(__xludf.DUMMYFUNCTION("QUERY(Data!$A$1:$AN$1001,""select AJ, Count(AJ) WHERE H = 'Customer Support' GROUP BY AJ"")"),"Region")</f>
        <v>Region</v>
      </c>
      <c r="B78" s="50" t="str">
        <f>IFERROR(__xludf.DUMMYFUNCTION("""COMPUTED_VALUE"""),"count Region")</f>
        <v>count Region</v>
      </c>
      <c r="D78" s="50" t="str">
        <f>IFERROR(__xludf.DUMMYFUNCTION("QUERY(Data!$A$1:$AN$1001,""select F, Count(F) WHERE H = 'Finanace' GROUP BY F"")"),"Gender")</f>
        <v>Gender</v>
      </c>
      <c r="E78" s="50" t="str">
        <f>IFERROR(__xludf.DUMMYFUNCTION("""COMPUTED_VALUE"""),"count Gender")</f>
        <v>count Gender</v>
      </c>
      <c r="F78" s="49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>
      <c r="A79" s="50" t="str">
        <f>IFERROR(__xludf.DUMMYFUNCTION("""COMPUTED_VALUE"""),"Midwest")</f>
        <v>Midwest</v>
      </c>
      <c r="B79" s="50">
        <f>IFERROR(__xludf.DUMMYFUNCTION("""COMPUTED_VALUE"""),37.0)</f>
        <v>37</v>
      </c>
      <c r="D79" s="50" t="str">
        <f>IFERROR(__xludf.DUMMYFUNCTION("""COMPUTED_VALUE"""),"F")</f>
        <v>F</v>
      </c>
      <c r="E79" s="50">
        <f>IFERROR(__xludf.DUMMYFUNCTION("""COMPUTED_VALUE"""),63.0)</f>
        <v>63</v>
      </c>
      <c r="F79" s="49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>
      <c r="A80" s="50" t="str">
        <f>IFERROR(__xludf.DUMMYFUNCTION("""COMPUTED_VALUE"""),"Northeast")</f>
        <v>Northeast</v>
      </c>
      <c r="B80" s="50">
        <f>IFERROR(__xludf.DUMMYFUNCTION("""COMPUTED_VALUE"""),25.0)</f>
        <v>25</v>
      </c>
      <c r="D80" s="50" t="str">
        <f>IFERROR(__xludf.DUMMYFUNCTION("""COMPUTED_VALUE"""),"M")</f>
        <v>M</v>
      </c>
      <c r="E80" s="50">
        <f>IFERROR(__xludf.DUMMYFUNCTION("""COMPUTED_VALUE"""),48.0)</f>
        <v>48</v>
      </c>
      <c r="F80" s="49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>
      <c r="A81" s="50" t="str">
        <f>IFERROR(__xludf.DUMMYFUNCTION("""COMPUTED_VALUE"""),"South")</f>
        <v>South</v>
      </c>
      <c r="B81" s="50">
        <f>IFERROR(__xludf.DUMMYFUNCTION("""COMPUTED_VALUE"""),66.0)</f>
        <v>66</v>
      </c>
      <c r="F81" s="49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>
      <c r="A82" s="50" t="str">
        <f>IFERROR(__xludf.DUMMYFUNCTION("""COMPUTED_VALUE"""),"West")</f>
        <v>West</v>
      </c>
      <c r="B82" s="50">
        <f>IFERROR(__xludf.DUMMYFUNCTION("""COMPUTED_VALUE"""),26.0)</f>
        <v>26</v>
      </c>
      <c r="F82" s="49"/>
      <c r="G82" s="22"/>
      <c r="H82" s="22"/>
      <c r="I82" s="22"/>
      <c r="J82" s="22"/>
      <c r="K82" s="47" t="s">
        <v>1395</v>
      </c>
      <c r="L82" s="22"/>
      <c r="M82" s="22"/>
      <c r="N82" s="22"/>
      <c r="O82" s="22"/>
      <c r="P82" s="22"/>
      <c r="Q82" s="22"/>
      <c r="R82" s="22"/>
      <c r="S82" s="47" t="s">
        <v>4643</v>
      </c>
      <c r="T82" s="22"/>
      <c r="U82" s="22"/>
      <c r="V82" s="22"/>
      <c r="W82" s="22"/>
      <c r="X82" s="22"/>
      <c r="Y82" s="22"/>
      <c r="Z82" s="22"/>
    </row>
    <row r="83">
      <c r="A83" s="57"/>
      <c r="B83" s="54"/>
      <c r="C83" s="54"/>
      <c r="D83" s="54"/>
      <c r="E83" s="54"/>
      <c r="F83" s="55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>
      <c r="A86" s="58" t="s">
        <v>7234</v>
      </c>
      <c r="B86" s="45"/>
      <c r="C86" s="45"/>
      <c r="D86" s="45"/>
      <c r="E86" s="45"/>
      <c r="F86" s="46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>
      <c r="A87" s="50" t="str">
        <f>IFERROR(__xludf.DUMMYFUNCTION("QUERY(Data!$A$1:$AN$1001,""select AM, Count(AM) WHERE H = 'Management' GROUP BY AM"")"),"Age Break")</f>
        <v>Age Break</v>
      </c>
      <c r="B87" s="50" t="str">
        <f>IFERROR(__xludf.DUMMYFUNCTION("""COMPUTED_VALUE"""),"count Age Break")</f>
        <v>count Age Break</v>
      </c>
      <c r="D87" s="50" t="str">
        <f>IFERROR(__xludf.DUMMYFUNCTION("QUERY(Data!A1:AN1001,""SELECT AN, COUNT(AN) WHERE H = 'Management' GROUP BY AN"")"),"Tenure Break")</f>
        <v>Tenure Break</v>
      </c>
      <c r="E87" s="50" t="str">
        <f>IFERROR(__xludf.DUMMYFUNCTION("""COMPUTED_VALUE"""),"count Tenure Break")</f>
        <v>count Tenure Break</v>
      </c>
      <c r="F87" s="49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>
      <c r="A88" s="50" t="str">
        <f>IFERROR(__xludf.DUMMYFUNCTION("""COMPUTED_VALUE"""),"21-30")</f>
        <v>21-30</v>
      </c>
      <c r="B88" s="50">
        <f>IFERROR(__xludf.DUMMYFUNCTION("""COMPUTED_VALUE"""),3.0)</f>
        <v>3</v>
      </c>
      <c r="D88" s="50" t="str">
        <f>IFERROR(__xludf.DUMMYFUNCTION("""COMPUTED_VALUE"""),"11-20")</f>
        <v>11-20</v>
      </c>
      <c r="E88" s="50">
        <f>IFERROR(__xludf.DUMMYFUNCTION("""COMPUTED_VALUE"""),4.0)</f>
        <v>4</v>
      </c>
      <c r="F88" s="49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>
      <c r="A89" s="50" t="str">
        <f>IFERROR(__xludf.DUMMYFUNCTION("""COMPUTED_VALUE"""),"31-40")</f>
        <v>31-40</v>
      </c>
      <c r="B89" s="50">
        <f>IFERROR(__xludf.DUMMYFUNCTION("""COMPUTED_VALUE"""),5.0)</f>
        <v>5</v>
      </c>
      <c r="D89" s="50" t="str">
        <f>IFERROR(__xludf.DUMMYFUNCTION("""COMPUTED_VALUE"""),"21-30")</f>
        <v>21-30</v>
      </c>
      <c r="E89" s="50">
        <f>IFERROR(__xludf.DUMMYFUNCTION("""COMPUTED_VALUE"""),5.0)</f>
        <v>5</v>
      </c>
      <c r="F89" s="49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>
      <c r="A90" s="50" t="str">
        <f>IFERROR(__xludf.DUMMYFUNCTION("""COMPUTED_VALUE"""),"41-50")</f>
        <v>41-50</v>
      </c>
      <c r="B90" s="50">
        <f>IFERROR(__xludf.DUMMYFUNCTION("""COMPUTED_VALUE"""),6.0)</f>
        <v>6</v>
      </c>
      <c r="D90" s="50" t="str">
        <f>IFERROR(__xludf.DUMMYFUNCTION("""COMPUTED_VALUE"""),"5-10")</f>
        <v>5-10</v>
      </c>
      <c r="E90" s="50">
        <f>IFERROR(__xludf.DUMMYFUNCTION("""COMPUTED_VALUE"""),4.0)</f>
        <v>4</v>
      </c>
      <c r="F90" s="49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>
      <c r="A91" s="50" t="str">
        <f>IFERROR(__xludf.DUMMYFUNCTION("""COMPUTED_VALUE"""),"51-60")</f>
        <v>51-60</v>
      </c>
      <c r="B91" s="50">
        <f>IFERROR(__xludf.DUMMYFUNCTION("""COMPUTED_VALUE"""),4.0)</f>
        <v>4</v>
      </c>
      <c r="D91" s="50" t="str">
        <f>IFERROR(__xludf.DUMMYFUNCTION("""COMPUTED_VALUE"""),"&lt; 5")</f>
        <v>&lt; 5</v>
      </c>
      <c r="E91" s="50">
        <f>IFERROR(__xludf.DUMMYFUNCTION("""COMPUTED_VALUE"""),5.0)</f>
        <v>5</v>
      </c>
      <c r="F91" s="49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>
      <c r="A92" s="51"/>
      <c r="D92" s="60"/>
      <c r="E92" s="60"/>
      <c r="F92" s="49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>
      <c r="A93" s="51"/>
      <c r="F93" s="49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>
      <c r="A94" s="50" t="str">
        <f>IFERROR(__xludf.DUMMYFUNCTION("QUERY(Data!$A$1:$AN$1001,""select AJ, Count(AJ) WHERE H = 'Management' GROUP BY AJ"")"),"Region")</f>
        <v>Region</v>
      </c>
      <c r="B94" s="50" t="str">
        <f>IFERROR(__xludf.DUMMYFUNCTION("""COMPUTED_VALUE"""),"count Region")</f>
        <v>count Region</v>
      </c>
      <c r="D94" s="50" t="str">
        <f>IFERROR(__xludf.DUMMYFUNCTION("QUERY(Data!$A$1:$AN$1001,""select F, Count(F) WHERE H = 'Management' GROUP BY F"")"),"Gender")</f>
        <v>Gender</v>
      </c>
      <c r="E94" s="50" t="str">
        <f>IFERROR(__xludf.DUMMYFUNCTION("""COMPUTED_VALUE"""),"count Gender")</f>
        <v>count Gender</v>
      </c>
      <c r="F94" s="49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>
      <c r="A95" s="50" t="str">
        <f>IFERROR(__xludf.DUMMYFUNCTION("""COMPUTED_VALUE"""),"Midwest")</f>
        <v>Midwest</v>
      </c>
      <c r="B95" s="50">
        <f>IFERROR(__xludf.DUMMYFUNCTION("""COMPUTED_VALUE"""),6.0)</f>
        <v>6</v>
      </c>
      <c r="D95" s="50" t="str">
        <f>IFERROR(__xludf.DUMMYFUNCTION("""COMPUTED_VALUE"""),"F")</f>
        <v>F</v>
      </c>
      <c r="E95" s="50">
        <f>IFERROR(__xludf.DUMMYFUNCTION("""COMPUTED_VALUE"""),8.0)</f>
        <v>8</v>
      </c>
      <c r="F95" s="49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>
      <c r="A96" s="50" t="str">
        <f>IFERROR(__xludf.DUMMYFUNCTION("""COMPUTED_VALUE"""),"Northeast")</f>
        <v>Northeast</v>
      </c>
      <c r="B96" s="50">
        <f>IFERROR(__xludf.DUMMYFUNCTION("""COMPUTED_VALUE"""),2.0)</f>
        <v>2</v>
      </c>
      <c r="D96" s="50" t="str">
        <f>IFERROR(__xludf.DUMMYFUNCTION("""COMPUTED_VALUE"""),"M")</f>
        <v>M</v>
      </c>
      <c r="E96" s="50">
        <f>IFERROR(__xludf.DUMMYFUNCTION("""COMPUTED_VALUE"""),10.0)</f>
        <v>10</v>
      </c>
      <c r="F96" s="49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>
      <c r="A97" s="50" t="str">
        <f>IFERROR(__xludf.DUMMYFUNCTION("""COMPUTED_VALUE"""),"South")</f>
        <v>South</v>
      </c>
      <c r="B97" s="50">
        <f>IFERROR(__xludf.DUMMYFUNCTION("""COMPUTED_VALUE"""),6.0)</f>
        <v>6</v>
      </c>
      <c r="F97" s="49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>
      <c r="A98" s="50" t="str">
        <f>IFERROR(__xludf.DUMMYFUNCTION("""COMPUTED_VALUE"""),"West")</f>
        <v>West</v>
      </c>
      <c r="B98" s="50">
        <f>IFERROR(__xludf.DUMMYFUNCTION("""COMPUTED_VALUE"""),4.0)</f>
        <v>4</v>
      </c>
      <c r="F98" s="49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>
      <c r="A99" s="57"/>
      <c r="B99" s="54"/>
      <c r="C99" s="54"/>
      <c r="D99" s="54"/>
      <c r="E99" s="54"/>
      <c r="F99" s="55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>
      <c r="A102" s="58" t="s">
        <v>1395</v>
      </c>
      <c r="B102" s="45"/>
      <c r="C102" s="45"/>
      <c r="D102" s="45"/>
      <c r="E102" s="45"/>
      <c r="F102" s="46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>
      <c r="A103" s="50" t="str">
        <f>IFERROR(__xludf.DUMMYFUNCTION("QUERY(Data!$A$1:$AN$1001,""select AM, Count(AM) WHERE H = 'Operations' GROUP BY AM"")"),"Age Break")</f>
        <v>Age Break</v>
      </c>
      <c r="B103" s="50" t="str">
        <f>IFERROR(__xludf.DUMMYFUNCTION("""COMPUTED_VALUE"""),"count Age Break")</f>
        <v>count Age Break</v>
      </c>
      <c r="D103" s="50" t="str">
        <f>IFERROR(__xludf.DUMMYFUNCTION("QUERY(Data!A1:AN1001,""SELECT AN, COUNT(AN) WHERE H = 'Operations' GROUP BY AN"")"),"Tenure Break")</f>
        <v>Tenure Break</v>
      </c>
      <c r="E103" s="50" t="str">
        <f>IFERROR(__xludf.DUMMYFUNCTION("""COMPUTED_VALUE"""),"count Tenure Break")</f>
        <v>count Tenure Break</v>
      </c>
      <c r="F103" s="49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>
      <c r="A104" s="50" t="str">
        <f>IFERROR(__xludf.DUMMYFUNCTION("""COMPUTED_VALUE"""),"21-30")</f>
        <v>21-30</v>
      </c>
      <c r="B104" s="50">
        <f>IFERROR(__xludf.DUMMYFUNCTION("""COMPUTED_VALUE"""),83.0)</f>
        <v>83</v>
      </c>
      <c r="D104" s="50" t="str">
        <f>IFERROR(__xludf.DUMMYFUNCTION("""COMPUTED_VALUE"""),"11-20")</f>
        <v>11-20</v>
      </c>
      <c r="E104" s="50">
        <f>IFERROR(__xludf.DUMMYFUNCTION("""COMPUTED_VALUE"""),74.0)</f>
        <v>74</v>
      </c>
      <c r="F104" s="49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>
      <c r="A105" s="50" t="str">
        <f>IFERROR(__xludf.DUMMYFUNCTION("""COMPUTED_VALUE"""),"31-40")</f>
        <v>31-40</v>
      </c>
      <c r="B105" s="50">
        <f>IFERROR(__xludf.DUMMYFUNCTION("""COMPUTED_VALUE"""),77.0)</f>
        <v>77</v>
      </c>
      <c r="D105" s="50" t="str">
        <f>IFERROR(__xludf.DUMMYFUNCTION("""COMPUTED_VALUE"""),"21-30")</f>
        <v>21-30</v>
      </c>
      <c r="E105" s="50">
        <f>IFERROR(__xludf.DUMMYFUNCTION("""COMPUTED_VALUE"""),30.0)</f>
        <v>30</v>
      </c>
      <c r="F105" s="49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>
      <c r="A106" s="50" t="str">
        <f>IFERROR(__xludf.DUMMYFUNCTION("""COMPUTED_VALUE"""),"41-50")</f>
        <v>41-50</v>
      </c>
      <c r="B106" s="50">
        <f>IFERROR(__xludf.DUMMYFUNCTION("""COMPUTED_VALUE"""),84.0)</f>
        <v>84</v>
      </c>
      <c r="D106" s="50" t="str">
        <f>IFERROR(__xludf.DUMMYFUNCTION("""COMPUTED_VALUE"""),"31-40")</f>
        <v>31-40</v>
      </c>
      <c r="E106" s="50">
        <f>IFERROR(__xludf.DUMMYFUNCTION("""COMPUTED_VALUE"""),6.0)</f>
        <v>6</v>
      </c>
      <c r="F106" s="49"/>
      <c r="G106" s="22"/>
      <c r="H106" s="22"/>
      <c r="I106" s="22"/>
      <c r="J106" s="22"/>
      <c r="K106" s="47" t="s">
        <v>604</v>
      </c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>
      <c r="A107" s="50" t="str">
        <f>IFERROR(__xludf.DUMMYFUNCTION("""COMPUTED_VALUE"""),"51-60")</f>
        <v>51-60</v>
      </c>
      <c r="B107" s="50">
        <f>IFERROR(__xludf.DUMMYFUNCTION("""COMPUTED_VALUE"""),70.0)</f>
        <v>70</v>
      </c>
      <c r="D107" s="50" t="str">
        <f>IFERROR(__xludf.DUMMYFUNCTION("""COMPUTED_VALUE"""),"5-10")</f>
        <v>5-10</v>
      </c>
      <c r="E107" s="50">
        <f>IFERROR(__xludf.DUMMYFUNCTION("""COMPUTED_VALUE"""),96.0)</f>
        <v>96</v>
      </c>
      <c r="F107" s="49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>
      <c r="A108" s="51"/>
      <c r="D108" s="50" t="str">
        <f>IFERROR(__xludf.DUMMYFUNCTION("""COMPUTED_VALUE"""),"&lt; 5")</f>
        <v>&lt; 5</v>
      </c>
      <c r="E108" s="50">
        <f>IFERROR(__xludf.DUMMYFUNCTION("""COMPUTED_VALUE"""),108.0)</f>
        <v>108</v>
      </c>
      <c r="F108" s="49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>
      <c r="A109" s="51"/>
      <c r="F109" s="49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>
      <c r="A110" s="50" t="str">
        <f>IFERROR(__xludf.DUMMYFUNCTION("QUERY(Data!$A$1:$AN$1001,""select AJ, Count(AJ) WHERE H = 'Operations' GROUP BY AJ"")"),"Region")</f>
        <v>Region</v>
      </c>
      <c r="B110" s="50" t="str">
        <f>IFERROR(__xludf.DUMMYFUNCTION("""COMPUTED_VALUE"""),"count Region")</f>
        <v>count Region</v>
      </c>
      <c r="D110" s="50" t="str">
        <f>IFERROR(__xludf.DUMMYFUNCTION("QUERY(Data!$A$1:$AN$1001,""select F, Count(F) WHERE H = 'Operations' GROUP BY F"")"),"Gender")</f>
        <v>Gender</v>
      </c>
      <c r="E110" s="50" t="str">
        <f>IFERROR(__xludf.DUMMYFUNCTION("""COMPUTED_VALUE"""),"count Gender")</f>
        <v>count Gender</v>
      </c>
      <c r="F110" s="49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>
      <c r="A111" s="50" t="str">
        <f>IFERROR(__xludf.DUMMYFUNCTION("""COMPUTED_VALUE"""),"Midwest")</f>
        <v>Midwest</v>
      </c>
      <c r="B111" s="50">
        <f>IFERROR(__xludf.DUMMYFUNCTION("""COMPUTED_VALUE"""),93.0)</f>
        <v>93</v>
      </c>
      <c r="D111" s="50" t="str">
        <f>IFERROR(__xludf.DUMMYFUNCTION("""COMPUTED_VALUE"""),"F")</f>
        <v>F</v>
      </c>
      <c r="E111" s="50">
        <f>IFERROR(__xludf.DUMMYFUNCTION("""COMPUTED_VALUE"""),149.0)</f>
        <v>149</v>
      </c>
      <c r="F111" s="49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>
      <c r="A112" s="50" t="str">
        <f>IFERROR(__xludf.DUMMYFUNCTION("""COMPUTED_VALUE"""),"Northeast")</f>
        <v>Northeast</v>
      </c>
      <c r="B112" s="50">
        <f>IFERROR(__xludf.DUMMYFUNCTION("""COMPUTED_VALUE"""),62.0)</f>
        <v>62</v>
      </c>
      <c r="D112" s="50" t="str">
        <f>IFERROR(__xludf.DUMMYFUNCTION("""COMPUTED_VALUE"""),"M")</f>
        <v>M</v>
      </c>
      <c r="E112" s="50">
        <f>IFERROR(__xludf.DUMMYFUNCTION("""COMPUTED_VALUE"""),165.0)</f>
        <v>165</v>
      </c>
      <c r="F112" s="49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>
      <c r="A113" s="50" t="str">
        <f>IFERROR(__xludf.DUMMYFUNCTION("""COMPUTED_VALUE"""),"South")</f>
        <v>South</v>
      </c>
      <c r="B113" s="50">
        <f>IFERROR(__xludf.DUMMYFUNCTION("""COMPUTED_VALUE"""),113.0)</f>
        <v>113</v>
      </c>
      <c r="F113" s="49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>
      <c r="A114" s="50" t="str">
        <f>IFERROR(__xludf.DUMMYFUNCTION("""COMPUTED_VALUE"""),"West")</f>
        <v>West</v>
      </c>
      <c r="B114" s="50">
        <f>IFERROR(__xludf.DUMMYFUNCTION("""COMPUTED_VALUE"""),46.0)</f>
        <v>46</v>
      </c>
      <c r="F114" s="49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>
      <c r="A115" s="57"/>
      <c r="B115" s="54"/>
      <c r="C115" s="54"/>
      <c r="D115" s="54"/>
      <c r="E115" s="54"/>
      <c r="F115" s="55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>
      <c r="A118" s="58" t="s">
        <v>4643</v>
      </c>
      <c r="B118" s="45"/>
      <c r="C118" s="45"/>
      <c r="D118" s="45"/>
      <c r="E118" s="45"/>
      <c r="F118" s="46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>
      <c r="A119" s="50" t="str">
        <f>IFERROR(__xludf.DUMMYFUNCTION("QUERY(Data!$A$1:$AN$1001,""select AM, Count(AM) WHERE H = 'Sales' GROUP BY AM"")"),"Age Break")</f>
        <v>Age Break</v>
      </c>
      <c r="B119" s="50" t="str">
        <f>IFERROR(__xludf.DUMMYFUNCTION("""COMPUTED_VALUE"""),"count Age Break")</f>
        <v>count Age Break</v>
      </c>
      <c r="D119" s="50" t="str">
        <f>IFERROR(__xludf.DUMMYFUNCTION("QUERY(Data!A1:AN1001,""SELECT AN, COUNT(AN) WHERE H = 'Sales' GROUP BY AN"")"),"Tenure Break")</f>
        <v>Tenure Break</v>
      </c>
      <c r="E119" s="50" t="str">
        <f>IFERROR(__xludf.DUMMYFUNCTION("""COMPUTED_VALUE"""),"count Tenure Break")</f>
        <v>count Tenure Break</v>
      </c>
      <c r="F119" s="49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>
      <c r="A120" s="50" t="str">
        <f>IFERROR(__xludf.DUMMYFUNCTION("""COMPUTED_VALUE"""),"21-30")</f>
        <v>21-30</v>
      </c>
      <c r="B120" s="50">
        <f>IFERROR(__xludf.DUMMYFUNCTION("""COMPUTED_VALUE"""),27.0)</f>
        <v>27</v>
      </c>
      <c r="D120" s="50" t="str">
        <f>IFERROR(__xludf.DUMMYFUNCTION("""COMPUTED_VALUE"""),"11-20")</f>
        <v>11-20</v>
      </c>
      <c r="E120" s="50">
        <f>IFERROR(__xludf.DUMMYFUNCTION("""COMPUTED_VALUE"""),36.0)</f>
        <v>36</v>
      </c>
      <c r="F120" s="49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>
      <c r="A121" s="50" t="str">
        <f>IFERROR(__xludf.DUMMYFUNCTION("""COMPUTED_VALUE"""),"31-40")</f>
        <v>31-40</v>
      </c>
      <c r="B121" s="50">
        <f>IFERROR(__xludf.DUMMYFUNCTION("""COMPUTED_VALUE"""),26.0)</f>
        <v>26</v>
      </c>
      <c r="D121" s="50" t="str">
        <f>IFERROR(__xludf.DUMMYFUNCTION("""COMPUTED_VALUE"""),"21-30")</f>
        <v>21-30</v>
      </c>
      <c r="E121" s="50">
        <f>IFERROR(__xludf.DUMMYFUNCTION("""COMPUTED_VALUE"""),16.0)</f>
        <v>16</v>
      </c>
      <c r="F121" s="49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>
      <c r="A122" s="50" t="str">
        <f>IFERROR(__xludf.DUMMYFUNCTION("""COMPUTED_VALUE"""),"41-50")</f>
        <v>41-50</v>
      </c>
      <c r="B122" s="50">
        <f>IFERROR(__xludf.DUMMYFUNCTION("""COMPUTED_VALUE"""),39.0)</f>
        <v>39</v>
      </c>
      <c r="D122" s="50" t="str">
        <f>IFERROR(__xludf.DUMMYFUNCTION("""COMPUTED_VALUE"""),"31-40")</f>
        <v>31-40</v>
      </c>
      <c r="E122" s="50">
        <f>IFERROR(__xludf.DUMMYFUNCTION("""COMPUTED_VALUE"""),2.0)</f>
        <v>2</v>
      </c>
      <c r="F122" s="49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>
      <c r="A123" s="50" t="str">
        <f>IFERROR(__xludf.DUMMYFUNCTION("""COMPUTED_VALUE"""),"51-60")</f>
        <v>51-60</v>
      </c>
      <c r="B123" s="50">
        <f>IFERROR(__xludf.DUMMYFUNCTION("""COMPUTED_VALUE"""),30.0)</f>
        <v>30</v>
      </c>
      <c r="D123" s="50" t="str">
        <f>IFERROR(__xludf.DUMMYFUNCTION("""COMPUTED_VALUE"""),"5-10")</f>
        <v>5-10</v>
      </c>
      <c r="E123" s="50">
        <f>IFERROR(__xludf.DUMMYFUNCTION("""COMPUTED_VALUE"""),30.0)</f>
        <v>30</v>
      </c>
      <c r="F123" s="49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>
      <c r="A124" s="51"/>
      <c r="D124" s="50" t="str">
        <f>IFERROR(__xludf.DUMMYFUNCTION("""COMPUTED_VALUE"""),"&lt; 5")</f>
        <v>&lt; 5</v>
      </c>
      <c r="E124" s="50">
        <f>IFERROR(__xludf.DUMMYFUNCTION("""COMPUTED_VALUE"""),38.0)</f>
        <v>38</v>
      </c>
      <c r="F124" s="49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>
      <c r="A125" s="51"/>
      <c r="F125" s="49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>
      <c r="A126" s="50" t="str">
        <f>IFERROR(__xludf.DUMMYFUNCTION("QUERY(Data!$A$1:$AN$1001,""select AJ, Count(AJ) WHERE H = 'Sales' GROUP BY AJ"")"),"Region")</f>
        <v>Region</v>
      </c>
      <c r="B126" s="50" t="str">
        <f>IFERROR(__xludf.DUMMYFUNCTION("""COMPUTED_VALUE"""),"count Region")</f>
        <v>count Region</v>
      </c>
      <c r="D126" s="50" t="str">
        <f>IFERROR(__xludf.DUMMYFUNCTION("QUERY(Data!$A$1:$AN$1001,""select F, Count(F) WHERE H = 'Sales' GROUP BY F"")"),"Gender")</f>
        <v>Gender</v>
      </c>
      <c r="E126" s="50" t="str">
        <f>IFERROR(__xludf.DUMMYFUNCTION("""COMPUTED_VALUE"""),"count Gender")</f>
        <v>count Gender</v>
      </c>
      <c r="F126" s="49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>
      <c r="A127" s="50" t="str">
        <f>IFERROR(__xludf.DUMMYFUNCTION("""COMPUTED_VALUE"""),"Midwest")</f>
        <v>Midwest</v>
      </c>
      <c r="B127" s="50">
        <f>IFERROR(__xludf.DUMMYFUNCTION("""COMPUTED_VALUE"""),38.0)</f>
        <v>38</v>
      </c>
      <c r="D127" s="50" t="str">
        <f>IFERROR(__xludf.DUMMYFUNCTION("""COMPUTED_VALUE"""),"F")</f>
        <v>F</v>
      </c>
      <c r="E127" s="50">
        <f>IFERROR(__xludf.DUMMYFUNCTION("""COMPUTED_VALUE"""),61.0)</f>
        <v>61</v>
      </c>
      <c r="F127" s="49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>
      <c r="A128" s="50" t="str">
        <f>IFERROR(__xludf.DUMMYFUNCTION("""COMPUTED_VALUE"""),"Northeast")</f>
        <v>Northeast</v>
      </c>
      <c r="B128" s="50">
        <f>IFERROR(__xludf.DUMMYFUNCTION("""COMPUTED_VALUE"""),20.0)</f>
        <v>20</v>
      </c>
      <c r="D128" s="50" t="str">
        <f>IFERROR(__xludf.DUMMYFUNCTION("""COMPUTED_VALUE"""),"M")</f>
        <v>M</v>
      </c>
      <c r="E128" s="50">
        <f>IFERROR(__xludf.DUMMYFUNCTION("""COMPUTED_VALUE"""),61.0)</f>
        <v>61</v>
      </c>
      <c r="F128" s="49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>
      <c r="A129" s="50" t="str">
        <f>IFERROR(__xludf.DUMMYFUNCTION("""COMPUTED_VALUE"""),"South")</f>
        <v>South</v>
      </c>
      <c r="B129" s="50">
        <f>IFERROR(__xludf.DUMMYFUNCTION("""COMPUTED_VALUE"""),45.0)</f>
        <v>45</v>
      </c>
      <c r="F129" s="49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>
      <c r="A130" s="50" t="str">
        <f>IFERROR(__xludf.DUMMYFUNCTION("""COMPUTED_VALUE"""),"West")</f>
        <v>West</v>
      </c>
      <c r="B130" s="50">
        <f>IFERROR(__xludf.DUMMYFUNCTION("""COMPUTED_VALUE"""),19.0)</f>
        <v>19</v>
      </c>
      <c r="F130" s="49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>
      <c r="A131" s="57"/>
      <c r="B131" s="54"/>
      <c r="C131" s="54"/>
      <c r="D131" s="54"/>
      <c r="E131" s="54"/>
      <c r="F131" s="55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>
      <c r="A134" s="58" t="s">
        <v>604</v>
      </c>
      <c r="B134" s="45"/>
      <c r="C134" s="45"/>
      <c r="D134" s="45"/>
      <c r="E134" s="45"/>
      <c r="F134" s="46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>
      <c r="A135" s="50" t="str">
        <f>IFERROR(__xludf.DUMMYFUNCTION("QUERY(Data!$A$1:$AN$1001,""select AM, Count(AM) WHERE H = 'Talent Acquisition' GROUP BY AM"")"),"Age Break")</f>
        <v>Age Break</v>
      </c>
      <c r="B135" s="50" t="str">
        <f>IFERROR(__xludf.DUMMYFUNCTION("""COMPUTED_VALUE"""),"count Age Break")</f>
        <v>count Age Break</v>
      </c>
      <c r="D135" s="50" t="str">
        <f>IFERROR(__xludf.DUMMYFUNCTION("QUERY(Data!A1:AN1001,""SELECT AN, COUNT(AN) WHERE H = 'Talent Acquisition' GROUP BY AN"")"),"Tenure Break")</f>
        <v>Tenure Break</v>
      </c>
      <c r="E135" s="50" t="str">
        <f>IFERROR(__xludf.DUMMYFUNCTION("""COMPUTED_VALUE"""),"count Tenure Break")</f>
        <v>count Tenure Break</v>
      </c>
      <c r="F135" s="49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>
      <c r="A136" s="50" t="str">
        <f>IFERROR(__xludf.DUMMYFUNCTION("""COMPUTED_VALUE"""),"21-30")</f>
        <v>21-30</v>
      </c>
      <c r="B136" s="50">
        <f>IFERROR(__xludf.DUMMYFUNCTION("""COMPUTED_VALUE"""),11.0)</f>
        <v>11</v>
      </c>
      <c r="D136" s="50" t="str">
        <f>IFERROR(__xludf.DUMMYFUNCTION("""COMPUTED_VALUE"""),"11-20")</f>
        <v>11-20</v>
      </c>
      <c r="E136" s="50">
        <f>IFERROR(__xludf.DUMMYFUNCTION("""COMPUTED_VALUE"""),26.0)</f>
        <v>26</v>
      </c>
      <c r="F136" s="49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>
      <c r="A137" s="50" t="str">
        <f>IFERROR(__xludf.DUMMYFUNCTION("""COMPUTED_VALUE"""),"31-40")</f>
        <v>31-40</v>
      </c>
      <c r="B137" s="50">
        <f>IFERROR(__xludf.DUMMYFUNCTION("""COMPUTED_VALUE"""),20.0)</f>
        <v>20</v>
      </c>
      <c r="D137" s="50" t="str">
        <f>IFERROR(__xludf.DUMMYFUNCTION("""COMPUTED_VALUE"""),"21-30")</f>
        <v>21-30</v>
      </c>
      <c r="E137" s="50">
        <f>IFERROR(__xludf.DUMMYFUNCTION("""COMPUTED_VALUE"""),4.0)</f>
        <v>4</v>
      </c>
      <c r="F137" s="49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>
      <c r="A138" s="50" t="str">
        <f>IFERROR(__xludf.DUMMYFUNCTION("""COMPUTED_VALUE"""),"41-50")</f>
        <v>41-50</v>
      </c>
      <c r="B138" s="50">
        <f>IFERROR(__xludf.DUMMYFUNCTION("""COMPUTED_VALUE"""),17.0)</f>
        <v>17</v>
      </c>
      <c r="D138" s="50" t="str">
        <f>IFERROR(__xludf.DUMMYFUNCTION("""COMPUTED_VALUE"""),"31-40")</f>
        <v>31-40</v>
      </c>
      <c r="E138" s="50">
        <f>IFERROR(__xludf.DUMMYFUNCTION("""COMPUTED_VALUE"""),2.0)</f>
        <v>2</v>
      </c>
      <c r="F138" s="49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>
      <c r="A139" s="50" t="str">
        <f>IFERROR(__xludf.DUMMYFUNCTION("""COMPUTED_VALUE"""),"51-60")</f>
        <v>51-60</v>
      </c>
      <c r="B139" s="50">
        <f>IFERROR(__xludf.DUMMYFUNCTION("""COMPUTED_VALUE"""),20.0)</f>
        <v>20</v>
      </c>
      <c r="D139" s="50" t="str">
        <f>IFERROR(__xludf.DUMMYFUNCTION("""COMPUTED_VALUE"""),"5-10")</f>
        <v>5-10</v>
      </c>
      <c r="E139" s="50">
        <f>IFERROR(__xludf.DUMMYFUNCTION("""COMPUTED_VALUE"""),15.0)</f>
        <v>15</v>
      </c>
      <c r="F139" s="49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>
      <c r="A140" s="51"/>
      <c r="D140" s="50" t="str">
        <f>IFERROR(__xludf.DUMMYFUNCTION("""COMPUTED_VALUE"""),"&lt; 5")</f>
        <v>&lt; 5</v>
      </c>
      <c r="E140" s="50">
        <f>IFERROR(__xludf.DUMMYFUNCTION("""COMPUTED_VALUE"""),21.0)</f>
        <v>21</v>
      </c>
      <c r="F140" s="49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>
      <c r="A141" s="51"/>
      <c r="F141" s="49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>
      <c r="A142" s="50" t="str">
        <f>IFERROR(__xludf.DUMMYFUNCTION("QUERY(Data!$A$1:$AN$1001,""select AJ, Count(AJ) WHERE H = 'Talent Acquisition' GROUP BY AJ"")"),"Region")</f>
        <v>Region</v>
      </c>
      <c r="B142" s="50" t="str">
        <f>IFERROR(__xludf.DUMMYFUNCTION("""COMPUTED_VALUE"""),"count Region")</f>
        <v>count Region</v>
      </c>
      <c r="D142" s="50" t="str">
        <f>IFERROR(__xludf.DUMMYFUNCTION("QUERY(Data!$A$1:$AN$1001,""select F, Count(F) WHERE H = 'Talent Acquisition' GROUP BY F"")"),"Gender")</f>
        <v>Gender</v>
      </c>
      <c r="E142" s="50" t="str">
        <f>IFERROR(__xludf.DUMMYFUNCTION("""COMPUTED_VALUE"""),"count Gender")</f>
        <v>count Gender</v>
      </c>
      <c r="F142" s="49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>
      <c r="A143" s="50" t="str">
        <f>IFERROR(__xludf.DUMMYFUNCTION("""COMPUTED_VALUE"""),"Midwest")</f>
        <v>Midwest</v>
      </c>
      <c r="B143" s="50">
        <f>IFERROR(__xludf.DUMMYFUNCTION("""COMPUTED_VALUE"""),19.0)</f>
        <v>19</v>
      </c>
      <c r="D143" s="50" t="str">
        <f>IFERROR(__xludf.DUMMYFUNCTION("""COMPUTED_VALUE"""),"F")</f>
        <v>F</v>
      </c>
      <c r="E143" s="50">
        <f>IFERROR(__xludf.DUMMYFUNCTION("""COMPUTED_VALUE"""),22.0)</f>
        <v>22</v>
      </c>
      <c r="F143" s="49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>
      <c r="A144" s="50" t="str">
        <f>IFERROR(__xludf.DUMMYFUNCTION("""COMPUTED_VALUE"""),"Northeast")</f>
        <v>Northeast</v>
      </c>
      <c r="B144" s="50">
        <f>IFERROR(__xludf.DUMMYFUNCTION("""COMPUTED_VALUE"""),16.0)</f>
        <v>16</v>
      </c>
      <c r="D144" s="50" t="str">
        <f>IFERROR(__xludf.DUMMYFUNCTION("""COMPUTED_VALUE"""),"M")</f>
        <v>M</v>
      </c>
      <c r="E144" s="50">
        <f>IFERROR(__xludf.DUMMYFUNCTION("""COMPUTED_VALUE"""),46.0)</f>
        <v>46</v>
      </c>
      <c r="F144" s="49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>
      <c r="A145" s="50" t="str">
        <f>IFERROR(__xludf.DUMMYFUNCTION("""COMPUTED_VALUE"""),"South")</f>
        <v>South</v>
      </c>
      <c r="B145" s="50">
        <f>IFERROR(__xludf.DUMMYFUNCTION("""COMPUTED_VALUE"""),27.0)</f>
        <v>27</v>
      </c>
      <c r="F145" s="49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>
      <c r="A146" s="50" t="str">
        <f>IFERROR(__xludf.DUMMYFUNCTION("""COMPUTED_VALUE"""),"West")</f>
        <v>West</v>
      </c>
      <c r="B146" s="50">
        <f>IFERROR(__xludf.DUMMYFUNCTION("""COMPUTED_VALUE"""),6.0)</f>
        <v>6</v>
      </c>
      <c r="F146" s="49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>
      <c r="A147" s="57"/>
      <c r="B147" s="54"/>
      <c r="C147" s="54"/>
      <c r="D147" s="54"/>
      <c r="E147" s="54"/>
      <c r="F147" s="55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</sheetData>
  <drawing r:id="rId1"/>
  <tableParts count="36"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</tableParts>
</worksheet>
</file>