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5" documentId="13_ncr:1_{A664787A-C8EB-4483-8A6E-04A1CB82BEF3}" xr6:coauthVersionLast="47" xr6:coauthVersionMax="47" xr10:uidLastSave="{3E7117A7-B802-4E17-9558-9AC54ADC8D01}"/>
  <bookViews>
    <workbookView xWindow="-120" yWindow="-120" windowWidth="29040" windowHeight="15720" tabRatio="739" activeTab="10" xr2:uid="{D23B17F9-018F-4AFF-9D76-04F9D89ECC2C}"/>
  </bookViews>
  <sheets>
    <sheet name="A &amp; B" sheetId="22" r:id="rId1"/>
    <sheet name="COP-PNB" sheetId="50" r:id="rId2"/>
    <sheet name="BS" sheetId="15" r:id="rId3"/>
    <sheet name="P&amp;L" sheetId="14" r:id="rId4"/>
    <sheet name="Sale &amp; Exp Schedule" sheetId="70" r:id="rId5"/>
    <sheet name="DSCR" sheetId="41" r:id="rId6"/>
    <sheet name="Finance Cost" sheetId="27" r:id="rId7"/>
    <sheet name="PNB Bank TL (New)" sheetId="58" r:id="rId8"/>
    <sheet name="TL" sheetId="17" state="hidden" r:id="rId9"/>
    <sheet name="Capex- Plant" sheetId="52" r:id="rId10"/>
    <sheet name="Depriciation" sheetId="71" r:id="rId11"/>
    <sheet name="Sheet3" sheetId="67" state="hidden" r:id="rId12"/>
    <sheet name="Furniture &amp; Fixtures" sheetId="53" state="hidden" r:id="rId13"/>
    <sheet name="Sheet1" sheetId="56" state="hidden" r:id="rId14"/>
  </sheets>
  <externalReferences>
    <externalReference r:id="rId15"/>
    <externalReference r:id="rId16"/>
    <externalReference r:id="rId17"/>
    <externalReference r:id="rId18"/>
  </externalReferences>
  <definedNames>
    <definedName name="___INDEX_SHEET___ASAP_Utilities">#REF!</definedName>
    <definedName name="__123Graph_C" localSheetId="3" hidden="1">[1]FIN!#REF!</definedName>
    <definedName name="__123Graph_C" localSheetId="8" hidden="1">[1]FIN!#REF!</definedName>
    <definedName name="__123Graph_C" hidden="1">[1]FIN!#REF!</definedName>
    <definedName name="__123Graph_LBL_C" localSheetId="3" hidden="1">[1]FIN!#REF!</definedName>
    <definedName name="__123Graph_LBL_C" localSheetId="8" hidden="1">[1]FIN!#REF!</definedName>
    <definedName name="__123Graph_LBL_C" hidden="1">[1]FIN!#REF!</definedName>
    <definedName name="_Fill" hidden="1">[2]formx!$ES$5</definedName>
    <definedName name="_TB0814">#REF!</definedName>
    <definedName name="_TB0820">#REF!</definedName>
    <definedName name="_TB0822">#REF!</definedName>
    <definedName name="_TB0824">#REF!</definedName>
    <definedName name="_TB0825">#REF!</definedName>
    <definedName name="_TB0829">#REF!</definedName>
    <definedName name="_TB0901">#REF!</definedName>
    <definedName name="_TB0906">#REF!</definedName>
    <definedName name="_TB0908">#REF!</definedName>
    <definedName name="_TB0913">#REF!</definedName>
    <definedName name="_TB0914">#REF!</definedName>
    <definedName name="_TB0917">#REF!</definedName>
    <definedName name="abc" localSheetId="3" hidden="1">#REF!</definedName>
    <definedName name="abc" localSheetId="8" hidden="1">#REF!</definedName>
    <definedName name="abc" hidden="1">#REF!</definedName>
    <definedName name="ACMAST">#REF!</definedName>
    <definedName name="ALLO">#REF!</definedName>
    <definedName name="CAPITAL">#REF!</definedName>
    <definedName name="COG" localSheetId="3" hidden="1">#REF!</definedName>
    <definedName name="COG" localSheetId="8" hidden="1">#REF!</definedName>
    <definedName name="COG" hidden="1">#REF!</definedName>
    <definedName name="Contents">#REF!</definedName>
    <definedName name="CRVR">#REF!</definedName>
    <definedName name="DRVR">#REF!</definedName>
    <definedName name="ITEM">#REF!</definedName>
    <definedName name="Method">[3]FAR!$J$7:$J$8</definedName>
    <definedName name="_xlnm.Print_Area" localSheetId="0">'A &amp; B'!$A$1:$I$18</definedName>
    <definedName name="_xlnm.Print_Area" localSheetId="2">BS!$A$1:$I$38</definedName>
    <definedName name="_xlnm.Print_Area" localSheetId="9">'Capex- Plant'!$B$2:$F$21</definedName>
    <definedName name="_xlnm.Print_Area" localSheetId="1">'COP-PNB'!$A$1:$D$26</definedName>
    <definedName name="_xlnm.Print_Area" localSheetId="10">Depriciation!$A$1:$O$11</definedName>
    <definedName name="_xlnm.Print_Area" localSheetId="5">DSCR!$A$1:$J$43</definedName>
    <definedName name="_xlnm.Print_Area" localSheetId="6">'Finance Cost'!$A$1:$K$8</definedName>
    <definedName name="_xlnm.Print_Area" localSheetId="3">'P&amp;L'!$A$1:$J$30</definedName>
    <definedName name="_xlnm.Print_Area" localSheetId="7">'PNB Bank TL (New)'!$A$1:$G$93</definedName>
    <definedName name="_xlnm.Print_Area" localSheetId="4">'Sale &amp; Exp Schedule'!$A$1:$J$34</definedName>
    <definedName name="_xlnm.Print_Area" localSheetId="8">TL!$B$1:$J$26</definedName>
    <definedName name="sd" localSheetId="3" hidden="1">#REF!</definedName>
    <definedName name="sd" localSheetId="8" hidden="1">#REF!</definedName>
    <definedName name="sd" hidden="1">#REF!</definedName>
    <definedName name="sdd" localSheetId="3" hidden="1">#REF!,#REF!,#REF!</definedName>
    <definedName name="sdd" localSheetId="8" hidden="1">#REF!,#REF!,#REF!</definedName>
    <definedName name="sdd" hidden="1">#REF!,#REF!,#REF!</definedName>
    <definedName name="Shift">[3]FAR!$I$7:$I$9</definedName>
    <definedName name="TB">#REF!</definedName>
    <definedName name="TBCY_CR">#REF!</definedName>
    <definedName name="TBCY_DR">#REF!</definedName>
    <definedName name="TBCY_SG1">#REF!</definedName>
    <definedName name="TBPY_CR">#REF!</definedName>
    <definedName name="TBPY_DR">#REF!</definedName>
    <definedName name="TBPY_SG1">#REF!</definedName>
    <definedName name="Z_08366991_6514_4374_B92D_E4F769F234D1_.wvu.Cols" localSheetId="2" hidden="1">BS!#REF!,BS!#REF!</definedName>
    <definedName name="Z_08366991_6514_4374_B92D_E4F769F234D1_.wvu.Cols" localSheetId="3" hidden="1">'P&amp;L'!#REF!,'P&amp;L'!#REF!,'P&amp;L'!#REF!</definedName>
    <definedName name="Z_08366991_6514_4374_B92D_E4F769F234D1_.wvu.Cols" localSheetId="8" hidden="1">TL!#REF!</definedName>
    <definedName name="Z_08366991_6514_4374_B92D_E4F769F234D1_.wvu.Rows" localSheetId="2" hidden="1">BS!#REF!</definedName>
    <definedName name="Z_08366991_6514_4374_B92D_E4F769F234D1_.wvu.Rows" localSheetId="3" hidden="1">'P&amp;L'!$B$10:$IE$10</definedName>
    <definedName name="Z_6A0B6660_2954_11D3_B3A1_008048D635E6_.wvu.PrintArea" localSheetId="3" hidden="1">#REF!</definedName>
    <definedName name="Z_6A0B6660_2954_11D3_B3A1_008048D635E6_.wvu.PrintArea" localSheetId="8" hidden="1">#REF!</definedName>
    <definedName name="Z_6A0B6660_2954_11D3_B3A1_008048D635E6_.wvu.PrintArea" hidden="1">#REF!</definedName>
    <definedName name="Z_6A0B6660_2954_11D3_B3A1_008048D635E6_.wvu.PrintTitles" localSheetId="3" hidden="1">#REF!</definedName>
    <definedName name="Z_6A0B6660_2954_11D3_B3A1_008048D635E6_.wvu.PrintTitles" localSheetId="8" hidden="1">#REF!</definedName>
    <definedName name="Z_6A0B6660_2954_11D3_B3A1_008048D635E6_.wvu.PrintTitles" hidden="1">#REF!</definedName>
    <definedName name="Z_6A0B6660_2954_11D3_B3A1_008048D635E6_.wvu.Rows" localSheetId="3" hidden="1">#REF!,#REF!,#REF!</definedName>
    <definedName name="Z_6A0B6660_2954_11D3_B3A1_008048D635E6_.wvu.Rows" localSheetId="8" hidden="1">#REF!,#REF!,#REF!</definedName>
    <definedName name="Z_6A0B6660_2954_11D3_B3A1_008048D635E6_.wvu.Rows" hidden="1">#REF!,#REF!,#REF!</definedName>
    <definedName name="Z_7D7A6D07_F20F_446A_B6D9_6CEFFD6BCB22_.wvu.Cols" localSheetId="2" hidden="1">BS!#REF!,BS!#REF!</definedName>
    <definedName name="Z_7D7A6D07_F20F_446A_B6D9_6CEFFD6BCB22_.wvu.Cols" localSheetId="3" hidden="1">'P&amp;L'!#REF!,'P&amp;L'!#REF!,'P&amp;L'!#REF!</definedName>
    <definedName name="Z_7D7A6D07_F20F_446A_B6D9_6CEFFD6BCB22_.wvu.Cols" localSheetId="8" hidden="1">TL!#REF!</definedName>
    <definedName name="Z_7D7A6D07_F20F_446A_B6D9_6CEFFD6BCB22_.wvu.PrintArea" localSheetId="2" hidden="1">BS!$A$2:$G$51</definedName>
    <definedName name="Z_7D7A6D07_F20F_446A_B6D9_6CEFFD6BCB22_.wvu.PrintArea" localSheetId="3" hidden="1">'P&amp;L'!$B$3:$G$29</definedName>
    <definedName name="Z_7D7A6D07_F20F_446A_B6D9_6CEFFD6BCB22_.wvu.PrintArea" localSheetId="8" hidden="1">TL!$B$4:$J$6</definedName>
    <definedName name="Z_7D7A6D07_F20F_446A_B6D9_6CEFFD6BCB22_.wvu.Rows" localSheetId="2" hidden="1">BS!#REF!</definedName>
    <definedName name="Z_7D7A6D07_F20F_446A_B6D9_6CEFFD6BCB22_.wvu.Rows" localSheetId="3" hidden="1">'P&amp;L'!$B$10:$IE$10</definedName>
    <definedName name="Z_D5255137_615F_491F_97AD_1A0ECD393D50_.wvu.Cols" localSheetId="2" hidden="1">BS!#REF!,BS!#REF!</definedName>
    <definedName name="Z_D5255137_615F_491F_97AD_1A0ECD393D50_.wvu.Cols" localSheetId="3" hidden="1">'P&amp;L'!#REF!,'P&amp;L'!#REF!,'P&amp;L'!#REF!</definedName>
    <definedName name="Z_D5255137_615F_491F_97AD_1A0ECD393D50_.wvu.Cols" localSheetId="8" hidden="1">TL!#REF!</definedName>
    <definedName name="Z_D5255137_615F_491F_97AD_1A0ECD393D50_.wvu.Rows" localSheetId="2" hidden="1">BS!#REF!</definedName>
    <definedName name="Z_D5255137_615F_491F_97AD_1A0ECD393D50_.wvu.Rows" localSheetId="3" hidden="1">'P&amp;L'!$B$10:$IE$10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4" l="1"/>
  <c r="C15" i="50"/>
  <c r="A2" i="70"/>
  <c r="A2" i="41" s="1"/>
  <c r="B3" i="52" s="1"/>
  <c r="A2" i="71" s="1"/>
  <c r="B2" i="14"/>
  <c r="C14" i="50"/>
  <c r="D7" i="71"/>
  <c r="F7" i="71" s="1"/>
  <c r="G7" i="71" s="1"/>
  <c r="F19" i="52"/>
  <c r="E20" i="52"/>
  <c r="D8" i="70"/>
  <c r="E8" i="70" s="1"/>
  <c r="F8" i="70" s="1"/>
  <c r="G8" i="70" s="1"/>
  <c r="H8" i="70" s="1"/>
  <c r="I8" i="70" s="1"/>
  <c r="J8" i="70" s="1"/>
  <c r="D18" i="70"/>
  <c r="E18" i="70" s="1"/>
  <c r="F18" i="70" s="1"/>
  <c r="G18" i="70" s="1"/>
  <c r="H18" i="70" s="1"/>
  <c r="I18" i="70" s="1"/>
  <c r="J18" i="70" s="1"/>
  <c r="D17" i="70"/>
  <c r="E17" i="70" s="1"/>
  <c r="F17" i="70" s="1"/>
  <c r="G17" i="70" s="1"/>
  <c r="H17" i="70" s="1"/>
  <c r="I17" i="70" s="1"/>
  <c r="J17" i="70" s="1"/>
  <c r="C31" i="70"/>
  <c r="C30" i="70"/>
  <c r="C29" i="70"/>
  <c r="D29" i="70" s="1"/>
  <c r="E29" i="70" s="1"/>
  <c r="F29" i="70" s="1"/>
  <c r="G29" i="70" s="1"/>
  <c r="H29" i="70" s="1"/>
  <c r="I29" i="70" s="1"/>
  <c r="J29" i="70" s="1"/>
  <c r="D30" i="70"/>
  <c r="E30" i="70" s="1"/>
  <c r="F30" i="70" s="1"/>
  <c r="G30" i="70" s="1"/>
  <c r="H30" i="70" s="1"/>
  <c r="I30" i="70" s="1"/>
  <c r="J30" i="70" s="1"/>
  <c r="D7" i="70"/>
  <c r="E7" i="70" s="1"/>
  <c r="F7" i="70" s="1"/>
  <c r="G7" i="70" s="1"/>
  <c r="H7" i="70" s="1"/>
  <c r="I7" i="70" s="1"/>
  <c r="J7" i="70" s="1"/>
  <c r="C21" i="70"/>
  <c r="A15" i="22"/>
  <c r="F17" i="52"/>
  <c r="F16" i="52"/>
  <c r="F15" i="52"/>
  <c r="F14" i="52"/>
  <c r="F13" i="52"/>
  <c r="F12" i="52"/>
  <c r="F11" i="52"/>
  <c r="F10" i="52"/>
  <c r="F9" i="52"/>
  <c r="F8" i="52"/>
  <c r="F7" i="52"/>
  <c r="D6" i="71" s="1"/>
  <c r="D8" i="71" s="1"/>
  <c r="C24" i="15" s="1"/>
  <c r="E18" i="52"/>
  <c r="F18" i="52" s="1"/>
  <c r="F93" i="58"/>
  <c r="H11" i="58"/>
  <c r="B31" i="70"/>
  <c r="B30" i="70"/>
  <c r="B29" i="70"/>
  <c r="C14" i="14"/>
  <c r="C14" i="15"/>
  <c r="D14" i="15" s="1"/>
  <c r="E14" i="15" s="1"/>
  <c r="F14" i="15" s="1"/>
  <c r="G14" i="15" s="1"/>
  <c r="H14" i="15" s="1"/>
  <c r="I14" i="15" s="1"/>
  <c r="D7" i="27"/>
  <c r="E7" i="27" s="1"/>
  <c r="F7" i="27" s="1"/>
  <c r="G7" i="27" s="1"/>
  <c r="H7" i="27" s="1"/>
  <c r="I7" i="27" s="1"/>
  <c r="J7" i="27" s="1"/>
  <c r="K7" i="27" s="1"/>
  <c r="I11" i="22"/>
  <c r="F92" i="58" s="1"/>
  <c r="J15" i="70"/>
  <c r="J28" i="70" s="1"/>
  <c r="D31" i="70"/>
  <c r="E31" i="70" s="1"/>
  <c r="F31" i="70" s="1"/>
  <c r="G31" i="70" s="1"/>
  <c r="H31" i="70" s="1"/>
  <c r="I31" i="70" s="1"/>
  <c r="J31" i="70" s="1"/>
  <c r="E11" i="58"/>
  <c r="D11" i="58" s="1"/>
  <c r="I30" i="41"/>
  <c r="H30" i="41"/>
  <c r="B30" i="41"/>
  <c r="I19" i="41"/>
  <c r="G19" i="41"/>
  <c r="F19" i="41"/>
  <c r="I27" i="41"/>
  <c r="I21" i="41"/>
  <c r="I5" i="41"/>
  <c r="H27" i="41"/>
  <c r="H21" i="41"/>
  <c r="H5" i="41"/>
  <c r="B5" i="41"/>
  <c r="I10" i="15"/>
  <c r="I49" i="15" s="1"/>
  <c r="C8" i="71"/>
  <c r="H7" i="71" l="1"/>
  <c r="I7" i="71" s="1"/>
  <c r="J7" i="71" s="1"/>
  <c r="K7" i="71" s="1"/>
  <c r="L7" i="71" s="1"/>
  <c r="M7" i="71" s="1"/>
  <c r="N7" i="71" s="1"/>
  <c r="O7" i="71" s="1"/>
  <c r="F20" i="52"/>
  <c r="B6" i="50"/>
  <c r="C6" i="50" s="1"/>
  <c r="J19" i="70"/>
  <c r="I11" i="15"/>
  <c r="E8" i="71"/>
  <c r="B24" i="15" l="1"/>
  <c r="B18" i="41" s="1"/>
  <c r="F6" i="71"/>
  <c r="G6" i="71" l="1"/>
  <c r="F8" i="71"/>
  <c r="F9" i="71"/>
  <c r="D18" i="14" s="1"/>
  <c r="C32" i="41" s="1"/>
  <c r="H6" i="71" l="1"/>
  <c r="G8" i="71"/>
  <c r="G9" i="71" s="1"/>
  <c r="C18" i="14"/>
  <c r="B32" i="41" s="1"/>
  <c r="I6" i="71" l="1"/>
  <c r="H8" i="71"/>
  <c r="H9" i="71" s="1"/>
  <c r="H10" i="71" l="1"/>
  <c r="E18" i="14"/>
  <c r="D32" i="41" s="1"/>
  <c r="J6" i="71"/>
  <c r="I8" i="71"/>
  <c r="I9" i="71" s="1"/>
  <c r="B21" i="70"/>
  <c r="J32" i="70"/>
  <c r="J33" i="70" s="1"/>
  <c r="C32" i="70"/>
  <c r="C33" i="70" s="1"/>
  <c r="D15" i="14" s="1"/>
  <c r="C16" i="15" s="1"/>
  <c r="B32" i="70"/>
  <c r="B33" i="70" s="1"/>
  <c r="C15" i="14" s="1"/>
  <c r="B16" i="15" s="1"/>
  <c r="B28" i="70"/>
  <c r="I15" i="70"/>
  <c r="I28" i="70" s="1"/>
  <c r="C35" i="15"/>
  <c r="D35" i="15" s="1"/>
  <c r="E35" i="15" s="1"/>
  <c r="F35" i="15" s="1"/>
  <c r="G35" i="15" s="1"/>
  <c r="H35" i="15" s="1"/>
  <c r="I35" i="15" s="1"/>
  <c r="B25" i="15"/>
  <c r="D14" i="14"/>
  <c r="I5" i="14"/>
  <c r="J4" i="27" s="1"/>
  <c r="H5" i="14"/>
  <c r="I4" i="27" s="1"/>
  <c r="G5" i="14"/>
  <c r="H4" i="27" s="1"/>
  <c r="F5" i="14"/>
  <c r="G4" i="27" s="1"/>
  <c r="E5" i="14"/>
  <c r="F4" i="27" s="1"/>
  <c r="D5" i="14"/>
  <c r="E4" i="27" s="1"/>
  <c r="C5" i="14"/>
  <c r="D4" i="27" s="1"/>
  <c r="C4" i="17" s="1"/>
  <c r="B20" i="70"/>
  <c r="C20" i="70" s="1"/>
  <c r="D20" i="70" s="1"/>
  <c r="E20" i="70" s="1"/>
  <c r="F20" i="70" s="1"/>
  <c r="G20" i="70" s="1"/>
  <c r="H20" i="70" s="1"/>
  <c r="I20" i="70" s="1"/>
  <c r="J20" i="70" s="1"/>
  <c r="I19" i="70"/>
  <c r="B19" i="70"/>
  <c r="D16" i="70"/>
  <c r="B9" i="70"/>
  <c r="D6" i="70"/>
  <c r="E6" i="70" s="1"/>
  <c r="F6" i="70" s="1"/>
  <c r="G6" i="70" s="1"/>
  <c r="H15" i="70"/>
  <c r="H28" i="70" s="1"/>
  <c r="G5" i="70"/>
  <c r="F5" i="70"/>
  <c r="E5" i="70"/>
  <c r="D5" i="70"/>
  <c r="C5" i="70"/>
  <c r="J8" i="71" l="1"/>
  <c r="J9" i="71" s="1"/>
  <c r="K6" i="71"/>
  <c r="F18" i="14"/>
  <c r="E32" i="41" s="1"/>
  <c r="E16" i="70"/>
  <c r="F16" i="70" s="1"/>
  <c r="G16" i="70" s="1"/>
  <c r="D21" i="70"/>
  <c r="E14" i="14"/>
  <c r="F14" i="14" s="1"/>
  <c r="G14" i="14" s="1"/>
  <c r="H14" i="14" s="1"/>
  <c r="I14" i="14" s="1"/>
  <c r="J14" i="14" s="1"/>
  <c r="D15" i="70"/>
  <c r="D28" i="70" s="1"/>
  <c r="D5" i="41"/>
  <c r="D30" i="41"/>
  <c r="G15" i="70"/>
  <c r="G28" i="70" s="1"/>
  <c r="G30" i="41"/>
  <c r="G5" i="41"/>
  <c r="C15" i="70"/>
  <c r="C28" i="70" s="1"/>
  <c r="C30" i="41"/>
  <c r="C5" i="41"/>
  <c r="E15" i="70"/>
  <c r="E28" i="70" s="1"/>
  <c r="E30" i="41"/>
  <c r="E5" i="41"/>
  <c r="F15" i="70"/>
  <c r="F28" i="70" s="1"/>
  <c r="F5" i="41"/>
  <c r="F30" i="41"/>
  <c r="D32" i="70"/>
  <c r="D33" i="70" s="1"/>
  <c r="E15" i="14" s="1"/>
  <c r="D16" i="15" s="1"/>
  <c r="G32" i="70"/>
  <c r="G33" i="70" s="1"/>
  <c r="H15" i="14" s="1"/>
  <c r="G16" i="15" s="1"/>
  <c r="E32" i="70"/>
  <c r="E33" i="70" s="1"/>
  <c r="F15" i="14" s="1"/>
  <c r="E16" i="15" s="1"/>
  <c r="F32" i="70"/>
  <c r="F33" i="70" s="1"/>
  <c r="G15" i="14" s="1"/>
  <c r="F16" i="15" s="1"/>
  <c r="H32" i="70"/>
  <c r="H33" i="70" s="1"/>
  <c r="I15" i="14" s="1"/>
  <c r="H16" i="15" s="1"/>
  <c r="I32" i="70"/>
  <c r="I33" i="70" s="1"/>
  <c r="J15" i="14" s="1"/>
  <c r="I16" i="15" s="1"/>
  <c r="B22" i="70"/>
  <c r="B24" i="70" s="1"/>
  <c r="B25" i="70" s="1"/>
  <c r="C12" i="14" s="1"/>
  <c r="B15" i="15" s="1"/>
  <c r="B11" i="70"/>
  <c r="B12" i="70" s="1"/>
  <c r="C7" i="14" s="1"/>
  <c r="B17" i="15" s="1"/>
  <c r="C19" i="70"/>
  <c r="D19" i="70"/>
  <c r="C9" i="70"/>
  <c r="C11" i="70" s="1"/>
  <c r="C12" i="70" s="1"/>
  <c r="C17" i="15" s="1"/>
  <c r="D9" i="70"/>
  <c r="D11" i="70" s="1"/>
  <c r="D12" i="70" s="1"/>
  <c r="E7" i="14" s="1"/>
  <c r="D17" i="15" s="1"/>
  <c r="E29" i="15"/>
  <c r="K8" i="71" l="1"/>
  <c r="K9" i="71" s="1"/>
  <c r="L6" i="71"/>
  <c r="G18" i="14"/>
  <c r="F32" i="41" s="1"/>
  <c r="E21" i="70"/>
  <c r="F21" i="70" s="1"/>
  <c r="G21" i="70" s="1"/>
  <c r="H21" i="70" s="1"/>
  <c r="I21" i="70" s="1"/>
  <c r="D32" i="15"/>
  <c r="C32" i="15"/>
  <c r="B32" i="15"/>
  <c r="B36" i="15" s="1"/>
  <c r="C25" i="14"/>
  <c r="C22" i="70"/>
  <c r="C24" i="70" s="1"/>
  <c r="C25" i="70" s="1"/>
  <c r="D12" i="14" s="1"/>
  <c r="C15" i="15" s="1"/>
  <c r="D22" i="70"/>
  <c r="D24" i="70" s="1"/>
  <c r="D25" i="70" s="1"/>
  <c r="E12" i="14" s="1"/>
  <c r="D15" i="15" s="1"/>
  <c r="E19" i="70"/>
  <c r="E9" i="70"/>
  <c r="E11" i="70" s="1"/>
  <c r="E12" i="70" s="1"/>
  <c r="F7" i="14" s="1"/>
  <c r="E17" i="15" s="1"/>
  <c r="G5" i="58"/>
  <c r="L8" i="71" l="1"/>
  <c r="L9" i="71" s="1"/>
  <c r="M6" i="71"/>
  <c r="I18" i="14"/>
  <c r="H18" i="14"/>
  <c r="G32" i="41" s="1"/>
  <c r="J21" i="70"/>
  <c r="J22" i="70" s="1"/>
  <c r="J24" i="70" s="1"/>
  <c r="J25" i="70" s="1"/>
  <c r="I22" i="70"/>
  <c r="I24" i="70" s="1"/>
  <c r="I25" i="70" s="1"/>
  <c r="J12" i="14" s="1"/>
  <c r="I15" i="15" s="1"/>
  <c r="E32" i="15"/>
  <c r="D25" i="14"/>
  <c r="C43" i="15" s="1"/>
  <c r="E22" i="70"/>
  <c r="E24" i="70" s="1"/>
  <c r="E25" i="70" s="1"/>
  <c r="F12" i="14" s="1"/>
  <c r="E15" i="15" s="1"/>
  <c r="F19" i="70"/>
  <c r="F9" i="70"/>
  <c r="F11" i="70" s="1"/>
  <c r="F12" i="70" s="1"/>
  <c r="G7" i="14" s="1"/>
  <c r="F17" i="15" s="1"/>
  <c r="B9" i="41"/>
  <c r="B19" i="41"/>
  <c r="B21" i="41"/>
  <c r="C21" i="41"/>
  <c r="G27" i="41"/>
  <c r="H32" i="41" l="1"/>
  <c r="H9" i="41"/>
  <c r="M8" i="71"/>
  <c r="M9" i="71" s="1"/>
  <c r="N6" i="71"/>
  <c r="J18" i="14"/>
  <c r="F32" i="15"/>
  <c r="F22" i="70"/>
  <c r="F24" i="70" s="1"/>
  <c r="F25" i="70" s="1"/>
  <c r="G12" i="14" s="1"/>
  <c r="F15" i="15" s="1"/>
  <c r="G19" i="70"/>
  <c r="H19" i="70"/>
  <c r="G9" i="70"/>
  <c r="G11" i="70" s="1"/>
  <c r="G12" i="70" s="1"/>
  <c r="H7" i="14" s="1"/>
  <c r="G17" i="15" s="1"/>
  <c r="B11" i="58"/>
  <c r="B12" i="58" s="1"/>
  <c r="B13" i="58" s="1"/>
  <c r="B14" i="58" s="1"/>
  <c r="B15" i="58" s="1"/>
  <c r="B16" i="58" s="1"/>
  <c r="B17" i="58" s="1"/>
  <c r="B18" i="58" s="1"/>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I32" i="41" l="1"/>
  <c r="I9" i="41"/>
  <c r="N8" i="71"/>
  <c r="N9" i="71" s="1"/>
  <c r="O6" i="71"/>
  <c r="O8" i="71" s="1"/>
  <c r="O9" i="71" s="1"/>
  <c r="G10" i="71" s="1"/>
  <c r="G32" i="15"/>
  <c r="H22" i="70"/>
  <c r="H24" i="70" s="1"/>
  <c r="H25" i="70" s="1"/>
  <c r="I12" i="14" s="1"/>
  <c r="H15" i="15" s="1"/>
  <c r="G22" i="70"/>
  <c r="G24" i="70" s="1"/>
  <c r="G25" i="70" s="1"/>
  <c r="H12" i="14" s="1"/>
  <c r="G15" i="15" s="1"/>
  <c r="H9" i="70"/>
  <c r="H11" i="70" s="1"/>
  <c r="H12" i="70" s="1"/>
  <c r="I7" i="14" s="1"/>
  <c r="H17" i="15" s="1"/>
  <c r="J9" i="70"/>
  <c r="J11" i="70" s="1"/>
  <c r="J12" i="70" s="1"/>
  <c r="I9" i="14" l="1"/>
  <c r="H34" i="15" s="1"/>
  <c r="H32" i="15"/>
  <c r="I9" i="70"/>
  <c r="I11" i="70" s="1"/>
  <c r="I12" i="70" s="1"/>
  <c r="J7" i="14" s="1"/>
  <c r="I17" i="15" s="1"/>
  <c r="I25" i="14"/>
  <c r="H43" i="15" s="1"/>
  <c r="D4" i="17"/>
  <c r="E4" i="17" s="1"/>
  <c r="F4" i="17" s="1"/>
  <c r="G4" i="17" s="1"/>
  <c r="H4" i="17" s="1"/>
  <c r="I4" i="17" s="1"/>
  <c r="J4" i="17" s="1"/>
  <c r="C9" i="14"/>
  <c r="B34" i="15" s="1"/>
  <c r="D21" i="41"/>
  <c r="O5" i="15"/>
  <c r="N22" i="14"/>
  <c r="A6" i="22"/>
  <c r="A8" i="22" s="1"/>
  <c r="A9" i="22" s="1"/>
  <c r="A11" i="22"/>
  <c r="A44" i="15"/>
  <c r="A45" i="15"/>
  <c r="A46" i="15"/>
  <c r="A47" i="15"/>
  <c r="L5" i="15"/>
  <c r="D42" i="15"/>
  <c r="E32" i="53"/>
  <c r="M5" i="15"/>
  <c r="E42" i="15"/>
  <c r="F42" i="15"/>
  <c r="N5" i="15"/>
  <c r="G42" i="15"/>
  <c r="B2" i="56"/>
  <c r="H20" i="41" l="1"/>
  <c r="I32" i="15"/>
  <c r="J25" i="14"/>
  <c r="I43" i="15" s="1"/>
  <c r="J9" i="14"/>
  <c r="I34" i="15" s="1"/>
  <c r="C13" i="14"/>
  <c r="C16" i="14" s="1"/>
  <c r="F29" i="15"/>
  <c r="E21" i="41" s="1"/>
  <c r="O22" i="14"/>
  <c r="I20" i="41" l="1"/>
  <c r="H37" i="15"/>
  <c r="G29" i="15"/>
  <c r="C17" i="14"/>
  <c r="B43" i="15" s="1"/>
  <c r="J13" i="14" l="1"/>
  <c r="I37" i="15"/>
  <c r="C19" i="14"/>
  <c r="C26" i="14"/>
  <c r="B44" i="15" s="1"/>
  <c r="F21" i="41"/>
  <c r="J16" i="14" l="1"/>
  <c r="S7" i="14"/>
  <c r="C27" i="14"/>
  <c r="B45" i="15" s="1"/>
  <c r="G21" i="41"/>
  <c r="E9" i="14"/>
  <c r="D34" i="15" s="1"/>
  <c r="D9" i="14"/>
  <c r="C34" i="15" s="1"/>
  <c r="D13" i="14" s="1"/>
  <c r="J17" i="14" l="1"/>
  <c r="S8" i="14"/>
  <c r="E13" i="14"/>
  <c r="D24" i="41"/>
  <c r="C27" i="41"/>
  <c r="E25" i="14"/>
  <c r="D43" i="15" s="1"/>
  <c r="B37" i="15"/>
  <c r="B20" i="41" s="1"/>
  <c r="E10" i="58"/>
  <c r="S6" i="14" l="1"/>
  <c r="J26" i="14"/>
  <c r="I44" i="15" s="1"/>
  <c r="D10" i="58"/>
  <c r="B27" i="41"/>
  <c r="C37" i="15"/>
  <c r="D37" i="15"/>
  <c r="D20" i="41"/>
  <c r="C20" i="41"/>
  <c r="F9" i="14"/>
  <c r="E34" i="15" s="1"/>
  <c r="F13" i="14" l="1"/>
  <c r="D27" i="41"/>
  <c r="E37" i="15"/>
  <c r="E16" i="14"/>
  <c r="G9" i="14"/>
  <c r="F34" i="15" s="1"/>
  <c r="F25" i="14"/>
  <c r="E43" i="15" s="1"/>
  <c r="G13" i="14" l="1"/>
  <c r="F16" i="14"/>
  <c r="O8" i="14" s="1"/>
  <c r="E27" i="41"/>
  <c r="M7" i="14"/>
  <c r="D16" i="14"/>
  <c r="N7" i="14"/>
  <c r="F37" i="15"/>
  <c r="E20" i="41"/>
  <c r="G25" i="14"/>
  <c r="F43" i="15" s="1"/>
  <c r="H9" i="14"/>
  <c r="G34" i="15" s="1"/>
  <c r="I13" i="14" l="1"/>
  <c r="R7" i="14" s="1"/>
  <c r="H13" i="14"/>
  <c r="O7" i="14"/>
  <c r="D17" i="14"/>
  <c r="D26" i="14" s="1"/>
  <c r="C44" i="15" s="1"/>
  <c r="M8" i="14"/>
  <c r="G16" i="14"/>
  <c r="E17" i="14"/>
  <c r="N8" i="14"/>
  <c r="F17" i="14"/>
  <c r="F26" i="14" s="1"/>
  <c r="E44" i="15" s="1"/>
  <c r="F20" i="41"/>
  <c r="H25" i="14"/>
  <c r="G43" i="15" s="1"/>
  <c r="I16" i="14" l="1"/>
  <c r="F27" i="41"/>
  <c r="G37" i="15"/>
  <c r="P7" i="14"/>
  <c r="E26" i="14"/>
  <c r="D44" i="15" s="1"/>
  <c r="N6" i="14"/>
  <c r="O6" i="14"/>
  <c r="G20" i="41"/>
  <c r="I17" i="14" l="1"/>
  <c r="R8" i="14"/>
  <c r="H16" i="14"/>
  <c r="L16" i="14"/>
  <c r="G17" i="14"/>
  <c r="P8" i="14"/>
  <c r="I26" i="14" l="1"/>
  <c r="H44" i="15" s="1"/>
  <c r="R6" i="14"/>
  <c r="Q7" i="14"/>
  <c r="G26" i="14"/>
  <c r="F44" i="15" s="1"/>
  <c r="P6" i="14"/>
  <c r="H17" i="14" l="1"/>
  <c r="Q8" i="14"/>
  <c r="Q6" i="14" l="1"/>
  <c r="H26" i="14"/>
  <c r="G44" i="15" s="1"/>
  <c r="B26" i="15" l="1"/>
  <c r="B27" i="15" l="1"/>
  <c r="D24" i="15"/>
  <c r="E24" i="15" s="1"/>
  <c r="F24" i="15" s="1"/>
  <c r="G24" i="15" s="1"/>
  <c r="H24" i="15" s="1"/>
  <c r="I24" i="15" s="1"/>
  <c r="D25" i="15" l="1"/>
  <c r="C25" i="15"/>
  <c r="C26" i="15" s="1"/>
  <c r="D19" i="14"/>
  <c r="C9" i="41"/>
  <c r="B38" i="15"/>
  <c r="D26" i="15" l="1"/>
  <c r="C27" i="15"/>
  <c r="D27" i="14"/>
  <c r="C45" i="15" s="1"/>
  <c r="E25" i="15"/>
  <c r="E26" i="15" l="1"/>
  <c r="D27" i="15"/>
  <c r="C38" i="15" l="1"/>
  <c r="B22" i="41" l="1"/>
  <c r="C18" i="41" l="1"/>
  <c r="D38" i="15"/>
  <c r="D9" i="41" l="1"/>
  <c r="E19" i="14"/>
  <c r="F25" i="15" l="1"/>
  <c r="F26" i="15" s="1"/>
  <c r="E27" i="15"/>
  <c r="E27" i="14"/>
  <c r="D45" i="15" s="1"/>
  <c r="D18" i="41" l="1"/>
  <c r="E38" i="15"/>
  <c r="E9" i="41" l="1"/>
  <c r="F19" i="14"/>
  <c r="G25" i="15" l="1"/>
  <c r="G26" i="15" s="1"/>
  <c r="F27" i="15"/>
  <c r="F27" i="14"/>
  <c r="E45" i="15" s="1"/>
  <c r="F38" i="15" l="1"/>
  <c r="E18" i="41"/>
  <c r="L19" i="14" l="1"/>
  <c r="F9" i="41"/>
  <c r="G19" i="14"/>
  <c r="G27" i="15" l="1"/>
  <c r="H25" i="15"/>
  <c r="H26" i="15" s="1"/>
  <c r="I19" i="14"/>
  <c r="G27" i="14"/>
  <c r="F45" i="15" s="1"/>
  <c r="H27" i="15" l="1"/>
  <c r="H18" i="41" s="1"/>
  <c r="H22" i="41" s="1"/>
  <c r="I27" i="14"/>
  <c r="H45" i="15" s="1"/>
  <c r="F18" i="41"/>
  <c r="G38" i="15"/>
  <c r="I25" i="15" l="1"/>
  <c r="I26" i="15" s="1"/>
  <c r="J19" i="14"/>
  <c r="J27" i="14" s="1"/>
  <c r="I45" i="15" s="1"/>
  <c r="I27" i="15" l="1"/>
  <c r="I18" i="41" s="1"/>
  <c r="I22" i="41" s="1"/>
  <c r="I38" i="15" l="1"/>
  <c r="G9" i="41"/>
  <c r="H19" i="14"/>
  <c r="H27" i="14" l="1"/>
  <c r="G45" i="15" s="1"/>
  <c r="G18" i="41" l="1"/>
  <c r="H38" i="15" l="1"/>
  <c r="F22" i="41" l="1"/>
  <c r="G22" i="41" l="1"/>
  <c r="I26" i="17" l="1"/>
  <c r="J26" i="17" l="1"/>
  <c r="I13" i="15" l="1"/>
  <c r="I18" i="15" l="1"/>
  <c r="I51" i="15" l="1"/>
  <c r="Q6" i="15" s="1"/>
  <c r="F44" i="58" l="1"/>
  <c r="F68" i="58"/>
  <c r="F86" i="58"/>
  <c r="F21" i="58"/>
  <c r="F13" i="58"/>
  <c r="F30" i="58"/>
  <c r="F50" i="58"/>
  <c r="F26" i="58"/>
  <c r="F65" i="58"/>
  <c r="F67" i="58"/>
  <c r="F60" i="58"/>
  <c r="F45" i="58"/>
  <c r="F33" i="58"/>
  <c r="F72" i="58"/>
  <c r="F25" i="58"/>
  <c r="F42" i="58"/>
  <c r="F15" i="58"/>
  <c r="F75" i="58"/>
  <c r="F49" i="58"/>
  <c r="F91" i="58"/>
  <c r="F27" i="58"/>
  <c r="F56" i="58"/>
  <c r="F76" i="58"/>
  <c r="F61" i="58"/>
  <c r="F36" i="58"/>
  <c r="F32" i="58"/>
  <c r="F29" i="58"/>
  <c r="F14" i="58"/>
  <c r="F82" i="58"/>
  <c r="F37" i="58"/>
  <c r="F66" i="58"/>
  <c r="F20" i="58"/>
  <c r="F83" i="58"/>
  <c r="F22" i="58"/>
  <c r="F24" i="58"/>
  <c r="F23" i="58"/>
  <c r="F43" i="58"/>
  <c r="F89" i="58"/>
  <c r="F62" i="58"/>
  <c r="F54" i="58"/>
  <c r="F78" i="58"/>
  <c r="F34" i="58"/>
  <c r="F69" i="58"/>
  <c r="F64" i="58"/>
  <c r="F39" i="58"/>
  <c r="F77" i="58"/>
  <c r="F46" i="58"/>
  <c r="F84" i="58"/>
  <c r="F73" i="58"/>
  <c r="F63" i="58"/>
  <c r="F55" i="58"/>
  <c r="F16" i="58"/>
  <c r="F80" i="58"/>
  <c r="F38" i="58"/>
  <c r="F35" i="58"/>
  <c r="F88" i="58"/>
  <c r="F40" i="58"/>
  <c r="F57" i="58"/>
  <c r="F90" i="58"/>
  <c r="F74" i="58"/>
  <c r="G11" i="58"/>
  <c r="E12" i="58" s="1"/>
  <c r="F79" i="58"/>
  <c r="F81" i="58"/>
  <c r="F53" i="58"/>
  <c r="F51" i="58"/>
  <c r="F17" i="58"/>
  <c r="F48" i="58"/>
  <c r="F41" i="58"/>
  <c r="F52" i="58"/>
  <c r="F58" i="58"/>
  <c r="F28" i="58"/>
  <c r="F87" i="58"/>
  <c r="F47" i="58"/>
  <c r="F31" i="58"/>
  <c r="F19" i="58"/>
  <c r="F71" i="58"/>
  <c r="F59" i="58"/>
  <c r="F18" i="58"/>
  <c r="F70" i="58"/>
  <c r="F85" i="58"/>
  <c r="C37" i="41" l="1"/>
  <c r="D19" i="41"/>
  <c r="D22" i="41" s="1"/>
  <c r="D12" i="58"/>
  <c r="G12" i="58" s="1"/>
  <c r="E13" i="58" s="1"/>
  <c r="D13" i="58" l="1"/>
  <c r="G13" i="58" s="1"/>
  <c r="E14" i="58" l="1"/>
  <c r="D14" i="58" l="1"/>
  <c r="G14" i="58" s="1"/>
  <c r="E15" i="58" l="1"/>
  <c r="D15" i="58" l="1"/>
  <c r="G15" i="58" s="1"/>
  <c r="E16" i="58" l="1"/>
  <c r="D16" i="58" l="1"/>
  <c r="G16" i="58" s="1"/>
  <c r="E17" i="58" l="1"/>
  <c r="D17" i="58" l="1"/>
  <c r="G17" i="58" s="1"/>
  <c r="E18" i="58" l="1"/>
  <c r="D18" i="58" s="1"/>
  <c r="G18" i="58" l="1"/>
  <c r="E19" i="58" s="1"/>
  <c r="D19" i="58" s="1"/>
  <c r="G19" i="58" l="1"/>
  <c r="E20" i="58" s="1"/>
  <c r="D20" i="58" s="1"/>
  <c r="G20" i="58" l="1"/>
  <c r="E21" i="58" s="1"/>
  <c r="D6" i="27" l="1"/>
  <c r="J21" i="58"/>
  <c r="C20" i="14"/>
  <c r="D8" i="27"/>
  <c r="D21" i="58"/>
  <c r="G21" i="58" s="1"/>
  <c r="E6" i="27"/>
  <c r="E8" i="27" s="1"/>
  <c r="C21" i="14" l="1"/>
  <c r="B33" i="41"/>
  <c r="B36" i="41" s="1"/>
  <c r="D20" i="14"/>
  <c r="E22" i="58"/>
  <c r="C23" i="17"/>
  <c r="C22" i="14" l="1"/>
  <c r="C23" i="14" s="1"/>
  <c r="C28" i="14"/>
  <c r="B46" i="15" s="1"/>
  <c r="C22" i="17"/>
  <c r="B13" i="15"/>
  <c r="D22" i="58"/>
  <c r="G22" i="58" s="1"/>
  <c r="D21" i="14"/>
  <c r="C36" i="41"/>
  <c r="C33" i="41"/>
  <c r="B7" i="15" l="1"/>
  <c r="B8" i="15" s="1"/>
  <c r="C29" i="14"/>
  <c r="B47" i="15" s="1"/>
  <c r="B31" i="41"/>
  <c r="B34" i="41" s="1"/>
  <c r="B8" i="41"/>
  <c r="D22" i="14"/>
  <c r="D23" i="14" s="1"/>
  <c r="D28" i="14"/>
  <c r="C46" i="15" s="1"/>
  <c r="B18" i="15"/>
  <c r="C38" i="41"/>
  <c r="E23" i="58"/>
  <c r="B10" i="15"/>
  <c r="C24" i="17"/>
  <c r="C26" i="17" s="1"/>
  <c r="B10" i="41" l="1"/>
  <c r="C31" i="41"/>
  <c r="C34" i="41" s="1"/>
  <c r="C41" i="41" s="1"/>
  <c r="C8" i="41"/>
  <c r="D29" i="14"/>
  <c r="C47" i="15" s="1"/>
  <c r="D23" i="58"/>
  <c r="G23" i="58" s="1"/>
  <c r="B51" i="15"/>
  <c r="K6" i="15" s="1"/>
  <c r="B12" i="41"/>
  <c r="B38" i="41"/>
  <c r="B41" i="41" s="1"/>
  <c r="B49" i="15"/>
  <c r="B11" i="15"/>
  <c r="B11" i="41"/>
  <c r="B13" i="41" l="1"/>
  <c r="B25" i="41" s="1"/>
  <c r="B26" i="41" s="1"/>
  <c r="C24" i="41" s="1"/>
  <c r="E24" i="58"/>
  <c r="B50" i="15"/>
  <c r="K7" i="15" s="1"/>
  <c r="B48" i="15"/>
  <c r="B19" i="15"/>
  <c r="L37" i="15" s="1"/>
  <c r="B28" i="41" l="1"/>
  <c r="D24" i="58"/>
  <c r="G24" i="58" s="1"/>
  <c r="E25" i="58" l="1"/>
  <c r="D25" i="58" l="1"/>
  <c r="G25" i="58" s="1"/>
  <c r="E26" i="58" l="1"/>
  <c r="D26" i="58" l="1"/>
  <c r="G26" i="58" s="1"/>
  <c r="E27" i="58" l="1"/>
  <c r="D27" i="58" s="1"/>
  <c r="G27" i="58" l="1"/>
  <c r="E28" i="58" s="1"/>
  <c r="D28" i="58" s="1"/>
  <c r="G28" i="58" l="1"/>
  <c r="E29" i="58" s="1"/>
  <c r="D29" i="58" s="1"/>
  <c r="G29" i="58" l="1"/>
  <c r="E30" i="58" s="1"/>
  <c r="D30" i="58" l="1"/>
  <c r="G30" i="58" s="1"/>
  <c r="E31" i="58" s="1"/>
  <c r="D31" i="58" s="1"/>
  <c r="G31" i="58" l="1"/>
  <c r="E32" i="58" s="1"/>
  <c r="D32" i="58" s="1"/>
  <c r="B5" i="67" l="1"/>
  <c r="G32" i="58"/>
  <c r="E33" i="58" s="1"/>
  <c r="D33" i="58" l="1"/>
  <c r="G33" i="58" s="1"/>
  <c r="J33" i="58"/>
  <c r="F6" i="27" s="1"/>
  <c r="F8" i="27" s="1"/>
  <c r="E20" i="14" l="1"/>
  <c r="E34" i="58"/>
  <c r="L21" i="58"/>
  <c r="D23" i="17" s="1"/>
  <c r="C13" i="15" l="1"/>
  <c r="D22" i="17"/>
  <c r="D34" i="58"/>
  <c r="G34" i="58" s="1"/>
  <c r="E21" i="14"/>
  <c r="N10" i="14"/>
  <c r="D33" i="41"/>
  <c r="D36" i="41" s="1"/>
  <c r="E22" i="14" l="1"/>
  <c r="E23" i="14" s="1"/>
  <c r="E28" i="14"/>
  <c r="D46" i="15" s="1"/>
  <c r="E35" i="58"/>
  <c r="D24" i="17"/>
  <c r="D26" i="17" s="1"/>
  <c r="C10" i="15"/>
  <c r="D37" i="41"/>
  <c r="D38" i="41" s="1"/>
  <c r="C18" i="15"/>
  <c r="E29" i="14" l="1"/>
  <c r="D47" i="15" s="1"/>
  <c r="N9" i="14"/>
  <c r="D8" i="41"/>
  <c r="D31" i="41"/>
  <c r="D34" i="41" s="1"/>
  <c r="C12" i="41"/>
  <c r="C51" i="15"/>
  <c r="L6" i="15" s="1"/>
  <c r="D35" i="58"/>
  <c r="G35" i="58" s="1"/>
  <c r="C11" i="15"/>
  <c r="C49" i="15"/>
  <c r="C11" i="41"/>
  <c r="C13" i="41" l="1"/>
  <c r="D41" i="41"/>
  <c r="E36" i="58"/>
  <c r="D36" i="58" l="1"/>
  <c r="G36" i="58" s="1"/>
  <c r="E37" i="58" l="1"/>
  <c r="D37" i="58" l="1"/>
  <c r="G37" i="58" s="1"/>
  <c r="G6" i="58" l="1"/>
  <c r="E38" i="58"/>
  <c r="D38" i="58" l="1"/>
  <c r="G38" i="58" s="1"/>
  <c r="B7" i="50"/>
  <c r="B13" i="50" s="1"/>
  <c r="B25" i="50" l="1"/>
  <c r="C7" i="15"/>
  <c r="C7" i="50"/>
  <c r="D6" i="50" s="1"/>
  <c r="E39" i="58"/>
  <c r="D39" i="58" s="1"/>
  <c r="C13" i="50" l="1"/>
  <c r="C16" i="50" s="1"/>
  <c r="B22" i="50"/>
  <c r="C8" i="15"/>
  <c r="D7" i="15"/>
  <c r="D8" i="15" s="1"/>
  <c r="B16" i="50"/>
  <c r="G39" i="58"/>
  <c r="E40" i="58" s="1"/>
  <c r="D40" i="58" s="1"/>
  <c r="D7" i="50"/>
  <c r="D15" i="50" l="1"/>
  <c r="D14" i="50"/>
  <c r="D13" i="50"/>
  <c r="C48" i="15"/>
  <c r="C50" i="15"/>
  <c r="C19" i="15"/>
  <c r="M37" i="15" s="1"/>
  <c r="B23" i="50"/>
  <c r="B24" i="50"/>
  <c r="G40" i="58"/>
  <c r="E41" i="58" s="1"/>
  <c r="D41" i="58" s="1"/>
  <c r="D16" i="50"/>
  <c r="G41" i="58" l="1"/>
  <c r="E42" i="58" s="1"/>
  <c r="D42" i="58" s="1"/>
  <c r="G42" i="58" l="1"/>
  <c r="E43" i="58" s="1"/>
  <c r="D43" i="58" s="1"/>
  <c r="G43" i="58" l="1"/>
  <c r="E44" i="58" l="1"/>
  <c r="D44" i="58" l="1"/>
  <c r="G44" i="58" s="1"/>
  <c r="E45" i="58" l="1"/>
  <c r="D45" i="58" l="1"/>
  <c r="G45" i="58" s="1"/>
  <c r="J45" i="58"/>
  <c r="C19" i="41"/>
  <c r="C22" i="41" s="1"/>
  <c r="C25" i="41" s="1"/>
  <c r="C26" i="41" s="1"/>
  <c r="C28" i="41" s="1"/>
  <c r="H19" i="41" l="1"/>
  <c r="G6" i="27"/>
  <c r="G8" i="27" s="1"/>
  <c r="E46" i="58"/>
  <c r="L33" i="58"/>
  <c r="E19" i="41"/>
  <c r="E22" i="41" s="1"/>
  <c r="D46" i="58" l="1"/>
  <c r="G46" i="58" s="1"/>
  <c r="F20" i="14"/>
  <c r="E33" i="41" l="1"/>
  <c r="E36" i="41" s="1"/>
  <c r="O10" i="14"/>
  <c r="F21" i="14"/>
  <c r="E47" i="58"/>
  <c r="D47" i="58" l="1"/>
  <c r="G47" i="58" s="1"/>
  <c r="F22" i="14"/>
  <c r="F23" i="14" s="1"/>
  <c r="F28" i="14"/>
  <c r="E46" i="15" s="1"/>
  <c r="E8" i="41" l="1"/>
  <c r="F29" i="14"/>
  <c r="E47" i="15" s="1"/>
  <c r="E31" i="41"/>
  <c r="E34" i="41" s="1"/>
  <c r="O9" i="14"/>
  <c r="E7" i="15"/>
  <c r="E48" i="58"/>
  <c r="D48" i="58" l="1"/>
  <c r="G48" i="58" s="1"/>
  <c r="E8" i="15"/>
  <c r="E49" i="58" l="1"/>
  <c r="D49" i="58" l="1"/>
  <c r="G49" i="58" s="1"/>
  <c r="E50" i="58" l="1"/>
  <c r="D50" i="58" l="1"/>
  <c r="G50" i="58" s="1"/>
  <c r="E51" i="58" l="1"/>
  <c r="D51" i="58" s="1"/>
  <c r="G51" i="58" s="1"/>
  <c r="E52" i="58" l="1"/>
  <c r="D52" i="58" s="1"/>
  <c r="G52" i="58" l="1"/>
  <c r="E53" i="58" s="1"/>
  <c r="D53" i="58" s="1"/>
  <c r="G53" i="58" l="1"/>
  <c r="E54" i="58" s="1"/>
  <c r="D54" i="58" l="1"/>
  <c r="G54" i="58" s="1"/>
  <c r="E55" i="58" s="1"/>
  <c r="D55" i="58" l="1"/>
  <c r="G55" i="58" s="1"/>
  <c r="E56" i="58" s="1"/>
  <c r="D56" i="58" s="1"/>
  <c r="G56" i="58" l="1"/>
  <c r="E57" i="58" s="1"/>
  <c r="D57" i="58" l="1"/>
  <c r="G57" i="58" s="1"/>
  <c r="J57" i="58"/>
  <c r="H6" i="27" s="1"/>
  <c r="H8" i="27" s="1"/>
  <c r="G20" i="14" l="1"/>
  <c r="E58" i="58"/>
  <c r="L45" i="58"/>
  <c r="E23" i="17" l="1"/>
  <c r="D58" i="58"/>
  <c r="G58" i="58" s="1"/>
  <c r="F33" i="41"/>
  <c r="F36" i="41" s="1"/>
  <c r="G21" i="14"/>
  <c r="P10" i="14"/>
  <c r="G28" i="14" l="1"/>
  <c r="F46" i="15" s="1"/>
  <c r="G22" i="14"/>
  <c r="G23" i="14" s="1"/>
  <c r="E59" i="58"/>
  <c r="D13" i="15"/>
  <c r="E22" i="17"/>
  <c r="P9" i="14" l="1"/>
  <c r="F8" i="41"/>
  <c r="G29" i="14"/>
  <c r="F47" i="15" s="1"/>
  <c r="F31" i="41"/>
  <c r="F34" i="41" s="1"/>
  <c r="F7" i="15"/>
  <c r="D18" i="15"/>
  <c r="E37" i="41"/>
  <c r="E38" i="41" s="1"/>
  <c r="D59" i="58"/>
  <c r="G59" i="58" s="1"/>
  <c r="E24" i="17"/>
  <c r="E26" i="17" s="1"/>
  <c r="D10" i="15"/>
  <c r="E60" i="58" l="1"/>
  <c r="E41" i="41"/>
  <c r="B3" i="56" s="1"/>
  <c r="D51" i="15"/>
  <c r="M6" i="15" s="1"/>
  <c r="D12" i="41"/>
  <c r="F8" i="15"/>
  <c r="D11" i="41"/>
  <c r="D49" i="15"/>
  <c r="D11" i="15"/>
  <c r="D50" i="15" l="1"/>
  <c r="L7" i="15" s="1"/>
  <c r="D48" i="15"/>
  <c r="D19" i="15"/>
  <c r="N37" i="15" s="1"/>
  <c r="D13" i="41"/>
  <c r="D25" i="41" s="1"/>
  <c r="D26" i="41" s="1"/>
  <c r="D60" i="58"/>
  <c r="G60" i="58" s="1"/>
  <c r="E61" i="58" l="1"/>
  <c r="D40" i="15"/>
  <c r="E24" i="41"/>
  <c r="D28" i="41"/>
  <c r="D61" i="58" l="1"/>
  <c r="G61" i="58" s="1"/>
  <c r="E62" i="58" l="1"/>
  <c r="D62" i="58" l="1"/>
  <c r="G62" i="58" s="1"/>
  <c r="E63" i="58" l="1"/>
  <c r="D63" i="58" s="1"/>
  <c r="G63" i="58" l="1"/>
  <c r="E64" i="58" l="1"/>
  <c r="D64" i="58" s="1"/>
  <c r="G64" i="58" l="1"/>
  <c r="E65" i="58" s="1"/>
  <c r="D65" i="58" s="1"/>
  <c r="G65" i="58" l="1"/>
  <c r="E66" i="58" l="1"/>
  <c r="D66" i="58" s="1"/>
  <c r="G66" i="58" l="1"/>
  <c r="E67" i="58" l="1"/>
  <c r="D67" i="58" s="1"/>
  <c r="G67" i="58" l="1"/>
  <c r="E68" i="58" l="1"/>
  <c r="D68" i="58" s="1"/>
  <c r="G68" i="58" l="1"/>
  <c r="E69" i="58" s="1"/>
  <c r="D69" i="58" l="1"/>
  <c r="G69" i="58" s="1"/>
  <c r="J69" i="58"/>
  <c r="I6" i="27" s="1"/>
  <c r="I8" i="27" s="1"/>
  <c r="H20" i="14" l="1"/>
  <c r="E70" i="58"/>
  <c r="L57" i="58"/>
  <c r="F23" i="17" s="1"/>
  <c r="E13" i="15" l="1"/>
  <c r="F22" i="17"/>
  <c r="D70" i="58"/>
  <c r="G70" i="58" s="1"/>
  <c r="G33" i="41"/>
  <c r="G36" i="41" s="1"/>
  <c r="H21" i="14"/>
  <c r="Q10" i="14"/>
  <c r="E71" i="58" l="1"/>
  <c r="H28" i="14"/>
  <c r="G46" i="15" s="1"/>
  <c r="H22" i="14"/>
  <c r="H23" i="14" s="1"/>
  <c r="E10" i="15"/>
  <c r="F24" i="17"/>
  <c r="F26" i="17" s="1"/>
  <c r="E18" i="15"/>
  <c r="F37" i="41"/>
  <c r="F38" i="41" s="1"/>
  <c r="E11" i="15" l="1"/>
  <c r="E11" i="41"/>
  <c r="E49" i="15"/>
  <c r="F41" i="41"/>
  <c r="E51" i="15"/>
  <c r="N6" i="15" s="1"/>
  <c r="E12" i="41"/>
  <c r="Q9" i="14"/>
  <c r="H29" i="14"/>
  <c r="G47" i="15" s="1"/>
  <c r="G8" i="41"/>
  <c r="G31" i="41"/>
  <c r="G34" i="41" s="1"/>
  <c r="G7" i="15"/>
  <c r="D71" i="58"/>
  <c r="G71" i="58" s="1"/>
  <c r="E13" i="41" l="1"/>
  <c r="E25" i="41" s="1"/>
  <c r="E26" i="41" s="1"/>
  <c r="E72" i="58"/>
  <c r="G8" i="15"/>
  <c r="E50" i="15"/>
  <c r="M7" i="15" s="1"/>
  <c r="E48" i="15"/>
  <c r="E19" i="15"/>
  <c r="O37" i="15" s="1"/>
  <c r="D72" i="58" l="1"/>
  <c r="G72" i="58" s="1"/>
  <c r="E40" i="15"/>
  <c r="E28" i="41"/>
  <c r="F24" i="41"/>
  <c r="E73" i="58" l="1"/>
  <c r="D73" i="58" l="1"/>
  <c r="G73" i="58" s="1"/>
  <c r="E74" i="58" l="1"/>
  <c r="D74" i="58" l="1"/>
  <c r="G74" i="58" s="1"/>
  <c r="E75" i="58" l="1"/>
  <c r="D75" i="58" s="1"/>
  <c r="G75" i="58" l="1"/>
  <c r="E76" i="58" s="1"/>
  <c r="D76" i="58" s="1"/>
  <c r="G76" i="58" l="1"/>
  <c r="E77" i="58" l="1"/>
  <c r="D77" i="58" s="1"/>
  <c r="G77" i="58" l="1"/>
  <c r="E78" i="58" l="1"/>
  <c r="D78" i="58" s="1"/>
  <c r="G78" i="58" l="1"/>
  <c r="E79" i="58" l="1"/>
  <c r="D79" i="58" s="1"/>
  <c r="G79" i="58" l="1"/>
  <c r="E80" i="58" l="1"/>
  <c r="D80" i="58" s="1"/>
  <c r="G80" i="58" l="1"/>
  <c r="E81" i="58" l="1"/>
  <c r="D81" i="58" l="1"/>
  <c r="G81" i="58" s="1"/>
  <c r="L81" i="58" s="1"/>
  <c r="J81" i="58"/>
  <c r="J6" i="27" s="1"/>
  <c r="J8" i="27" s="1"/>
  <c r="I20" i="14" l="1"/>
  <c r="E82" i="58"/>
  <c r="I23" i="17"/>
  <c r="H13" i="15" s="1"/>
  <c r="L69" i="58"/>
  <c r="D82" i="58" l="1"/>
  <c r="G82" i="58" s="1"/>
  <c r="E83" i="58" s="1"/>
  <c r="D83" i="58" s="1"/>
  <c r="I22" i="17"/>
  <c r="H10" i="15" s="1"/>
  <c r="I11" i="41" s="1"/>
  <c r="H23" i="17"/>
  <c r="G23" i="17"/>
  <c r="H18" i="15"/>
  <c r="I37" i="41"/>
  <c r="R10" i="14"/>
  <c r="H33" i="41"/>
  <c r="H36" i="41" s="1"/>
  <c r="I21" i="14"/>
  <c r="H11" i="15" l="1"/>
  <c r="H49" i="15"/>
  <c r="G83" i="58"/>
  <c r="E84" i="58" s="1"/>
  <c r="F13" i="15"/>
  <c r="G22" i="17"/>
  <c r="I22" i="14"/>
  <c r="I23" i="14" s="1"/>
  <c r="I28" i="14"/>
  <c r="H46" i="15" s="1"/>
  <c r="G13" i="15"/>
  <c r="H22" i="17"/>
  <c r="H51" i="15"/>
  <c r="P6" i="15" s="1"/>
  <c r="I12" i="41"/>
  <c r="D84" i="58" l="1"/>
  <c r="G84" i="58" s="1"/>
  <c r="E85" i="58" s="1"/>
  <c r="G10" i="15"/>
  <c r="H24" i="17"/>
  <c r="H26" i="17" s="1"/>
  <c r="F10" i="15"/>
  <c r="G24" i="17"/>
  <c r="G26" i="17" s="1"/>
  <c r="H8" i="41"/>
  <c r="I29" i="14"/>
  <c r="H47" i="15" s="1"/>
  <c r="R9" i="14"/>
  <c r="H31" i="41"/>
  <c r="H34" i="41" s="1"/>
  <c r="H7" i="15"/>
  <c r="H37" i="41"/>
  <c r="H38" i="41" s="1"/>
  <c r="G18" i="15"/>
  <c r="G37" i="41"/>
  <c r="G38" i="41" s="1"/>
  <c r="F18" i="15"/>
  <c r="D85" i="58" l="1"/>
  <c r="G85" i="58" s="1"/>
  <c r="H8" i="15"/>
  <c r="G49" i="15"/>
  <c r="G11" i="41"/>
  <c r="G11" i="15"/>
  <c r="H11" i="41"/>
  <c r="F12" i="41"/>
  <c r="F51" i="15"/>
  <c r="G12" i="41"/>
  <c r="G51" i="15"/>
  <c r="O6" i="15" s="1"/>
  <c r="H12" i="41"/>
  <c r="G41" i="41"/>
  <c r="F11" i="41"/>
  <c r="F49" i="15"/>
  <c r="F11" i="15"/>
  <c r="H41" i="41"/>
  <c r="E86" i="58" l="1"/>
  <c r="H13" i="41"/>
  <c r="H25" i="41" s="1"/>
  <c r="G13" i="41"/>
  <c r="G25" i="41" s="1"/>
  <c r="G48" i="15"/>
  <c r="G50" i="15"/>
  <c r="O7" i="15" s="1"/>
  <c r="G19" i="15"/>
  <c r="Q37" i="15" s="1"/>
  <c r="F48" i="15"/>
  <c r="F50" i="15"/>
  <c r="N7" i="15" s="1"/>
  <c r="F19" i="15"/>
  <c r="P37" i="15" s="1"/>
  <c r="H19" i="15"/>
  <c r="R37" i="15" s="1"/>
  <c r="H50" i="15"/>
  <c r="P7" i="15" s="1"/>
  <c r="H48" i="15"/>
  <c r="F13" i="41"/>
  <c r="F25" i="41" s="1"/>
  <c r="F26" i="41" s="1"/>
  <c r="D86" i="58" l="1"/>
  <c r="G86" i="58" s="1"/>
  <c r="E87" i="58" s="1"/>
  <c r="D87" i="58" s="1"/>
  <c r="G40" i="15"/>
  <c r="G24" i="41"/>
  <c r="G26" i="41" s="1"/>
  <c r="F28" i="41"/>
  <c r="F40" i="15"/>
  <c r="G87" i="58" l="1"/>
  <c r="E88" i="58" s="1"/>
  <c r="H24" i="41"/>
  <c r="H26" i="41" s="1"/>
  <c r="G28" i="41"/>
  <c r="D88" i="58" l="1"/>
  <c r="G88" i="58" s="1"/>
  <c r="E89" i="58" s="1"/>
  <c r="D89" i="58" s="1"/>
  <c r="H28" i="41"/>
  <c r="I24" i="41"/>
  <c r="G89" i="58" l="1"/>
  <c r="E90" i="58" s="1"/>
  <c r="D90" i="58" s="1"/>
  <c r="G90" i="58" l="1"/>
  <c r="E91" i="58" s="1"/>
  <c r="D91" i="58" l="1"/>
  <c r="G91" i="58" s="1"/>
  <c r="E92" i="58" l="1"/>
  <c r="D92" i="58" l="1"/>
  <c r="G92" i="58" s="1"/>
  <c r="E93" i="58" s="1"/>
  <c r="J92" i="58"/>
  <c r="K6" i="27" s="1"/>
  <c r="D93" i="58" l="1"/>
  <c r="G93" i="58" s="1"/>
  <c r="K8" i="27"/>
  <c r="J20" i="14"/>
  <c r="J21" i="14" l="1"/>
  <c r="I33" i="41"/>
  <c r="I36" i="41" s="1"/>
  <c r="I38" i="41" s="1"/>
  <c r="J38" i="41" s="1"/>
  <c r="S10" i="14"/>
  <c r="J28" i="14" l="1"/>
  <c r="I46" i="15" s="1"/>
  <c r="J22" i="14"/>
  <c r="J23" i="14" s="1"/>
  <c r="I31" i="41" l="1"/>
  <c r="I34" i="41" s="1"/>
  <c r="S9" i="14"/>
  <c r="I8" i="41"/>
  <c r="I13" i="41" s="1"/>
  <c r="I25" i="41" s="1"/>
  <c r="I26" i="41" s="1"/>
  <c r="I28" i="41" s="1"/>
  <c r="J29" i="14"/>
  <c r="I47" i="15" s="1"/>
  <c r="I7" i="15"/>
  <c r="I8" i="15" s="1"/>
  <c r="I48" i="15" l="1"/>
  <c r="I19" i="15"/>
  <c r="S37" i="15" s="1"/>
  <c r="I50" i="15"/>
  <c r="Q7" i="15" s="1"/>
  <c r="I41" i="41"/>
  <c r="J34" i="41"/>
  <c r="J41" i="41" l="1"/>
  <c r="C43" i="41"/>
  <c r="B26" i="50" s="1"/>
</calcChain>
</file>

<file path=xl/sharedStrings.xml><?xml version="1.0" encoding="utf-8"?>
<sst xmlns="http://schemas.openxmlformats.org/spreadsheetml/2006/main" count="343" uniqueCount="244">
  <si>
    <t>Total</t>
  </si>
  <si>
    <t>Particulars/Year</t>
  </si>
  <si>
    <t>Other income</t>
  </si>
  <si>
    <t>Sub Total</t>
  </si>
  <si>
    <t>PBIDT</t>
  </si>
  <si>
    <t>Depreciation</t>
  </si>
  <si>
    <t>PBIT</t>
  </si>
  <si>
    <t>PBT</t>
  </si>
  <si>
    <t>PAT</t>
  </si>
  <si>
    <t>PBIDT%</t>
  </si>
  <si>
    <t>PBIT%</t>
  </si>
  <si>
    <t>PBT%</t>
  </si>
  <si>
    <t>PAT%</t>
  </si>
  <si>
    <t>Balance Sheet</t>
  </si>
  <si>
    <t>Term Loan</t>
  </si>
  <si>
    <t>Fixed Assets</t>
  </si>
  <si>
    <t>Gross block</t>
  </si>
  <si>
    <t>Net block</t>
  </si>
  <si>
    <t>Current Assets, loans and advance</t>
  </si>
  <si>
    <t>Current Liabilities</t>
  </si>
  <si>
    <t>chk</t>
  </si>
  <si>
    <t>Key ratios</t>
  </si>
  <si>
    <t>FACR</t>
  </si>
  <si>
    <t xml:space="preserve">TOL/TNW </t>
  </si>
  <si>
    <t>DSCR</t>
  </si>
  <si>
    <t>SOURCES OF FUNDS</t>
  </si>
  <si>
    <t>Depreciation/Amortisation</t>
  </si>
  <si>
    <t>Increase in Current Liability</t>
  </si>
  <si>
    <t>TOTAL</t>
  </si>
  <si>
    <t>APPLICATION OF FUNDS</t>
  </si>
  <si>
    <t>Repayment - Term loan</t>
  </si>
  <si>
    <t>Opening Balance</t>
  </si>
  <si>
    <t>Surplus</t>
  </si>
  <si>
    <t xml:space="preserve">Interest </t>
  </si>
  <si>
    <t>Repayment Term Loan</t>
  </si>
  <si>
    <t>Particulars</t>
  </si>
  <si>
    <t>Income Tax</t>
  </si>
  <si>
    <t>Debt Equity Ratio</t>
  </si>
  <si>
    <t>Current Ratio</t>
  </si>
  <si>
    <t>Capex - Project</t>
  </si>
  <si>
    <t>Average DSCR</t>
  </si>
  <si>
    <t>Sr. No.</t>
  </si>
  <si>
    <t>Details</t>
  </si>
  <si>
    <t>Revenue from Operations</t>
  </si>
  <si>
    <t>TOTAL REVENUE</t>
  </si>
  <si>
    <t>Expenses</t>
  </si>
  <si>
    <t>Depreciation and Amortization Expense</t>
  </si>
  <si>
    <t>TOTAL EXPENSES</t>
  </si>
  <si>
    <t>Finance Cost- Interest</t>
  </si>
  <si>
    <t>Non-Current Liabilities</t>
  </si>
  <si>
    <t>Term Loans</t>
  </si>
  <si>
    <t>Trade Payables</t>
  </si>
  <si>
    <t>Short Term Provisions</t>
  </si>
  <si>
    <t>Other Current Liabilities</t>
  </si>
  <si>
    <t>EQUITIES AND LIABILITIES</t>
  </si>
  <si>
    <t>ASSETS</t>
  </si>
  <si>
    <t>Non Current Assets</t>
  </si>
  <si>
    <t>Trade Receivables</t>
  </si>
  <si>
    <t>Cash and Cash Equivalents</t>
  </si>
  <si>
    <t>Other Current Assets</t>
  </si>
  <si>
    <t>FINANCE COST</t>
  </si>
  <si>
    <t>Year Ended 31st March</t>
  </si>
  <si>
    <t>Outstanding Loan Amount</t>
  </si>
  <si>
    <t>Less: Current Maturities</t>
  </si>
  <si>
    <t xml:space="preserve">Long term Borrowing Canara Bank </t>
  </si>
  <si>
    <t>TOTAL LONG TERM SECURED BORROWINGS</t>
  </si>
  <si>
    <t xml:space="preserve"> </t>
  </si>
  <si>
    <t xml:space="preserve">Influx of term loan money assumed to be on </t>
  </si>
  <si>
    <t>Workings &amp; Asumptions:</t>
  </si>
  <si>
    <t>GP Ratio</t>
  </si>
  <si>
    <t>EBITA Margin</t>
  </si>
  <si>
    <t>NP Ratio</t>
  </si>
  <si>
    <t>Interest Coverage Ratio</t>
  </si>
  <si>
    <t>Ratios:</t>
  </si>
  <si>
    <t>TOL/TNW</t>
  </si>
  <si>
    <t>Difference</t>
  </si>
  <si>
    <t>Profit after tax</t>
  </si>
  <si>
    <t>Assumptions and Basis</t>
  </si>
  <si>
    <t>Interest and principal repayment during the repayment period</t>
  </si>
  <si>
    <t>Details of Term Loans- Outstanding and Current Maturities</t>
  </si>
  <si>
    <t>Morotarium post completion of the Project (In Months)</t>
  </si>
  <si>
    <t>INTT on Loans</t>
  </si>
  <si>
    <t>Cash Flow Statement</t>
  </si>
  <si>
    <t>Principal</t>
  </si>
  <si>
    <t>Current Maturities</t>
  </si>
  <si>
    <t>Operating Margin</t>
  </si>
  <si>
    <t>Less: Accumulated Depreciation</t>
  </si>
  <si>
    <t>GP%</t>
  </si>
  <si>
    <t>Increase in current assets</t>
  </si>
  <si>
    <t>Increase in non current assets</t>
  </si>
  <si>
    <t>Drawings</t>
  </si>
  <si>
    <t>Closing Balance</t>
  </si>
  <si>
    <t>Capital/ Quasi Capital (Introduction)</t>
  </si>
  <si>
    <t>Interest Expense on:</t>
  </si>
  <si>
    <t>The firm will take on expansion in the years to come, however, the same has not been taken into account and thus the accruals are reflected to be parked as cash and cash equivalents in the financial statements.</t>
  </si>
  <si>
    <t>Cost of the Project</t>
  </si>
  <si>
    <t xml:space="preserve">Amount </t>
  </si>
  <si>
    <t>% Share</t>
  </si>
  <si>
    <t>Means Of Finance</t>
  </si>
  <si>
    <t>Promotors' Capital</t>
  </si>
  <si>
    <t xml:space="preserve">Project Parameters </t>
  </si>
  <si>
    <t>Parameter</t>
  </si>
  <si>
    <t>Compliance</t>
  </si>
  <si>
    <t>Debt/Equity Ratio</t>
  </si>
  <si>
    <t>Furniture &amp; Fixture</t>
  </si>
  <si>
    <t>Sensitivity Analysis</t>
  </si>
  <si>
    <t>Minimum DSCR</t>
  </si>
  <si>
    <t>Base DSCR</t>
  </si>
  <si>
    <t>Scenerio 1</t>
  </si>
  <si>
    <t>Scenerio 2</t>
  </si>
  <si>
    <t>Sale reduced by 5%</t>
  </si>
  <si>
    <t>Capacity reduced by 5%</t>
  </si>
  <si>
    <t>Scenerio 3</t>
  </si>
  <si>
    <t>Interest rate increased by 1%</t>
  </si>
  <si>
    <t>Canara Bank Term Loan(New)</t>
  </si>
  <si>
    <t>₹ In Lakhs</t>
  </si>
  <si>
    <t>Village Rihun Tehsil Dharampur</t>
  </si>
  <si>
    <t>S.no</t>
  </si>
  <si>
    <t>Amt.(In Lakhs)</t>
  </si>
  <si>
    <t>Dagshai Resorts Private Limited</t>
  </si>
  <si>
    <t>DETAILS OF Furniture and Fixturers-Fixed Assets</t>
  </si>
  <si>
    <t>Month of Installment</t>
  </si>
  <si>
    <t>Monthly Payment</t>
  </si>
  <si>
    <t>Interest Amount</t>
  </si>
  <si>
    <t>Interest</t>
  </si>
  <si>
    <t>P&amp;L</t>
  </si>
  <si>
    <t>Changes in inventories</t>
  </si>
  <si>
    <t>Employee benefit expense</t>
  </si>
  <si>
    <t>Other expenses</t>
  </si>
  <si>
    <t>Closing Stock</t>
  </si>
  <si>
    <t>Purchase &amp; Direct Expenses</t>
  </si>
  <si>
    <t>Long term Loans and Advances</t>
  </si>
  <si>
    <t>Short Term Loan and Advances</t>
  </si>
  <si>
    <t>Increase in Term Loan</t>
  </si>
  <si>
    <t>Basis on which revenue and expenses have been considered have been mentioned in there respective annexures</t>
  </si>
  <si>
    <t>Amount (In INR)</t>
  </si>
  <si>
    <t>Amount (₹ In Lakhs)</t>
  </si>
  <si>
    <t>Loan amount</t>
  </si>
  <si>
    <t>Capital Work in progress</t>
  </si>
  <si>
    <t>Diff if any</t>
  </si>
  <si>
    <t xml:space="preserve">Capitalisation of Interest during Construction Period </t>
  </si>
  <si>
    <t>Promoters' Contribution (in %age)</t>
  </si>
  <si>
    <t xml:space="preserve">Cash and Bank Balance as per Books </t>
  </si>
  <si>
    <t>Promoters' Contribution (in INR)</t>
  </si>
  <si>
    <t>IDC (including loan processing charges)</t>
  </si>
  <si>
    <t>2026-27</t>
  </si>
  <si>
    <t>2027-28</t>
  </si>
  <si>
    <t>2028-29</t>
  </si>
  <si>
    <t>2029-30</t>
  </si>
  <si>
    <t>2030-31</t>
  </si>
  <si>
    <t>2031-32</t>
  </si>
  <si>
    <t>2032-33</t>
  </si>
  <si>
    <t>2033-34</t>
  </si>
  <si>
    <t>Finance Cost Working ( Taking 10.75% as interest rate )</t>
  </si>
  <si>
    <t>Loan processing and PFT Charges</t>
  </si>
  <si>
    <t>Implementation and Moratarium (In Months)</t>
  </si>
  <si>
    <t>M/s Jeewan Industries</t>
  </si>
  <si>
    <t>Gram Panchayat Makri Markand,Kathpur Bilaspur , H.P -174033</t>
  </si>
  <si>
    <t xml:space="preserve">Capital employed 60 lakh </t>
  </si>
  <si>
    <t xml:space="preserve">Loan required 80 lakh </t>
  </si>
  <si>
    <t xml:space="preserve">Qutotaion of machinary 1.32 cr vo bhej di hai </t>
  </si>
  <si>
    <t xml:space="preserve">Int rate 10 per. </t>
  </si>
  <si>
    <t>Amount of monthly principal for loan from bank:-</t>
  </si>
  <si>
    <t>% of Utilsation</t>
  </si>
  <si>
    <t>Per Day Capacity</t>
  </si>
  <si>
    <t>Rate Per Sq ft.</t>
  </si>
  <si>
    <t>Sale Per Day</t>
  </si>
  <si>
    <t>No. of Days Operational</t>
  </si>
  <si>
    <t>Sale Per Year</t>
  </si>
  <si>
    <t>In Lakhs</t>
  </si>
  <si>
    <t>Sale Schdeule</t>
  </si>
  <si>
    <t>Purchase Cost Per Year</t>
  </si>
  <si>
    <t xml:space="preserve">Salary per month 2.5 lakh to 3.5 </t>
  </si>
  <si>
    <t xml:space="preserve">Rent 35000 of the land </t>
  </si>
  <si>
    <t xml:space="preserve">Total capital employed so far </t>
  </si>
  <si>
    <t xml:space="preserve">Plant purchase 19 lakh </t>
  </si>
  <si>
    <t xml:space="preserve">Lease land 6.6 lakh </t>
  </si>
  <si>
    <t xml:space="preserve">Closing stock - 10MM 40 lakh we do have </t>
  </si>
  <si>
    <t>RAW MATERIAL - 1759500</t>
  </si>
  <si>
    <t>Fuel Expense Per Day</t>
  </si>
  <si>
    <t>Purchase Per Day</t>
  </si>
  <si>
    <t>Raw Material Rate Per Sq ft.</t>
  </si>
  <si>
    <t>Total Expense Per day</t>
  </si>
  <si>
    <t>Purchase &amp; Direct Expense Schedule</t>
  </si>
  <si>
    <t>Working days in a year</t>
  </si>
  <si>
    <t xml:space="preserve">Electricity Expenses </t>
  </si>
  <si>
    <t>Other Misc. Expenses</t>
  </si>
  <si>
    <t>Rental Cost</t>
  </si>
  <si>
    <t>Grand Total</t>
  </si>
  <si>
    <t>In lakhs</t>
  </si>
  <si>
    <t>Plant and Machinery</t>
  </si>
  <si>
    <t>Total Cost of Investment</t>
  </si>
  <si>
    <t>Particulars of Assets</t>
  </si>
  <si>
    <t>Rate of Depreciation</t>
  </si>
  <si>
    <t>Additions during the year</t>
  </si>
  <si>
    <t>Depreciation during the year</t>
  </si>
  <si>
    <t>&gt;180 Days</t>
  </si>
  <si>
    <t>&lt;180 Days</t>
  </si>
  <si>
    <r>
      <t>As at
31</t>
    </r>
    <r>
      <rPr>
        <b/>
        <vertAlign val="superscript"/>
        <sz val="14"/>
        <rFont val="Calibri"/>
        <family val="2"/>
        <scheme val="minor"/>
      </rPr>
      <t>st</t>
    </r>
    <r>
      <rPr>
        <b/>
        <sz val="14"/>
        <rFont val="Calibri"/>
        <family val="2"/>
        <scheme val="minor"/>
      </rPr>
      <t xml:space="preserve"> March, 2026</t>
    </r>
  </si>
  <si>
    <r>
      <t>As at
31</t>
    </r>
    <r>
      <rPr>
        <b/>
        <vertAlign val="superscript"/>
        <sz val="14"/>
        <rFont val="Calibri"/>
        <family val="2"/>
        <scheme val="minor"/>
      </rPr>
      <t>st</t>
    </r>
    <r>
      <rPr>
        <b/>
        <sz val="14"/>
        <rFont val="Calibri"/>
        <family val="2"/>
        <scheme val="minor"/>
      </rPr>
      <t xml:space="preserve"> March, 2027</t>
    </r>
  </si>
  <si>
    <r>
      <t>As at
31</t>
    </r>
    <r>
      <rPr>
        <b/>
        <vertAlign val="superscript"/>
        <sz val="14"/>
        <rFont val="Calibri"/>
        <family val="2"/>
        <scheme val="minor"/>
      </rPr>
      <t>st</t>
    </r>
    <r>
      <rPr>
        <b/>
        <sz val="14"/>
        <rFont val="Calibri"/>
        <family val="2"/>
        <scheme val="minor"/>
      </rPr>
      <t xml:space="preserve"> March, 2028</t>
    </r>
  </si>
  <si>
    <r>
      <t>As at
31</t>
    </r>
    <r>
      <rPr>
        <b/>
        <vertAlign val="superscript"/>
        <sz val="14"/>
        <rFont val="Calibri"/>
        <family val="2"/>
        <scheme val="minor"/>
      </rPr>
      <t>st</t>
    </r>
    <r>
      <rPr>
        <b/>
        <sz val="14"/>
        <rFont val="Calibri"/>
        <family val="2"/>
        <scheme val="minor"/>
      </rPr>
      <t xml:space="preserve"> March, 2029</t>
    </r>
  </si>
  <si>
    <r>
      <t>As at
31</t>
    </r>
    <r>
      <rPr>
        <b/>
        <vertAlign val="superscript"/>
        <sz val="14"/>
        <rFont val="Calibri"/>
        <family val="2"/>
        <scheme val="minor"/>
      </rPr>
      <t>st</t>
    </r>
    <r>
      <rPr>
        <b/>
        <sz val="14"/>
        <rFont val="Calibri"/>
        <family val="2"/>
        <scheme val="minor"/>
      </rPr>
      <t xml:space="preserve"> March, 2030</t>
    </r>
  </si>
  <si>
    <r>
      <t>As at
31</t>
    </r>
    <r>
      <rPr>
        <b/>
        <vertAlign val="superscript"/>
        <sz val="14"/>
        <rFont val="Calibri"/>
        <family val="2"/>
        <scheme val="minor"/>
      </rPr>
      <t>st</t>
    </r>
    <r>
      <rPr>
        <b/>
        <sz val="14"/>
        <rFont val="Calibri"/>
        <family val="2"/>
        <scheme val="minor"/>
      </rPr>
      <t xml:space="preserve"> March, 2031</t>
    </r>
  </si>
  <si>
    <r>
      <t>As at
31</t>
    </r>
    <r>
      <rPr>
        <b/>
        <vertAlign val="superscript"/>
        <sz val="14"/>
        <rFont val="Calibri"/>
        <family val="2"/>
        <scheme val="minor"/>
      </rPr>
      <t>st</t>
    </r>
    <r>
      <rPr>
        <b/>
        <sz val="14"/>
        <rFont val="Calibri"/>
        <family val="2"/>
        <scheme val="minor"/>
      </rPr>
      <t xml:space="preserve"> March, 2032</t>
    </r>
  </si>
  <si>
    <r>
      <t>As at
31</t>
    </r>
    <r>
      <rPr>
        <b/>
        <vertAlign val="superscript"/>
        <sz val="14"/>
        <rFont val="Calibri"/>
        <family val="2"/>
        <scheme val="minor"/>
      </rPr>
      <t>st</t>
    </r>
    <r>
      <rPr>
        <b/>
        <sz val="14"/>
        <rFont val="Calibri"/>
        <family val="2"/>
        <scheme val="minor"/>
      </rPr>
      <t xml:space="preserve"> March, 2033</t>
    </r>
  </si>
  <si>
    <t>Proposed Term Loan from Punjab National Bank- Interest and Prinicipal Details</t>
  </si>
  <si>
    <t xml:space="preserve">Rate of Interest on Term Loan from Bank </t>
  </si>
  <si>
    <t>No. of installments for repayment of loan from Bank (In Months)</t>
  </si>
  <si>
    <t>Door to door tenor for term loan from Bank (In Months)</t>
  </si>
  <si>
    <t>(i) Interest on term loan from Punjab National Bank</t>
  </si>
  <si>
    <t>(ii) Interest on CC Limit from Punjab National Bank</t>
  </si>
  <si>
    <t>Short Term Borrowings</t>
  </si>
  <si>
    <t>Partner's Capital Capital</t>
  </si>
  <si>
    <t>GST @18%</t>
  </si>
  <si>
    <t>Jaw Crusher Primary 36”x30” D.T</t>
  </si>
  <si>
    <t>1 No</t>
  </si>
  <si>
    <t>Jaw Crusher Secondary 48”X10” S.T</t>
  </si>
  <si>
    <t>Grizzly Feeder 18’x5’</t>
  </si>
  <si>
    <t>Vibrating Screen 20’x5’ 3+1 deck</t>
  </si>
  <si>
    <t>Main Conveyor 1000mm B/W (60+75)</t>
  </si>
  <si>
    <t>2 Nos</t>
  </si>
  <si>
    <t>Return Conveyor 800mm B/W 50’</t>
  </si>
  <si>
    <t>Delivery Conveyor 500mm B/W 60x5</t>
  </si>
  <si>
    <t>5 Nos</t>
  </si>
  <si>
    <t>Motor 345hp</t>
  </si>
  <si>
    <t>13 Nos</t>
  </si>
  <si>
    <t>Miscellaneous</t>
  </si>
  <si>
    <t>1 Lot</t>
  </si>
  <si>
    <t>Starter, Switch, Cable</t>
  </si>
  <si>
    <t>Feed Hopper 16’x12’</t>
  </si>
  <si>
    <t>Nos</t>
  </si>
  <si>
    <t>Amt.</t>
  </si>
  <si>
    <t>There will always be difference in Value of Capitalised Plant and Machinery and Total Investment in Plant and Machinery as GST is taken as input shown in current assets</t>
  </si>
  <si>
    <r>
      <t>As at 
01</t>
    </r>
    <r>
      <rPr>
        <b/>
        <vertAlign val="superscript"/>
        <sz val="14"/>
        <rFont val="Calibri"/>
        <family val="2"/>
        <scheme val="minor"/>
      </rPr>
      <t>st</t>
    </r>
    <r>
      <rPr>
        <b/>
        <sz val="14"/>
        <rFont val="Calibri"/>
        <family val="2"/>
        <scheme val="minor"/>
      </rPr>
      <t xml:space="preserve"> April, 2025</t>
    </r>
  </si>
  <si>
    <t>Meal Expenses (In the Ratio of 20% of employee Expenses)</t>
  </si>
  <si>
    <t>* Capital Introduced also includes 19 lakhs Introduced by Partner Saransh Sharma- Paid to Other Partner for acquistion of Share Via Perosnal Entry</t>
  </si>
  <si>
    <t>Civil Work</t>
  </si>
  <si>
    <t>Building</t>
  </si>
  <si>
    <t>Project Cost</t>
  </si>
  <si>
    <t>Internal Accruals</t>
  </si>
  <si>
    <t xml:space="preserve">And village sandoli post office makri markand </t>
  </si>
  <si>
    <t>Teh sadar district bilaspur</t>
  </si>
  <si>
    <t xml:space="preserve"> village sandoli post office makri markand Teh sadar district bilaspur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</si>
</sst>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8" formatCode="&quot;₹&quot;\ #,##0.00;[Red]&quot;₹&quot;\ \-#,##0.00"/>
    <numFmt numFmtId="43" formatCode="_ * #,##0.00_ ;_ * \-#,##0.00_ ;_ * &quot;-&quot;??_ ;_ @_ "/>
    <numFmt numFmtId="164" formatCode="_(&quot;$&quot;* #,##0.00_);_(&quot;$&quot;* \(#,##0.00\);_(&quot;$&quot;* &quot;-&quot;??_);_(@_)"/>
    <numFmt numFmtId="165" formatCode="_(* #,##0.00_);_(* \(#,##0.00\);_(* &quot;-&quot;??_);_(@_)"/>
    <numFmt numFmtId="166" formatCode="_(* #,##0_);_(* \(#,##0\);_(* &quot;-&quot;??_);_(@_)"/>
    <numFmt numFmtId="167" formatCode="0.0%"/>
    <numFmt numFmtId="168" formatCode="#,##0\ &quot;F&quot;;\-#,##0\ &quot;F&quot;"/>
    <numFmt numFmtId="169" formatCode="_(* 0,_);_(* \(0,\);_(* &quot;&quot;??_);_(@_)"/>
    <numFmt numFmtId="170" formatCode="0.000"/>
    <numFmt numFmtId="171" formatCode="########.00"/>
    <numFmt numFmtId="172" formatCode="_-* #,##0\ &quot;F&quot;_-;\-* #,##0\ &quot;F&quot;_-;_-* &quot;-&quot;\ &quot;F&quot;_-;_-@_-"/>
    <numFmt numFmtId="173" formatCode="#,##0\ &quot;F&quot;;[Red]\-#,##0\ &quot;F&quot;"/>
    <numFmt numFmtId="174" formatCode="#,##0.00\ &quot;F&quot;;[Red]\-#,##0.00\ &quot;F&quot;"/>
    <numFmt numFmtId="175" formatCode="_-* #,##0.00\ &quot;F&quot;_-;\-* #,##0.00\ &quot;F&quot;_-;_-* &quot;-&quot;??\ &quot;F&quot;_-;_-@_-"/>
    <numFmt numFmtId="176" formatCode="0.0,"/>
    <numFmt numFmtId="177" formatCode="_-* #,##0\ _F_-;\-* #,##0\ _F_-;_-* &quot;-&quot;\ _F_-;_-@_-"/>
    <numFmt numFmtId="178" formatCode="_ * #,##0.0000_ ;_ * \-#,##0.0000_ ;_ * &quot;-&quot;??_ ;_ @_ "/>
    <numFmt numFmtId="179" formatCode="_ [$₹-4009]\ * #,##0.00_ ;_ [$₹-4009]\ * \-#,##0.00_ ;_ [$₹-4009]\ * &quot;-&quot;??_ ;_ @_ "/>
    <numFmt numFmtId="180" formatCode="0.0"/>
    <numFmt numFmtId="181" formatCode="_ * #,##0.0_ ;_ * \-#,##0.0_ ;_ * &quot;-&quot;??_ ;_ @_ "/>
  </numFmts>
  <fonts count="69" x14ac:knownFonts="1">
    <font>
      <sz val="11"/>
      <color theme="1"/>
      <name val="Calibri"/>
      <family val="2"/>
      <scheme val="minor"/>
    </font>
    <font>
      <sz val="11"/>
      <color indexed="8"/>
      <name val="Calibri"/>
      <family val="2"/>
    </font>
    <font>
      <b/>
      <sz val="10"/>
      <name val="Arial"/>
      <family val="2"/>
    </font>
    <font>
      <sz val="10"/>
      <name val="Arial"/>
      <family val="2"/>
    </font>
    <font>
      <sz val="11"/>
      <color indexed="8"/>
      <name val="Calibri"/>
      <family val="2"/>
    </font>
    <font>
      <b/>
      <sz val="11"/>
      <color indexed="8"/>
      <name val="Calibri"/>
      <family val="2"/>
    </font>
    <font>
      <sz val="10"/>
      <name val="Courier"/>
      <family val="3"/>
    </font>
    <font>
      <sz val="10"/>
      <name val="MS Sans Serif"/>
      <family val="2"/>
    </font>
    <font>
      <sz val="10"/>
      <color indexed="8"/>
      <name val="Arial"/>
      <family val="2"/>
    </font>
    <font>
      <sz val="8"/>
      <name val="Arial"/>
      <family val="2"/>
    </font>
    <font>
      <b/>
      <sz val="12"/>
      <name val="Arial"/>
      <family val="2"/>
    </font>
    <font>
      <b/>
      <sz val="10"/>
      <name val="Arial Black"/>
      <family val="2"/>
    </font>
    <font>
      <b/>
      <sz val="15"/>
      <name val="Times New Roman"/>
      <family val="1"/>
    </font>
    <font>
      <b/>
      <sz val="10"/>
      <name val="MS Sans Serif"/>
      <family val="2"/>
    </font>
    <font>
      <b/>
      <sz val="10"/>
      <color indexed="12"/>
      <name val="Arial"/>
      <family val="2"/>
    </font>
    <font>
      <b/>
      <sz val="11"/>
      <name val="Arial"/>
      <family val="2"/>
    </font>
    <font>
      <sz val="1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u/>
      <sz val="11"/>
      <name val="Arial"/>
      <family val="2"/>
    </font>
    <font>
      <b/>
      <sz val="10"/>
      <color indexed="8"/>
      <name val="Arial"/>
      <family val="2"/>
    </font>
    <font>
      <b/>
      <sz val="16"/>
      <name val="Verdana"/>
      <family val="2"/>
    </font>
    <font>
      <sz val="10"/>
      <name val="Verdana"/>
      <family val="2"/>
    </font>
    <font>
      <b/>
      <sz val="10"/>
      <name val="Verdana"/>
      <family val="2"/>
    </font>
    <font>
      <b/>
      <u/>
      <sz val="10"/>
      <name val="Verdana"/>
      <family val="2"/>
    </font>
    <font>
      <b/>
      <i/>
      <sz val="10"/>
      <name val="Verdana"/>
      <family val="2"/>
    </font>
    <font>
      <i/>
      <sz val="10"/>
      <name val="Verdana"/>
      <family val="2"/>
    </font>
    <font>
      <sz val="10"/>
      <name val="Trebuchet MS"/>
      <family val="2"/>
    </font>
    <font>
      <b/>
      <sz val="13"/>
      <name val="Times New Roman"/>
      <family val="1"/>
    </font>
    <font>
      <sz val="11"/>
      <color theme="1"/>
      <name val="Calibri"/>
      <family val="2"/>
      <scheme val="minor"/>
    </font>
    <font>
      <u/>
      <sz val="11"/>
      <color theme="10"/>
      <name val="Calibri"/>
      <family val="2"/>
    </font>
    <font>
      <sz val="12"/>
      <color theme="1"/>
      <name val="Calibri"/>
      <family val="2"/>
      <scheme val="minor"/>
    </font>
    <font>
      <b/>
      <sz val="11"/>
      <color theme="1"/>
      <name val="Calibri"/>
      <family val="2"/>
      <scheme val="minor"/>
    </font>
    <font>
      <sz val="10"/>
      <color rgb="FFFF0000"/>
      <name val="Arial"/>
      <family val="2"/>
    </font>
    <font>
      <b/>
      <sz val="10"/>
      <color rgb="FFFF0000"/>
      <name val="Arial"/>
      <family val="2"/>
    </font>
    <font>
      <sz val="11"/>
      <color theme="1"/>
      <name val="Arial"/>
      <family val="2"/>
    </font>
    <font>
      <b/>
      <sz val="11"/>
      <color theme="1"/>
      <name val="Arial"/>
      <family val="2"/>
    </font>
    <font>
      <sz val="11"/>
      <color rgb="FFFF0000"/>
      <name val="Arial"/>
      <family val="2"/>
    </font>
    <font>
      <b/>
      <u/>
      <sz val="11"/>
      <color theme="1"/>
      <name val="Arial"/>
      <family val="2"/>
    </font>
    <font>
      <sz val="10"/>
      <color theme="1"/>
      <name val="Arial"/>
      <family val="2"/>
    </font>
    <font>
      <b/>
      <sz val="10"/>
      <color theme="1"/>
      <name val="Arial"/>
      <family val="2"/>
    </font>
    <font>
      <sz val="10"/>
      <color theme="1"/>
      <name val="Verdana"/>
      <family val="2"/>
    </font>
    <font>
      <b/>
      <sz val="10"/>
      <color theme="0"/>
      <name val="Arial"/>
      <family val="2"/>
    </font>
    <font>
      <sz val="10"/>
      <color theme="0"/>
      <name val="Arial"/>
      <family val="2"/>
    </font>
    <font>
      <sz val="10"/>
      <color theme="3"/>
      <name val="Arial"/>
      <family val="2"/>
    </font>
    <font>
      <b/>
      <sz val="10"/>
      <color theme="3"/>
      <name val="Arial"/>
      <family val="2"/>
    </font>
    <font>
      <b/>
      <sz val="11"/>
      <color theme="1"/>
      <name val="Verdana"/>
      <family val="2"/>
    </font>
    <font>
      <b/>
      <sz val="12"/>
      <color rgb="FF000000"/>
      <name val="Verdana"/>
      <family val="2"/>
    </font>
    <font>
      <sz val="12"/>
      <color rgb="FF000000"/>
      <name val="Verdana"/>
      <family val="2"/>
    </font>
    <font>
      <sz val="12"/>
      <name val="Verdana"/>
      <family val="2"/>
    </font>
    <font>
      <sz val="8"/>
      <name val="Calibri"/>
      <family val="2"/>
      <scheme val="minor"/>
    </font>
    <font>
      <b/>
      <sz val="14"/>
      <name val="Calibri"/>
      <family val="2"/>
      <scheme val="minor"/>
    </font>
    <font>
      <b/>
      <vertAlign val="superscript"/>
      <sz val="14"/>
      <name val="Calibri"/>
      <family val="2"/>
      <scheme val="minor"/>
    </font>
    <font>
      <sz val="14"/>
      <color theme="1"/>
      <name val="Calibri"/>
      <family val="2"/>
      <scheme val="minor"/>
    </font>
    <font>
      <sz val="14"/>
      <name val="Calibri"/>
      <family val="2"/>
      <scheme val="minor"/>
    </font>
    <font>
      <b/>
      <sz val="12"/>
      <name val="Verdana"/>
      <family val="2"/>
    </font>
  </fonts>
  <fills count="3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mediumGray">
        <fgColor indexed="22"/>
      </patternFill>
    </fill>
    <fill>
      <patternFill patternType="solid">
        <fgColor indexed="55"/>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499984740745262"/>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bottom style="medium">
        <color indexed="64"/>
      </bottom>
      <diagonal/>
    </border>
    <border>
      <left/>
      <right/>
      <top/>
      <bottom style="thin">
        <color indexed="64"/>
      </bottom>
      <diagonal/>
    </border>
    <border>
      <left style="medium">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211">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 fontId="2" fillId="0" borderId="0">
      <alignment horizontal="right" vertical="top"/>
      <protection locked="0"/>
    </xf>
    <xf numFmtId="0" fontId="18" fillId="3"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168" fontId="6" fillId="0" borderId="0" applyFill="0" applyBorder="0" applyAlignment="0"/>
    <xf numFmtId="0" fontId="19" fillId="20" borderId="1" applyNumberFormat="0" applyAlignment="0" applyProtection="0"/>
    <xf numFmtId="0" fontId="19" fillId="20" borderId="1" applyNumberFormat="0" applyAlignment="0" applyProtection="0"/>
    <xf numFmtId="0" fontId="19" fillId="20" borderId="1" applyNumberFormat="0" applyAlignment="0" applyProtection="0"/>
    <xf numFmtId="0" fontId="20" fillId="21" borderId="2" applyNumberFormat="0" applyAlignment="0" applyProtection="0"/>
    <xf numFmtId="0" fontId="20" fillId="21" borderId="2" applyNumberFormat="0" applyAlignment="0" applyProtection="0"/>
    <xf numFmtId="0" fontId="20" fillId="21" borderId="2" applyNumberFormat="0" applyAlignment="0" applyProtection="0"/>
    <xf numFmtId="43" fontId="42"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165"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165" fontId="16" fillId="0" borderId="0" applyFont="0" applyFill="0" applyBorder="0" applyProtection="0"/>
    <xf numFmtId="43" fontId="16" fillId="0" borderId="0" applyFont="0" applyFill="0" applyBorder="0" applyProtection="0"/>
    <xf numFmtId="168" fontId="6" fillId="0" borderId="0" applyFont="0" applyFill="0" applyBorder="0" applyAlignment="0" applyProtection="0"/>
    <xf numFmtId="171" fontId="3" fillId="22" borderId="0" applyFont="0" applyBorder="0"/>
    <xf numFmtId="15" fontId="7" fillId="0" borderId="0"/>
    <xf numFmtId="14" fontId="8" fillId="0" borderId="0" applyFill="0" applyBorder="0" applyAlignment="0"/>
    <xf numFmtId="15" fontId="7" fillId="0" borderId="0"/>
    <xf numFmtId="169" fontId="3" fillId="0" borderId="0" applyFill="0" applyBorder="0" applyAlignment="0"/>
    <xf numFmtId="168" fontId="6" fillId="0" borderId="0" applyFill="0" applyBorder="0" applyAlignment="0"/>
    <xf numFmtId="169" fontId="3" fillId="0" borderId="0" applyFill="0" applyBorder="0" applyAlignment="0"/>
    <xf numFmtId="172" fontId="6" fillId="0" borderId="0" applyFill="0" applyBorder="0" applyAlignment="0"/>
    <xf numFmtId="168" fontId="6" fillId="0" borderId="0" applyFill="0" applyBorder="0" applyAlignment="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38" fontId="9" fillId="22" borderId="0" applyNumberFormat="0" applyBorder="0" applyAlignment="0" applyProtection="0"/>
    <xf numFmtId="0" fontId="10" fillId="0" borderId="3" applyNumberFormat="0" applyAlignment="0" applyProtection="0">
      <alignment horizontal="left" vertical="center"/>
    </xf>
    <xf numFmtId="0" fontId="10" fillId="0" borderId="4">
      <alignment horizontal="left" vertical="center"/>
    </xf>
    <xf numFmtId="0" fontId="11" fillId="0" borderId="0">
      <alignment vertical="top"/>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 fontId="12" fillId="0" borderId="0">
      <alignment vertical="top"/>
      <protection locked="0"/>
    </xf>
    <xf numFmtId="0" fontId="43" fillId="0" borderId="0" applyNumberFormat="0" applyFill="0" applyBorder="0" applyAlignment="0" applyProtection="0">
      <alignment vertical="top"/>
      <protection locked="0"/>
    </xf>
    <xf numFmtId="10" fontId="9" fillId="23" borderId="8" applyNumberFormat="0" applyBorder="0" applyAlignment="0" applyProtection="0"/>
    <xf numFmtId="0" fontId="26" fillId="7" borderId="1" applyNumberFormat="0" applyAlignment="0" applyProtection="0"/>
    <xf numFmtId="0" fontId="26" fillId="7" borderId="1" applyNumberFormat="0" applyAlignment="0" applyProtection="0"/>
    <xf numFmtId="0" fontId="26" fillId="7" borderId="1" applyNumberFormat="0" applyAlignment="0" applyProtection="0"/>
    <xf numFmtId="169" fontId="3" fillId="0" borderId="0" applyFill="0" applyBorder="0" applyAlignment="0"/>
    <xf numFmtId="168" fontId="6" fillId="0" borderId="0" applyFill="0" applyBorder="0" applyAlignment="0"/>
    <xf numFmtId="169" fontId="3" fillId="0" borderId="0" applyFill="0" applyBorder="0" applyAlignment="0"/>
    <xf numFmtId="172" fontId="6" fillId="0" borderId="0" applyFill="0" applyBorder="0" applyAlignment="0"/>
    <xf numFmtId="168" fontId="6" fillId="0" borderId="0" applyFill="0" applyBorder="0" applyAlignment="0"/>
    <xf numFmtId="0" fontId="27" fillId="0" borderId="9" applyNumberFormat="0" applyFill="0" applyAlignment="0" applyProtection="0"/>
    <xf numFmtId="0" fontId="27" fillId="0" borderId="9" applyNumberFormat="0" applyFill="0" applyAlignment="0" applyProtection="0"/>
    <xf numFmtId="0" fontId="27" fillId="0" borderId="9" applyNumberFormat="0" applyFill="0" applyAlignment="0" applyProtection="0"/>
    <xf numFmtId="38" fontId="7" fillId="0" borderId="0" applyFont="0" applyFill="0" applyBorder="0" applyAlignment="0" applyProtection="0"/>
    <xf numFmtId="4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175" fontId="3" fillId="0" borderId="0"/>
    <xf numFmtId="0" fontId="16"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44" fillId="0" borderId="0"/>
    <xf numFmtId="0" fontId="42" fillId="0" borderId="0"/>
    <xf numFmtId="0" fontId="3" fillId="0" borderId="0"/>
    <xf numFmtId="1" fontId="3" fillId="0" borderId="0"/>
    <xf numFmtId="0" fontId="3" fillId="0" borderId="0"/>
    <xf numFmtId="0" fontId="3" fillId="25" borderId="10" applyNumberFormat="0" applyAlignment="0" applyProtection="0"/>
    <xf numFmtId="0" fontId="3" fillId="25" borderId="10" applyNumberFormat="0" applyAlignment="0" applyProtection="0"/>
    <xf numFmtId="0" fontId="3" fillId="25" borderId="10" applyNumberFormat="0" applyAlignment="0" applyProtection="0"/>
    <xf numFmtId="0" fontId="29" fillId="20" borderId="11" applyNumberFormat="0" applyAlignment="0" applyProtection="0"/>
    <xf numFmtId="0" fontId="29" fillId="20" borderId="11" applyNumberFormat="0" applyAlignment="0" applyProtection="0"/>
    <xf numFmtId="0" fontId="29" fillId="20" borderId="11" applyNumberFormat="0" applyAlignment="0" applyProtection="0"/>
    <xf numFmtId="9" fontId="42" fillId="0" borderId="0" applyFont="0" applyFill="0" applyBorder="0" applyAlignment="0" applyProtection="0"/>
    <xf numFmtId="174" fontId="6" fillId="0" borderId="0" applyFont="0" applyFill="0" applyBorder="0" applyAlignment="0" applyProtection="0"/>
    <xf numFmtId="176"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169" fontId="3" fillId="0" borderId="0" applyFill="0" applyBorder="0" applyAlignment="0"/>
    <xf numFmtId="168" fontId="6" fillId="0" borderId="0" applyFill="0" applyBorder="0" applyAlignment="0"/>
    <xf numFmtId="169" fontId="3" fillId="0" borderId="0" applyFill="0" applyBorder="0" applyAlignment="0"/>
    <xf numFmtId="172" fontId="6" fillId="0" borderId="0" applyFill="0" applyBorder="0" applyAlignment="0"/>
    <xf numFmtId="168" fontId="6" fillId="0" borderId="0" applyFill="0" applyBorder="0" applyAlignment="0"/>
    <xf numFmtId="0" fontId="7" fillId="0" borderId="0" applyNumberFormat="0" applyFont="0" applyFill="0" applyBorder="0" applyAlignment="0" applyProtection="0">
      <alignment horizontal="left"/>
    </xf>
    <xf numFmtId="15" fontId="7" fillId="0" borderId="0" applyFont="0" applyFill="0" applyBorder="0" applyAlignment="0" applyProtection="0"/>
    <xf numFmtId="4" fontId="7" fillId="0" borderId="0" applyFont="0" applyFill="0" applyBorder="0" applyAlignment="0" applyProtection="0"/>
    <xf numFmtId="0" fontId="13" fillId="0" borderId="12">
      <alignment horizontal="center"/>
    </xf>
    <xf numFmtId="3" fontId="7" fillId="0" borderId="0" applyFont="0" applyFill="0" applyBorder="0" applyAlignment="0" applyProtection="0"/>
    <xf numFmtId="0" fontId="7" fillId="26" borderId="0" applyNumberFormat="0" applyFont="0" applyBorder="0" applyAlignment="0" applyProtection="0"/>
    <xf numFmtId="174" fontId="7" fillId="0" borderId="0">
      <alignment horizontal="center"/>
    </xf>
    <xf numFmtId="49" fontId="8" fillId="0" borderId="0" applyFill="0" applyBorder="0" applyAlignment="0"/>
    <xf numFmtId="177" fontId="6" fillId="0" borderId="0" applyFill="0" applyBorder="0" applyAlignment="0"/>
    <xf numFmtId="177" fontId="3" fillId="0" borderId="0" applyFill="0" applyBorder="0" applyAlignment="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 fillId="0" borderId="13" applyNumberFormat="0" applyFill="0" applyAlignment="0" applyProtection="0"/>
    <xf numFmtId="0" fontId="5" fillId="0" borderId="13" applyNumberFormat="0" applyFill="0" applyAlignment="0" applyProtection="0"/>
    <xf numFmtId="0" fontId="5" fillId="0" borderId="13"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42" fillId="0" borderId="0" applyFont="0" applyFill="0" applyBorder="0" applyAlignment="0" applyProtection="0"/>
  </cellStyleXfs>
  <cellXfs count="499">
    <xf numFmtId="0" fontId="0" fillId="0" borderId="0" xfId="0"/>
    <xf numFmtId="17" fontId="2" fillId="22" borderId="3" xfId="0" applyNumberFormat="1" applyFont="1" applyFill="1" applyBorder="1"/>
    <xf numFmtId="165" fontId="3" fillId="0" borderId="0" xfId="162" applyNumberFormat="1"/>
    <xf numFmtId="0" fontId="3" fillId="0" borderId="14" xfId="162" applyBorder="1" applyAlignment="1">
      <alignment horizontal="left"/>
    </xf>
    <xf numFmtId="0" fontId="3" fillId="0" borderId="0" xfId="162" applyAlignment="1">
      <alignment horizontal="center"/>
    </xf>
    <xf numFmtId="165" fontId="14" fillId="29" borderId="3" xfId="162" applyNumberFormat="1" applyFont="1" applyFill="1" applyBorder="1"/>
    <xf numFmtId="165" fontId="2" fillId="0" borderId="0" xfId="97" applyNumberFormat="1" applyFont="1" applyFill="1" applyAlignment="1">
      <alignment horizontal="center"/>
    </xf>
    <xf numFmtId="165" fontId="3" fillId="0" borderId="0" xfId="0" applyNumberFormat="1" applyFont="1"/>
    <xf numFmtId="0" fontId="3" fillId="0" borderId="0" xfId="162" applyAlignment="1">
      <alignment horizontal="left"/>
    </xf>
    <xf numFmtId="1" fontId="3" fillId="0" borderId="0" xfId="162" applyNumberFormat="1" applyAlignment="1">
      <alignment horizontal="center"/>
    </xf>
    <xf numFmtId="0" fontId="14" fillId="0" borderId="0" xfId="170" applyFont="1" applyAlignment="1">
      <alignment horizontal="left"/>
    </xf>
    <xf numFmtId="165" fontId="3" fillId="0" borderId="0" xfId="170" applyNumberFormat="1" applyAlignment="1">
      <alignment horizontal="center"/>
    </xf>
    <xf numFmtId="165" fontId="2" fillId="29" borderId="3" xfId="170" applyNumberFormat="1" applyFont="1" applyFill="1" applyBorder="1" applyAlignment="1">
      <alignment horizontal="center"/>
    </xf>
    <xf numFmtId="165" fontId="2" fillId="0" borderId="0" xfId="87" applyNumberFormat="1" applyFont="1" applyFill="1" applyBorder="1" applyAlignment="1">
      <alignment horizontal="center"/>
    </xf>
    <xf numFmtId="165" fontId="3" fillId="0" borderId="0" xfId="162" applyNumberFormat="1" applyAlignment="1">
      <alignment horizontal="center"/>
    </xf>
    <xf numFmtId="165" fontId="3" fillId="0" borderId="15" xfId="162" applyNumberFormat="1" applyBorder="1"/>
    <xf numFmtId="0" fontId="3" fillId="0" borderId="16" xfId="162" applyBorder="1" applyAlignment="1">
      <alignment horizontal="left" indent="2"/>
    </xf>
    <xf numFmtId="0" fontId="3" fillId="0" borderId="14" xfId="162" applyBorder="1" applyAlignment="1">
      <alignment horizontal="left" indent="2"/>
    </xf>
    <xf numFmtId="0" fontId="3" fillId="0" borderId="17" xfId="162" applyBorder="1" applyAlignment="1">
      <alignment horizontal="left" indent="2"/>
    </xf>
    <xf numFmtId="0" fontId="3" fillId="27" borderId="18" xfId="162" applyFill="1" applyBorder="1" applyAlignment="1">
      <alignment horizontal="left" indent="2"/>
    </xf>
    <xf numFmtId="0" fontId="3" fillId="0" borderId="14" xfId="170" applyBorder="1" applyAlignment="1">
      <alignment horizontal="left"/>
    </xf>
    <xf numFmtId="0" fontId="2" fillId="29" borderId="18" xfId="162" applyFont="1" applyFill="1" applyBorder="1" applyAlignment="1">
      <alignment horizontal="center"/>
    </xf>
    <xf numFmtId="0" fontId="3" fillId="0" borderId="0" xfId="162" applyAlignment="1">
      <alignment vertical="top"/>
    </xf>
    <xf numFmtId="0" fontId="2" fillId="31" borderId="19" xfId="162" applyFont="1" applyFill="1" applyBorder="1" applyAlignment="1">
      <alignment vertical="top"/>
    </xf>
    <xf numFmtId="0" fontId="2" fillId="0" borderId="0" xfId="162" applyFont="1" applyAlignment="1">
      <alignment vertical="top"/>
    </xf>
    <xf numFmtId="0" fontId="2" fillId="31" borderId="20" xfId="162" applyFont="1" applyFill="1" applyBorder="1" applyAlignment="1">
      <alignment vertical="top"/>
    </xf>
    <xf numFmtId="0" fontId="3" fillId="0" borderId="15" xfId="162" applyBorder="1" applyAlignment="1">
      <alignment vertical="top"/>
    </xf>
    <xf numFmtId="0" fontId="3" fillId="0" borderId="20" xfId="162" applyBorder="1" applyAlignment="1">
      <alignment horizontal="left" vertical="top"/>
    </xf>
    <xf numFmtId="43" fontId="3" fillId="0" borderId="0" xfId="84" applyFont="1" applyFill="1" applyBorder="1" applyAlignment="1">
      <alignment vertical="top"/>
    </xf>
    <xf numFmtId="43" fontId="3" fillId="0" borderId="12" xfId="84" applyFont="1" applyFill="1" applyBorder="1" applyAlignment="1">
      <alignment vertical="top"/>
    </xf>
    <xf numFmtId="43" fontId="2" fillId="31" borderId="3" xfId="84" applyFont="1" applyFill="1" applyBorder="1" applyAlignment="1">
      <alignment vertical="top"/>
    </xf>
    <xf numFmtId="43" fontId="3" fillId="0" borderId="0" xfId="84" applyFont="1" applyBorder="1" applyAlignment="1">
      <alignment vertical="top"/>
    </xf>
    <xf numFmtId="43" fontId="3" fillId="0" borderId="0" xfId="162" applyNumberFormat="1" applyAlignment="1">
      <alignment vertical="top"/>
    </xf>
    <xf numFmtId="0" fontId="2" fillId="0" borderId="20" xfId="162" applyFont="1" applyBorder="1" applyAlignment="1">
      <alignment vertical="top"/>
    </xf>
    <xf numFmtId="43" fontId="3" fillId="0" borderId="15" xfId="84" applyFont="1" applyBorder="1" applyAlignment="1">
      <alignment vertical="top"/>
    </xf>
    <xf numFmtId="165" fontId="2" fillId="0" borderId="20" xfId="162" applyNumberFormat="1" applyFont="1" applyBorder="1" applyAlignment="1">
      <alignment vertical="top"/>
    </xf>
    <xf numFmtId="0" fontId="47" fillId="0" borderId="14" xfId="162" applyFont="1" applyBorder="1" applyAlignment="1">
      <alignment vertical="top"/>
    </xf>
    <xf numFmtId="43" fontId="46" fillId="0" borderId="0" xfId="84" applyFont="1" applyBorder="1" applyAlignment="1">
      <alignment vertical="top"/>
    </xf>
    <xf numFmtId="17" fontId="2" fillId="22" borderId="15" xfId="0" applyNumberFormat="1" applyFont="1" applyFill="1" applyBorder="1" applyAlignment="1">
      <alignment vertical="top"/>
    </xf>
    <xf numFmtId="10" fontId="3" fillId="0" borderId="0" xfId="177" applyNumberFormat="1" applyFont="1" applyFill="1" applyBorder="1" applyAlignment="1">
      <alignment vertical="top"/>
    </xf>
    <xf numFmtId="43" fontId="3" fillId="0" borderId="12" xfId="162" quotePrefix="1" applyNumberFormat="1" applyBorder="1" applyAlignment="1">
      <alignment vertical="top"/>
    </xf>
    <xf numFmtId="43" fontId="2" fillId="0" borderId="15" xfId="84" applyFont="1" applyFill="1" applyBorder="1" applyAlignment="1">
      <alignment vertical="top"/>
    </xf>
    <xf numFmtId="0" fontId="2" fillId="31" borderId="21" xfId="162" applyFont="1" applyFill="1" applyBorder="1" applyAlignment="1">
      <alignment vertical="top"/>
    </xf>
    <xf numFmtId="0" fontId="15" fillId="0" borderId="17" xfId="0" applyFont="1" applyBorder="1" applyAlignment="1">
      <alignment vertical="top" wrapText="1"/>
    </xf>
    <xf numFmtId="2" fontId="16" fillId="0" borderId="12" xfId="0" applyNumberFormat="1" applyFont="1" applyBorder="1" applyAlignment="1">
      <alignment horizontal="right" vertical="top" wrapText="1"/>
    </xf>
    <xf numFmtId="0" fontId="47" fillId="0" borderId="14" xfId="162" applyFont="1" applyBorder="1" applyAlignment="1">
      <alignment horizontal="left" vertical="top"/>
    </xf>
    <xf numFmtId="43" fontId="46" fillId="0" borderId="0" xfId="162" applyNumberFormat="1" applyFont="1" applyAlignment="1">
      <alignment vertical="top"/>
    </xf>
    <xf numFmtId="0" fontId="15" fillId="31" borderId="22" xfId="0" applyFont="1" applyFill="1" applyBorder="1" applyAlignment="1">
      <alignment horizontal="left" vertical="top" wrapText="1"/>
    </xf>
    <xf numFmtId="0" fontId="2" fillId="32" borderId="0" xfId="0" applyFont="1" applyFill="1"/>
    <xf numFmtId="0" fontId="3" fillId="32" borderId="0" xfId="0" applyFont="1" applyFill="1"/>
    <xf numFmtId="0" fontId="48" fillId="0" borderId="0" xfId="0" applyFont="1"/>
    <xf numFmtId="0" fontId="16" fillId="0" borderId="0" xfId="162" applyFont="1"/>
    <xf numFmtId="165" fontId="15" fillId="0" borderId="20" xfId="95" applyNumberFormat="1" applyFont="1" applyFill="1" applyBorder="1"/>
    <xf numFmtId="17" fontId="15" fillId="0" borderId="20" xfId="0" applyNumberFormat="1" applyFont="1" applyBorder="1"/>
    <xf numFmtId="165" fontId="16" fillId="0" borderId="20" xfId="95" applyNumberFormat="1" applyFont="1" applyFill="1" applyBorder="1"/>
    <xf numFmtId="165" fontId="48" fillId="0" borderId="20" xfId="95" applyNumberFormat="1" applyFont="1" applyFill="1" applyBorder="1"/>
    <xf numFmtId="165" fontId="49" fillId="31" borderId="20" xfId="95" applyNumberFormat="1" applyFont="1" applyFill="1" applyBorder="1"/>
    <xf numFmtId="0" fontId="16" fillId="0" borderId="20" xfId="162" applyFont="1" applyBorder="1"/>
    <xf numFmtId="165" fontId="16" fillId="0" borderId="20" xfId="162" applyNumberFormat="1" applyFont="1" applyBorder="1"/>
    <xf numFmtId="165" fontId="50" fillId="0" borderId="20" xfId="95" applyNumberFormat="1" applyFont="1" applyFill="1" applyBorder="1"/>
    <xf numFmtId="0" fontId="15" fillId="0" borderId="19" xfId="162" applyFont="1" applyBorder="1"/>
    <xf numFmtId="2" fontId="15" fillId="0" borderId="19" xfId="162" applyNumberFormat="1" applyFont="1" applyBorder="1"/>
    <xf numFmtId="0" fontId="15" fillId="0" borderId="0" xfId="162" applyFont="1"/>
    <xf numFmtId="0" fontId="15" fillId="0" borderId="0" xfId="162" applyFont="1" applyAlignment="1">
      <alignment horizontal="center" wrapText="1"/>
    </xf>
    <xf numFmtId="0" fontId="48" fillId="0" borderId="20" xfId="0" applyFont="1" applyBorder="1"/>
    <xf numFmtId="165" fontId="15" fillId="31" borderId="18" xfId="162" applyNumberFormat="1" applyFont="1" applyFill="1" applyBorder="1"/>
    <xf numFmtId="165" fontId="15" fillId="31" borderId="3" xfId="162" applyNumberFormat="1" applyFont="1" applyFill="1" applyBorder="1"/>
    <xf numFmtId="165" fontId="15" fillId="31" borderId="22" xfId="162" applyNumberFormat="1" applyFont="1" applyFill="1" applyBorder="1"/>
    <xf numFmtId="165" fontId="15" fillId="31" borderId="19" xfId="162" applyNumberFormat="1" applyFont="1" applyFill="1" applyBorder="1"/>
    <xf numFmtId="0" fontId="51" fillId="0" borderId="0" xfId="0" applyFont="1" applyAlignment="1">
      <alignment vertical="top"/>
    </xf>
    <xf numFmtId="0" fontId="48" fillId="0" borderId="0" xfId="0" applyFont="1" applyAlignment="1">
      <alignment vertical="top"/>
    </xf>
    <xf numFmtId="14" fontId="48" fillId="0" borderId="21" xfId="0" applyNumberFormat="1" applyFont="1" applyBorder="1" applyAlignment="1">
      <alignment horizontal="right" vertical="top"/>
    </xf>
    <xf numFmtId="1" fontId="48" fillId="0" borderId="20" xfId="0" applyNumberFormat="1" applyFont="1" applyBorder="1" applyAlignment="1">
      <alignment horizontal="right" vertical="top"/>
    </xf>
    <xf numFmtId="10" fontId="48" fillId="0" borderId="20" xfId="177" applyNumberFormat="1" applyFont="1" applyBorder="1" applyAlignment="1">
      <alignment horizontal="right" vertical="top"/>
    </xf>
    <xf numFmtId="0" fontId="48" fillId="0" borderId="20" xfId="0" applyFont="1" applyBorder="1" applyAlignment="1">
      <alignment horizontal="right" vertical="top"/>
    </xf>
    <xf numFmtId="0" fontId="49" fillId="0" borderId="0" xfId="0" applyFont="1" applyAlignment="1">
      <alignment horizontal="right" vertical="top"/>
    </xf>
    <xf numFmtId="0" fontId="49" fillId="0" borderId="0" xfId="0" applyFont="1" applyAlignment="1">
      <alignment vertical="top"/>
    </xf>
    <xf numFmtId="0" fontId="15" fillId="0" borderId="19" xfId="162" applyFont="1" applyBorder="1" applyAlignment="1">
      <alignment horizontal="center" vertical="top" wrapText="1"/>
    </xf>
    <xf numFmtId="165" fontId="16" fillId="0" borderId="21" xfId="162" applyNumberFormat="1" applyFont="1" applyBorder="1" applyAlignment="1">
      <alignment vertical="top"/>
    </xf>
    <xf numFmtId="165" fontId="16" fillId="0" borderId="20" xfId="162" applyNumberFormat="1" applyFont="1" applyBorder="1" applyAlignment="1">
      <alignment vertical="top"/>
    </xf>
    <xf numFmtId="165" fontId="16" fillId="0" borderId="23" xfId="162" applyNumberFormat="1" applyFont="1" applyBorder="1" applyAlignment="1">
      <alignment vertical="top"/>
    </xf>
    <xf numFmtId="0" fontId="15" fillId="31" borderId="19" xfId="162" applyFont="1" applyFill="1" applyBorder="1" applyAlignment="1">
      <alignment vertical="top"/>
    </xf>
    <xf numFmtId="17" fontId="15" fillId="22" borderId="19" xfId="0" applyNumberFormat="1" applyFont="1" applyFill="1" applyBorder="1" applyAlignment="1">
      <alignment vertical="top"/>
    </xf>
    <xf numFmtId="0" fontId="32" fillId="0" borderId="0" xfId="162" applyFont="1"/>
    <xf numFmtId="43" fontId="48" fillId="0" borderId="0" xfId="0" applyNumberFormat="1" applyFont="1" applyAlignment="1">
      <alignment vertical="top"/>
    </xf>
    <xf numFmtId="1" fontId="48" fillId="0" borderId="20" xfId="177" applyNumberFormat="1" applyFont="1" applyBorder="1" applyAlignment="1">
      <alignment horizontal="right" vertical="top"/>
    </xf>
    <xf numFmtId="17" fontId="15" fillId="31" borderId="19" xfId="0" applyNumberFormat="1" applyFont="1" applyFill="1" applyBorder="1" applyAlignment="1">
      <alignment horizontal="center" vertical="top"/>
    </xf>
    <xf numFmtId="0" fontId="52" fillId="0" borderId="0" xfId="0" applyFont="1"/>
    <xf numFmtId="165" fontId="3" fillId="0" borderId="0" xfId="87" applyNumberFormat="1" applyFont="1" applyFill="1" applyBorder="1" applyAlignment="1">
      <alignment horizontal="center"/>
    </xf>
    <xf numFmtId="43" fontId="52" fillId="0" borderId="0" xfId="84" applyFont="1"/>
    <xf numFmtId="10" fontId="52" fillId="0" borderId="0" xfId="0" applyNumberFormat="1" applyFont="1"/>
    <xf numFmtId="2" fontId="53" fillId="0" borderId="0" xfId="0" applyNumberFormat="1" applyFont="1"/>
    <xf numFmtId="43" fontId="53" fillId="0" borderId="0" xfId="84" applyFont="1"/>
    <xf numFmtId="167" fontId="53" fillId="0" borderId="0" xfId="0" applyNumberFormat="1" applyFont="1"/>
    <xf numFmtId="167" fontId="52" fillId="0" borderId="0" xfId="177" applyNumberFormat="1" applyFont="1"/>
    <xf numFmtId="2" fontId="53" fillId="0" borderId="0" xfId="177" applyNumberFormat="1" applyFont="1"/>
    <xf numFmtId="167" fontId="53" fillId="0" borderId="0" xfId="177" applyNumberFormat="1" applyFont="1"/>
    <xf numFmtId="178" fontId="52" fillId="0" borderId="0" xfId="84" applyNumberFormat="1" applyFont="1" applyFill="1"/>
    <xf numFmtId="43" fontId="52" fillId="0" borderId="0" xfId="84" applyFont="1" applyFill="1"/>
    <xf numFmtId="167" fontId="52" fillId="0" borderId="0" xfId="0" applyNumberFormat="1" applyFont="1"/>
    <xf numFmtId="2" fontId="52" fillId="0" borderId="0" xfId="0" applyNumberFormat="1" applyFont="1"/>
    <xf numFmtId="10" fontId="52" fillId="0" borderId="0" xfId="177" applyNumberFormat="1" applyFont="1" applyFill="1"/>
    <xf numFmtId="167" fontId="52" fillId="0" borderId="0" xfId="177" applyNumberFormat="1" applyFont="1" applyFill="1"/>
    <xf numFmtId="165" fontId="52" fillId="0" borderId="0" xfId="0" applyNumberFormat="1" applyFont="1"/>
    <xf numFmtId="2" fontId="52" fillId="0" borderId="0" xfId="177" applyNumberFormat="1" applyFont="1" applyFill="1"/>
    <xf numFmtId="0" fontId="2" fillId="31" borderId="23" xfId="162" applyFont="1" applyFill="1" applyBorder="1" applyAlignment="1">
      <alignment vertical="top"/>
    </xf>
    <xf numFmtId="0" fontId="3" fillId="0" borderId="14" xfId="162" applyBorder="1" applyAlignment="1">
      <alignment horizontal="left" vertical="top"/>
    </xf>
    <xf numFmtId="10" fontId="8" fillId="0" borderId="15" xfId="177" applyNumberFormat="1" applyFont="1" applyBorder="1"/>
    <xf numFmtId="0" fontId="15" fillId="31" borderId="18" xfId="0" applyFont="1" applyFill="1" applyBorder="1" applyAlignment="1">
      <alignment horizontal="left" vertical="top" wrapText="1"/>
    </xf>
    <xf numFmtId="0" fontId="15" fillId="31" borderId="3" xfId="0" applyFont="1" applyFill="1" applyBorder="1" applyAlignment="1">
      <alignment horizontal="left" vertical="top" wrapText="1"/>
    </xf>
    <xf numFmtId="0" fontId="48" fillId="0" borderId="0" xfId="0" applyFont="1" applyAlignment="1">
      <alignment horizontal="right"/>
    </xf>
    <xf numFmtId="0" fontId="3" fillId="30" borderId="20" xfId="162" applyFill="1" applyBorder="1" applyAlignment="1">
      <alignment vertical="top"/>
    </xf>
    <xf numFmtId="43" fontId="3" fillId="0" borderId="0" xfId="162" quotePrefix="1" applyNumberFormat="1" applyAlignment="1">
      <alignment vertical="top"/>
    </xf>
    <xf numFmtId="10" fontId="3" fillId="32" borderId="25" xfId="177" applyNumberFormat="1" applyFont="1" applyFill="1" applyBorder="1" applyAlignment="1">
      <alignment horizontal="right"/>
    </xf>
    <xf numFmtId="2" fontId="3" fillId="32" borderId="26" xfId="0" applyNumberFormat="1" applyFont="1" applyFill="1" applyBorder="1" applyAlignment="1">
      <alignment horizontal="right"/>
    </xf>
    <xf numFmtId="17" fontId="2" fillId="32" borderId="22" xfId="0" applyNumberFormat="1" applyFont="1" applyFill="1" applyBorder="1"/>
    <xf numFmtId="0" fontId="34" fillId="0" borderId="0" xfId="0" applyFont="1" applyAlignment="1">
      <alignment horizontal="center"/>
    </xf>
    <xf numFmtId="0" fontId="35" fillId="0" borderId="0" xfId="0" applyFont="1"/>
    <xf numFmtId="0" fontId="36" fillId="0" borderId="0" xfId="0" applyFont="1"/>
    <xf numFmtId="0" fontId="37" fillId="0" borderId="0" xfId="0" applyFont="1"/>
    <xf numFmtId="2" fontId="35" fillId="0" borderId="0" xfId="0" applyNumberFormat="1" applyFont="1"/>
    <xf numFmtId="9" fontId="35" fillId="0" borderId="0" xfId="0" applyNumberFormat="1" applyFont="1"/>
    <xf numFmtId="2" fontId="35" fillId="0" borderId="0" xfId="0" applyNumberFormat="1" applyFont="1" applyAlignment="1">
      <alignment horizontal="right" vertical="top" wrapText="1"/>
    </xf>
    <xf numFmtId="0" fontId="35" fillId="0" borderId="0" xfId="0" applyFont="1" applyAlignment="1">
      <alignment vertical="top" wrapText="1"/>
    </xf>
    <xf numFmtId="0" fontId="36" fillId="0" borderId="18" xfId="0" applyFont="1" applyBorder="1" applyAlignment="1">
      <alignment horizontal="justify" vertical="top" wrapText="1"/>
    </xf>
    <xf numFmtId="0" fontId="38" fillId="0" borderId="22" xfId="0" applyFont="1" applyBorder="1" applyAlignment="1">
      <alignment horizontal="right"/>
    </xf>
    <xf numFmtId="9" fontId="35" fillId="0" borderId="0" xfId="181" applyFont="1"/>
    <xf numFmtId="2" fontId="35" fillId="0" borderId="0" xfId="0" applyNumberFormat="1" applyFont="1" applyAlignment="1">
      <alignment horizontal="center"/>
    </xf>
    <xf numFmtId="2" fontId="35" fillId="0" borderId="0" xfId="0" applyNumberFormat="1" applyFont="1" applyAlignment="1">
      <alignment horizontal="center" wrapText="1"/>
    </xf>
    <xf numFmtId="0" fontId="35" fillId="0" borderId="0" xfId="0" applyFont="1" applyAlignment="1">
      <alignment wrapText="1"/>
    </xf>
    <xf numFmtId="0" fontId="40" fillId="0" borderId="0" xfId="0" applyFont="1"/>
    <xf numFmtId="0" fontId="41" fillId="0" borderId="0" xfId="0" applyFont="1" applyAlignment="1">
      <alignment horizontal="center" vertical="center"/>
    </xf>
    <xf numFmtId="43" fontId="52" fillId="0" borderId="0" xfId="0" applyNumberFormat="1" applyFont="1"/>
    <xf numFmtId="43" fontId="40" fillId="0" borderId="0" xfId="0" applyNumberFormat="1" applyFont="1"/>
    <xf numFmtId="10" fontId="39" fillId="0" borderId="19" xfId="0" applyNumberFormat="1" applyFont="1" applyBorder="1" applyAlignment="1">
      <alignment horizontal="right"/>
    </xf>
    <xf numFmtId="10" fontId="38" fillId="0" borderId="28" xfId="177" applyNumberFormat="1" applyFont="1" applyBorder="1" applyAlignment="1">
      <alignment horizontal="right"/>
    </xf>
    <xf numFmtId="0" fontId="15" fillId="31" borderId="20" xfId="162" applyFont="1" applyFill="1" applyBorder="1"/>
    <xf numFmtId="0" fontId="16" fillId="31" borderId="20" xfId="162" applyFont="1" applyFill="1" applyBorder="1"/>
    <xf numFmtId="2" fontId="16" fillId="0" borderId="20" xfId="162" applyNumberFormat="1" applyFont="1" applyBorder="1"/>
    <xf numFmtId="43" fontId="16" fillId="0" borderId="20" xfId="162" applyNumberFormat="1" applyFont="1" applyBorder="1"/>
    <xf numFmtId="2" fontId="16" fillId="31" borderId="20" xfId="162" applyNumberFormat="1" applyFont="1" applyFill="1" applyBorder="1"/>
    <xf numFmtId="165" fontId="49" fillId="0" borderId="20" xfId="95" applyNumberFormat="1" applyFont="1" applyFill="1" applyBorder="1"/>
    <xf numFmtId="0" fontId="2" fillId="22" borderId="18" xfId="170" applyFont="1" applyFill="1" applyBorder="1" applyAlignment="1">
      <alignment horizontal="left" wrapText="1"/>
    </xf>
    <xf numFmtId="0" fontId="2" fillId="29" borderId="18" xfId="170" applyFont="1" applyFill="1" applyBorder="1" applyAlignment="1">
      <alignment horizontal="left"/>
    </xf>
    <xf numFmtId="0" fontId="3" fillId="28" borderId="14" xfId="170" applyFill="1" applyBorder="1" applyAlignment="1">
      <alignment horizontal="left"/>
    </xf>
    <xf numFmtId="0" fontId="3" fillId="0" borderId="14" xfId="170" quotePrefix="1" applyBorder="1" applyAlignment="1">
      <alignment horizontal="left"/>
    </xf>
    <xf numFmtId="165" fontId="3" fillId="27" borderId="3" xfId="162" applyNumberFormat="1" applyFill="1" applyBorder="1"/>
    <xf numFmtId="2" fontId="3" fillId="0" borderId="0" xfId="162" applyNumberFormat="1" applyAlignment="1">
      <alignment vertical="top"/>
    </xf>
    <xf numFmtId="43" fontId="35" fillId="0" borderId="0" xfId="84" applyFont="1"/>
    <xf numFmtId="43" fontId="35" fillId="0" borderId="0" xfId="84" applyFont="1" applyAlignment="1">
      <alignment horizontal="right" vertical="top" wrapText="1"/>
    </xf>
    <xf numFmtId="2" fontId="48" fillId="0" borderId="0" xfId="0" applyNumberFormat="1" applyFont="1" applyAlignment="1">
      <alignment vertical="top"/>
    </xf>
    <xf numFmtId="0" fontId="15" fillId="31" borderId="0" xfId="0" applyFont="1" applyFill="1" applyAlignment="1">
      <alignment vertical="top" wrapText="1"/>
    </xf>
    <xf numFmtId="8" fontId="48" fillId="0" borderId="0" xfId="0" applyNumberFormat="1" applyFont="1"/>
    <xf numFmtId="179" fontId="48" fillId="0" borderId="0" xfId="0" applyNumberFormat="1" applyFont="1" applyAlignment="1">
      <alignment horizontal="right"/>
    </xf>
    <xf numFmtId="43" fontId="36" fillId="0" borderId="18" xfId="84" applyFont="1" applyBorder="1" applyAlignment="1">
      <alignment horizontal="center" vertical="top" wrapText="1"/>
    </xf>
    <xf numFmtId="17" fontId="2" fillId="22" borderId="3" xfId="0" applyNumberFormat="1" applyFont="1" applyFill="1" applyBorder="1" applyAlignment="1">
      <alignment vertical="top"/>
    </xf>
    <xf numFmtId="0" fontId="3" fillId="0" borderId="0" xfId="0" applyFont="1"/>
    <xf numFmtId="2" fontId="3" fillId="0" borderId="0" xfId="0" applyNumberFormat="1" applyFont="1"/>
    <xf numFmtId="0" fontId="2" fillId="0" borderId="0" xfId="0" applyFont="1" applyAlignment="1">
      <alignment vertical="top"/>
    </xf>
    <xf numFmtId="0" fontId="3" fillId="0" borderId="0" xfId="0" applyFont="1" applyAlignment="1">
      <alignment vertical="top"/>
    </xf>
    <xf numFmtId="2" fontId="3" fillId="0" borderId="0" xfId="0" applyNumberFormat="1" applyFont="1" applyAlignment="1">
      <alignment vertical="top"/>
    </xf>
    <xf numFmtId="16" fontId="3" fillId="0" borderId="0" xfId="0" quotePrefix="1" applyNumberFormat="1" applyFont="1" applyAlignment="1">
      <alignment vertical="top"/>
    </xf>
    <xf numFmtId="0" fontId="3" fillId="0" borderId="0" xfId="0" quotePrefix="1" applyFont="1" applyAlignment="1">
      <alignment vertical="top"/>
    </xf>
    <xf numFmtId="43" fontId="3" fillId="0" borderId="0" xfId="0" applyNumberFormat="1" applyFont="1"/>
    <xf numFmtId="0" fontId="2" fillId="0" borderId="0" xfId="0" applyFont="1"/>
    <xf numFmtId="2" fontId="2" fillId="0" borderId="0" xfId="162" applyNumberFormat="1" applyFont="1" applyAlignment="1">
      <alignment vertical="top"/>
    </xf>
    <xf numFmtId="0" fontId="34" fillId="0" borderId="0" xfId="0" applyFont="1"/>
    <xf numFmtId="0" fontId="45" fillId="0" borderId="0" xfId="0" applyFont="1"/>
    <xf numFmtId="0" fontId="0" fillId="0" borderId="8" xfId="0" applyBorder="1"/>
    <xf numFmtId="0" fontId="45" fillId="0" borderId="8" xfId="0" applyFont="1" applyBorder="1"/>
    <xf numFmtId="43" fontId="0" fillId="0" borderId="0" xfId="0" applyNumberFormat="1"/>
    <xf numFmtId="165" fontId="0" fillId="0" borderId="0" xfId="0" applyNumberFormat="1"/>
    <xf numFmtId="0" fontId="16" fillId="0" borderId="20" xfId="162" applyFont="1" applyBorder="1" applyAlignment="1">
      <alignment vertical="center"/>
    </xf>
    <xf numFmtId="0" fontId="16" fillId="0" borderId="21" xfId="162" applyFont="1" applyBorder="1" applyAlignment="1">
      <alignment vertical="center"/>
    </xf>
    <xf numFmtId="0" fontId="16" fillId="0" borderId="23" xfId="162" applyFont="1" applyBorder="1" applyAlignment="1">
      <alignment vertical="center"/>
    </xf>
    <xf numFmtId="17" fontId="16" fillId="0" borderId="20" xfId="162" applyNumberFormat="1" applyFont="1" applyBorder="1" applyAlignment="1">
      <alignment vertical="center"/>
    </xf>
    <xf numFmtId="165" fontId="16" fillId="0" borderId="20" xfId="162" applyNumberFormat="1" applyFont="1" applyBorder="1" applyAlignment="1">
      <alignment vertical="center"/>
    </xf>
    <xf numFmtId="17" fontId="16" fillId="0" borderId="21" xfId="162" applyNumberFormat="1" applyFont="1" applyBorder="1" applyAlignment="1">
      <alignment vertical="center"/>
    </xf>
    <xf numFmtId="165" fontId="16" fillId="0" borderId="21" xfId="162" applyNumberFormat="1" applyFont="1" applyBorder="1" applyAlignment="1">
      <alignment vertical="center"/>
    </xf>
    <xf numFmtId="43" fontId="16" fillId="0" borderId="20" xfId="84" applyFont="1" applyBorder="1" applyAlignment="1">
      <alignment vertical="top"/>
    </xf>
    <xf numFmtId="43" fontId="16" fillId="0" borderId="23" xfId="84" applyFont="1" applyBorder="1" applyAlignment="1">
      <alignment vertical="top"/>
    </xf>
    <xf numFmtId="43" fontId="16" fillId="0" borderId="21" xfId="84" applyFont="1" applyBorder="1" applyAlignment="1">
      <alignment vertical="top"/>
    </xf>
    <xf numFmtId="17" fontId="16" fillId="0" borderId="23" xfId="162" applyNumberFormat="1" applyFont="1" applyBorder="1" applyAlignment="1">
      <alignment vertical="center"/>
    </xf>
    <xf numFmtId="165" fontId="16" fillId="0" borderId="23" xfId="162" applyNumberFormat="1" applyFont="1" applyBorder="1" applyAlignment="1">
      <alignment vertical="center"/>
    </xf>
    <xf numFmtId="165" fontId="48" fillId="0" borderId="0" xfId="0" applyNumberFormat="1" applyFont="1" applyAlignment="1">
      <alignment vertical="top"/>
    </xf>
    <xf numFmtId="43" fontId="49" fillId="0" borderId="0" xfId="0" applyNumberFormat="1" applyFont="1" applyAlignment="1">
      <alignment vertical="top"/>
    </xf>
    <xf numFmtId="165" fontId="55" fillId="30" borderId="0" xfId="0" applyNumberFormat="1" applyFont="1" applyFill="1"/>
    <xf numFmtId="0" fontId="56" fillId="30" borderId="0" xfId="0" applyFont="1" applyFill="1"/>
    <xf numFmtId="0" fontId="55" fillId="30" borderId="0" xfId="162" applyFont="1" applyFill="1" applyAlignment="1">
      <alignment horizontal="center"/>
    </xf>
    <xf numFmtId="0" fontId="55" fillId="30" borderId="0" xfId="0" applyFont="1" applyFill="1" applyAlignment="1">
      <alignment horizontal="center"/>
    </xf>
    <xf numFmtId="0" fontId="55" fillId="30" borderId="0" xfId="162" applyFont="1" applyFill="1" applyAlignment="1">
      <alignment horizontal="right"/>
    </xf>
    <xf numFmtId="17" fontId="55" fillId="30" borderId="0" xfId="0" applyNumberFormat="1" applyFont="1" applyFill="1"/>
    <xf numFmtId="0" fontId="55" fillId="30" borderId="0" xfId="0" applyFont="1" applyFill="1" applyAlignment="1">
      <alignment vertical="center"/>
    </xf>
    <xf numFmtId="166" fontId="56" fillId="30" borderId="0" xfId="0" applyNumberFormat="1" applyFont="1" applyFill="1"/>
    <xf numFmtId="165" fontId="56" fillId="30" borderId="0" xfId="0" quotePrefix="1" applyNumberFormat="1" applyFont="1" applyFill="1"/>
    <xf numFmtId="165" fontId="56" fillId="30" borderId="0" xfId="0" applyNumberFormat="1" applyFont="1" applyFill="1"/>
    <xf numFmtId="165" fontId="56" fillId="30" borderId="0" xfId="98" applyNumberFormat="1" applyFont="1" applyFill="1" applyBorder="1"/>
    <xf numFmtId="2" fontId="56" fillId="30" borderId="0" xfId="98" applyNumberFormat="1" applyFont="1" applyFill="1" applyBorder="1"/>
    <xf numFmtId="165" fontId="55" fillId="30" borderId="0" xfId="84" applyNumberFormat="1" applyFont="1" applyFill="1" applyBorder="1"/>
    <xf numFmtId="10" fontId="56" fillId="30" borderId="0" xfId="177" applyNumberFormat="1" applyFont="1" applyFill="1" applyBorder="1"/>
    <xf numFmtId="165" fontId="3" fillId="32" borderId="25" xfId="177" applyNumberFormat="1" applyFont="1" applyFill="1" applyBorder="1" applyAlignment="1">
      <alignment horizontal="right"/>
    </xf>
    <xf numFmtId="2" fontId="3" fillId="32" borderId="25" xfId="177" applyNumberFormat="1" applyFont="1" applyFill="1" applyBorder="1" applyAlignment="1">
      <alignment horizontal="right"/>
    </xf>
    <xf numFmtId="0" fontId="2" fillId="31" borderId="19" xfId="162" applyFont="1" applyFill="1" applyBorder="1" applyAlignment="1">
      <alignment horizontal="center" vertical="top"/>
    </xf>
    <xf numFmtId="0" fontId="33" fillId="0" borderId="21" xfId="0" applyFont="1" applyBorder="1"/>
    <xf numFmtId="0" fontId="2" fillId="0" borderId="23" xfId="162" applyFont="1" applyBorder="1" applyAlignment="1">
      <alignment vertical="top"/>
    </xf>
    <xf numFmtId="0" fontId="2" fillId="22" borderId="19" xfId="170" applyFont="1" applyFill="1" applyBorder="1" applyAlignment="1">
      <alignment horizontal="left"/>
    </xf>
    <xf numFmtId="165" fontId="3" fillId="0" borderId="0" xfId="170" applyNumberFormat="1" applyAlignment="1">
      <alignment horizontal="center" vertical="center"/>
    </xf>
    <xf numFmtId="43" fontId="3" fillId="0" borderId="0" xfId="170" quotePrefix="1" applyNumberFormat="1" applyAlignment="1">
      <alignment horizontal="left"/>
    </xf>
    <xf numFmtId="43" fontId="3" fillId="0" borderId="0" xfId="84" quotePrefix="1" applyFont="1" applyFill="1" applyBorder="1" applyAlignment="1">
      <alignment horizontal="left"/>
    </xf>
    <xf numFmtId="43" fontId="3" fillId="0" borderId="0" xfId="84" applyFont="1" applyFill="1" applyBorder="1" applyAlignment="1">
      <alignment horizontal="left"/>
    </xf>
    <xf numFmtId="43" fontId="3" fillId="0" borderId="0" xfId="170" applyNumberFormat="1" applyAlignment="1">
      <alignment horizontal="left"/>
    </xf>
    <xf numFmtId="0" fontId="2" fillId="30" borderId="0" xfId="170" applyFont="1" applyFill="1" applyAlignment="1">
      <alignment horizontal="left"/>
    </xf>
    <xf numFmtId="0" fontId="3" fillId="0" borderId="0" xfId="162" applyAlignment="1">
      <alignment horizontal="left" indent="2"/>
    </xf>
    <xf numFmtId="0" fontId="3" fillId="28" borderId="0" xfId="170" applyFill="1" applyAlignment="1">
      <alignment horizontal="left"/>
    </xf>
    <xf numFmtId="0" fontId="3" fillId="0" borderId="0" xfId="170" applyAlignment="1">
      <alignment horizontal="left"/>
    </xf>
    <xf numFmtId="43" fontId="35" fillId="0" borderId="0" xfId="0" applyNumberFormat="1" applyFont="1"/>
    <xf numFmtId="0" fontId="3" fillId="30" borderId="14" xfId="162" applyFill="1" applyBorder="1" applyAlignment="1">
      <alignment horizontal="left" indent="2"/>
    </xf>
    <xf numFmtId="2" fontId="3" fillId="30" borderId="0" xfId="162" applyNumberFormat="1" applyFill="1" applyAlignment="1">
      <alignment horizontal="right" indent="2"/>
    </xf>
    <xf numFmtId="165" fontId="3" fillId="30" borderId="0" xfId="162" applyNumberFormat="1" applyFill="1"/>
    <xf numFmtId="0" fontId="3" fillId="30" borderId="0" xfId="162" applyFill="1" applyAlignment="1">
      <alignment horizontal="center"/>
    </xf>
    <xf numFmtId="0" fontId="2" fillId="0" borderId="31" xfId="162" applyFont="1" applyBorder="1"/>
    <xf numFmtId="0" fontId="2" fillId="0" borderId="32" xfId="162" applyFont="1" applyBorder="1"/>
    <xf numFmtId="2" fontId="2" fillId="0" borderId="19" xfId="162" applyNumberFormat="1" applyFont="1" applyBorder="1"/>
    <xf numFmtId="0" fontId="2" fillId="0" borderId="19" xfId="162" applyFont="1" applyBorder="1" applyAlignment="1">
      <alignment horizontal="center"/>
    </xf>
    <xf numFmtId="0" fontId="3" fillId="0" borderId="18" xfId="162" applyBorder="1" applyAlignment="1">
      <alignment horizontal="center"/>
    </xf>
    <xf numFmtId="0" fontId="3" fillId="0" borderId="3" xfId="162" applyBorder="1" applyAlignment="1">
      <alignment horizontal="center"/>
    </xf>
    <xf numFmtId="0" fontId="3" fillId="0" borderId="22" xfId="162" applyBorder="1" applyAlignment="1">
      <alignment horizontal="center"/>
    </xf>
    <xf numFmtId="2" fontId="2" fillId="0" borderId="33" xfId="162" applyNumberFormat="1" applyFont="1" applyBorder="1" applyAlignment="1">
      <alignment horizontal="center"/>
    </xf>
    <xf numFmtId="43" fontId="35" fillId="0" borderId="19" xfId="84" applyFont="1" applyBorder="1" applyAlignment="1">
      <alignment horizontal="center" vertical="top" wrapText="1"/>
    </xf>
    <xf numFmtId="0" fontId="36" fillId="0" borderId="19" xfId="0" applyFont="1" applyBorder="1" applyAlignment="1">
      <alignment vertical="top" wrapText="1"/>
    </xf>
    <xf numFmtId="0" fontId="49" fillId="0" borderId="0" xfId="0" applyFont="1" applyAlignment="1">
      <alignment vertical="top" wrapText="1"/>
    </xf>
    <xf numFmtId="0" fontId="3" fillId="0" borderId="0" xfId="162" applyAlignment="1">
      <alignment horizontal="left" vertical="top"/>
    </xf>
    <xf numFmtId="165" fontId="2" fillId="0" borderId="0" xfId="162" applyNumberFormat="1" applyFont="1" applyAlignment="1">
      <alignment vertical="top"/>
    </xf>
    <xf numFmtId="0" fontId="47" fillId="0" borderId="0" xfId="162" applyFont="1" applyAlignment="1">
      <alignment vertical="top"/>
    </xf>
    <xf numFmtId="0" fontId="47" fillId="0" borderId="0" xfId="162" applyFont="1" applyAlignment="1">
      <alignment horizontal="left" vertical="top"/>
    </xf>
    <xf numFmtId="0" fontId="2" fillId="30" borderId="0" xfId="162" applyFont="1" applyFill="1" applyAlignment="1">
      <alignment vertical="top"/>
    </xf>
    <xf numFmtId="0" fontId="2" fillId="30" borderId="15" xfId="162" applyFont="1" applyFill="1" applyBorder="1" applyAlignment="1">
      <alignment vertical="top"/>
    </xf>
    <xf numFmtId="0" fontId="3" fillId="30" borderId="0" xfId="162" applyFill="1" applyAlignment="1">
      <alignment horizontal="left" indent="2"/>
    </xf>
    <xf numFmtId="0" fontId="2" fillId="27" borderId="19" xfId="162" applyFont="1" applyFill="1" applyBorder="1" applyAlignment="1">
      <alignment horizontal="left" indent="2"/>
    </xf>
    <xf numFmtId="2" fontId="2" fillId="31" borderId="3" xfId="162" applyNumberFormat="1" applyFont="1" applyFill="1" applyBorder="1" applyAlignment="1">
      <alignment vertical="top"/>
    </xf>
    <xf numFmtId="43" fontId="3" fillId="0" borderId="0" xfId="84" applyFont="1" applyBorder="1" applyAlignment="1">
      <alignment horizontal="left" vertical="top"/>
    </xf>
    <xf numFmtId="2" fontId="2" fillId="31" borderId="12" xfId="162" applyNumberFormat="1" applyFont="1" applyFill="1" applyBorder="1" applyAlignment="1">
      <alignment vertical="top"/>
    </xf>
    <xf numFmtId="43" fontId="3" fillId="0" borderId="0" xfId="162" applyNumberFormat="1" applyAlignment="1">
      <alignment horizontal="left" vertical="top"/>
    </xf>
    <xf numFmtId="43" fontId="3" fillId="30" borderId="0" xfId="84" applyFont="1" applyFill="1" applyBorder="1" applyAlignment="1">
      <alignment vertical="top"/>
    </xf>
    <xf numFmtId="0" fontId="38" fillId="0" borderId="0" xfId="0" applyFont="1" applyAlignment="1">
      <alignment horizontal="right"/>
    </xf>
    <xf numFmtId="10" fontId="39" fillId="0" borderId="0" xfId="177" applyNumberFormat="1" applyFont="1" applyBorder="1" applyAlignment="1">
      <alignment horizontal="right"/>
    </xf>
    <xf numFmtId="10" fontId="38" fillId="0" borderId="0" xfId="177" applyNumberFormat="1" applyFont="1" applyBorder="1" applyAlignment="1">
      <alignment horizontal="right"/>
    </xf>
    <xf numFmtId="0" fontId="38" fillId="0" borderId="3" xfId="0" applyFont="1" applyBorder="1" applyAlignment="1">
      <alignment horizontal="right"/>
    </xf>
    <xf numFmtId="10" fontId="39" fillId="0" borderId="0" xfId="0" applyNumberFormat="1" applyFont="1" applyAlignment="1">
      <alignment horizontal="right"/>
    </xf>
    <xf numFmtId="10" fontId="38" fillId="0" borderId="0" xfId="0" applyNumberFormat="1" applyFont="1" applyAlignment="1">
      <alignment horizontal="right"/>
    </xf>
    <xf numFmtId="43" fontId="3" fillId="0" borderId="0" xfId="162" applyNumberFormat="1" applyAlignment="1">
      <alignment horizontal="center"/>
    </xf>
    <xf numFmtId="43" fontId="3" fillId="0" borderId="0" xfId="0" applyNumberFormat="1" applyFont="1" applyAlignment="1">
      <alignment vertical="top"/>
    </xf>
    <xf numFmtId="43" fontId="57" fillId="0" borderId="0" xfId="84" applyFont="1" applyFill="1" applyBorder="1" applyAlignment="1">
      <alignment horizontal="left"/>
    </xf>
    <xf numFmtId="43" fontId="57" fillId="0" borderId="0" xfId="84" applyFont="1" applyFill="1" applyBorder="1" applyAlignment="1">
      <alignment horizontal="center"/>
    </xf>
    <xf numFmtId="43" fontId="58" fillId="0" borderId="0" xfId="84" applyFont="1" applyFill="1" applyBorder="1" applyAlignment="1">
      <alignment horizontal="left"/>
    </xf>
    <xf numFmtId="43" fontId="3" fillId="0" borderId="0" xfId="84" applyFont="1" applyBorder="1" applyAlignment="1">
      <alignment horizontal="left" indent="2"/>
    </xf>
    <xf numFmtId="43" fontId="3" fillId="27" borderId="3" xfId="84" applyFont="1" applyFill="1" applyBorder="1" applyAlignment="1">
      <alignment horizontal="left" indent="2"/>
    </xf>
    <xf numFmtId="43" fontId="3" fillId="0" borderId="15" xfId="84" applyFont="1" applyBorder="1" applyAlignment="1">
      <alignment horizontal="left" indent="2"/>
    </xf>
    <xf numFmtId="0" fontId="59" fillId="0" borderId="19" xfId="0" applyFont="1" applyBorder="1" applyAlignment="1">
      <alignment horizontal="right" vertical="top"/>
    </xf>
    <xf numFmtId="0" fontId="36" fillId="0" borderId="0" xfId="162" applyFont="1"/>
    <xf numFmtId="0" fontId="3" fillId="0" borderId="26" xfId="162" applyBorder="1" applyAlignment="1">
      <alignment horizontal="center"/>
    </xf>
    <xf numFmtId="0" fontId="2" fillId="29" borderId="17" xfId="162" applyFont="1" applyFill="1" applyBorder="1" applyAlignment="1">
      <alignment horizontal="center"/>
    </xf>
    <xf numFmtId="0" fontId="2" fillId="29" borderId="12" xfId="162" applyFont="1" applyFill="1" applyBorder="1" applyAlignment="1">
      <alignment horizontal="center"/>
    </xf>
    <xf numFmtId="17" fontId="2" fillId="22" borderId="3" xfId="170" applyNumberFormat="1" applyFont="1" applyFill="1" applyBorder="1" applyAlignment="1">
      <alignment horizontal="right" wrapText="1"/>
    </xf>
    <xf numFmtId="43" fontId="3" fillId="0" borderId="0" xfId="84" applyFont="1" applyAlignment="1">
      <alignment vertical="top"/>
    </xf>
    <xf numFmtId="43" fontId="35" fillId="0" borderId="19" xfId="84" applyFont="1" applyBorder="1" applyAlignment="1">
      <alignment horizontal="right" vertical="top" wrapText="1"/>
    </xf>
    <xf numFmtId="165" fontId="35" fillId="0" borderId="0" xfId="0" applyNumberFormat="1" applyFont="1"/>
    <xf numFmtId="3" fontId="40" fillId="0" borderId="0" xfId="0" applyNumberFormat="1" applyFont="1"/>
    <xf numFmtId="165" fontId="40" fillId="0" borderId="0" xfId="0" applyNumberFormat="1" applyFont="1"/>
    <xf numFmtId="43" fontId="3" fillId="0" borderId="0" xfId="0" quotePrefix="1" applyNumberFormat="1" applyFont="1" applyAlignment="1">
      <alignment vertical="top"/>
    </xf>
    <xf numFmtId="2" fontId="48" fillId="0" borderId="20" xfId="0" applyNumberFormat="1" applyFont="1" applyBorder="1" applyAlignment="1">
      <alignment horizontal="right" vertical="top"/>
    </xf>
    <xf numFmtId="165" fontId="3" fillId="30" borderId="0" xfId="0" applyNumberFormat="1" applyFont="1" applyFill="1"/>
    <xf numFmtId="0" fontId="49" fillId="0" borderId="19" xfId="0" applyFont="1" applyBorder="1" applyAlignment="1">
      <alignment vertical="top"/>
    </xf>
    <xf numFmtId="0" fontId="48" fillId="0" borderId="21" xfId="0" applyFont="1" applyBorder="1" applyAlignment="1">
      <alignment horizontal="center" vertical="top"/>
    </xf>
    <xf numFmtId="0" fontId="48" fillId="0" borderId="20" xfId="0" applyFont="1" applyBorder="1" applyAlignment="1">
      <alignment horizontal="center" vertical="top"/>
    </xf>
    <xf numFmtId="0" fontId="48" fillId="0" borderId="25" xfId="0" applyFont="1" applyBorder="1" applyAlignment="1">
      <alignment vertical="top"/>
    </xf>
    <xf numFmtId="0" fontId="48" fillId="0" borderId="0" xfId="0" applyFont="1" applyAlignment="1">
      <alignment horizontal="left" vertical="top"/>
    </xf>
    <xf numFmtId="0" fontId="48" fillId="0" borderId="0" xfId="0" applyFont="1" applyAlignment="1">
      <alignment horizontal="left" vertical="top" wrapText="1"/>
    </xf>
    <xf numFmtId="0" fontId="48" fillId="0" borderId="25" xfId="0" applyFont="1" applyBorder="1" applyAlignment="1">
      <alignment horizontal="left" vertical="top" wrapText="1"/>
    </xf>
    <xf numFmtId="0" fontId="48" fillId="0" borderId="23" xfId="0" applyFont="1" applyBorder="1" applyAlignment="1">
      <alignment horizontal="center" vertical="top"/>
    </xf>
    <xf numFmtId="2" fontId="36" fillId="0" borderId="27" xfId="0" applyNumberFormat="1" applyFont="1" applyBorder="1" applyAlignment="1">
      <alignment horizontal="right" vertical="top" wrapText="1"/>
    </xf>
    <xf numFmtId="2" fontId="36" fillId="0" borderId="12" xfId="0" applyNumberFormat="1" applyFont="1" applyBorder="1" applyAlignment="1">
      <alignment horizontal="right" vertical="top" wrapText="1"/>
    </xf>
    <xf numFmtId="0" fontId="2" fillId="31" borderId="18" xfId="162" applyFont="1" applyFill="1" applyBorder="1" applyAlignment="1">
      <alignment vertical="top"/>
    </xf>
    <xf numFmtId="0" fontId="2" fillId="31" borderId="14" xfId="162" applyFont="1" applyFill="1" applyBorder="1" applyAlignment="1">
      <alignment vertical="top"/>
    </xf>
    <xf numFmtId="0" fontId="36" fillId="0" borderId="29" xfId="0" applyFont="1" applyBorder="1" applyAlignment="1">
      <alignment horizontal="justify" vertical="top" wrapText="1"/>
    </xf>
    <xf numFmtId="0" fontId="36" fillId="0" borderId="19" xfId="0" applyFont="1" applyBorder="1" applyAlignment="1">
      <alignment horizontal="justify" vertical="top" wrapText="1"/>
    </xf>
    <xf numFmtId="43" fontId="36" fillId="0" borderId="3" xfId="84" applyFont="1" applyBorder="1" applyAlignment="1">
      <alignment horizontal="center" vertical="top" wrapText="1"/>
    </xf>
    <xf numFmtId="0" fontId="36" fillId="0" borderId="23" xfId="0" applyFont="1" applyBorder="1" applyAlignment="1">
      <alignment vertical="top" wrapText="1"/>
    </xf>
    <xf numFmtId="43" fontId="36" fillId="0" borderId="19" xfId="84" applyFont="1" applyBorder="1" applyAlignment="1">
      <alignment horizontal="right" vertical="top" wrapText="1"/>
    </xf>
    <xf numFmtId="43" fontId="36" fillId="0" borderId="23" xfId="84" applyFont="1" applyBorder="1" applyAlignment="1">
      <alignment horizontal="right" vertical="top" wrapText="1"/>
    </xf>
    <xf numFmtId="10" fontId="36" fillId="0" borderId="19" xfId="177" applyNumberFormat="1" applyFont="1" applyBorder="1" applyAlignment="1">
      <alignment horizontal="right" vertical="top" wrapText="1"/>
    </xf>
    <xf numFmtId="10" fontId="36" fillId="0" borderId="19" xfId="0" applyNumberFormat="1" applyFont="1" applyBorder="1" applyAlignment="1">
      <alignment horizontal="right"/>
    </xf>
    <xf numFmtId="0" fontId="2" fillId="0" borderId="0" xfId="162" applyFont="1" applyAlignment="1">
      <alignment horizontal="center"/>
    </xf>
    <xf numFmtId="43" fontId="2" fillId="0" borderId="0" xfId="162" applyNumberFormat="1" applyFont="1" applyAlignment="1">
      <alignment horizontal="center"/>
    </xf>
    <xf numFmtId="165" fontId="3" fillId="27" borderId="22" xfId="162" applyNumberFormat="1" applyFill="1" applyBorder="1"/>
    <xf numFmtId="2" fontId="3" fillId="30" borderId="0" xfId="162" applyNumberFormat="1" applyFill="1" applyAlignment="1">
      <alignment horizontal="center" wrapText="1"/>
    </xf>
    <xf numFmtId="165" fontId="14" fillId="29" borderId="22" xfId="162" applyNumberFormat="1" applyFont="1" applyFill="1" applyBorder="1"/>
    <xf numFmtId="17" fontId="2" fillId="22" borderId="22" xfId="0" applyNumberFormat="1" applyFont="1" applyFill="1" applyBorder="1" applyAlignment="1">
      <alignment horizontal="center"/>
    </xf>
    <xf numFmtId="0" fontId="35" fillId="0" borderId="19" xfId="0" applyFont="1" applyBorder="1" applyAlignment="1">
      <alignment vertical="top" wrapText="1"/>
    </xf>
    <xf numFmtId="2" fontId="35" fillId="0" borderId="3" xfId="0" applyNumberFormat="1" applyFont="1" applyBorder="1" applyAlignment="1">
      <alignment horizontal="right" vertical="top" wrapText="1"/>
    </xf>
    <xf numFmtId="43" fontId="54" fillId="0" borderId="19" xfId="0" applyNumberFormat="1" applyFont="1" applyBorder="1" applyAlignment="1">
      <alignment horizontal="right" vertical="top"/>
    </xf>
    <xf numFmtId="43" fontId="36" fillId="0" borderId="36" xfId="84" applyFont="1" applyBorder="1" applyAlignment="1">
      <alignment horizontal="right" vertical="top" wrapText="1"/>
    </xf>
    <xf numFmtId="165" fontId="3" fillId="0" borderId="0" xfId="162" applyNumberFormat="1" applyAlignment="1">
      <alignment horizontal="left"/>
    </xf>
    <xf numFmtId="2" fontId="3" fillId="0" borderId="0" xfId="162" applyNumberFormat="1" applyAlignment="1">
      <alignment horizontal="right"/>
    </xf>
    <xf numFmtId="0" fontId="3" fillId="0" borderId="0" xfId="162" applyAlignment="1">
      <alignment horizontal="right"/>
    </xf>
    <xf numFmtId="43" fontId="3" fillId="0" borderId="0" xfId="162" applyNumberFormat="1" applyAlignment="1">
      <alignment horizontal="left"/>
    </xf>
    <xf numFmtId="0" fontId="2" fillId="0" borderId="0" xfId="162" applyFont="1" applyAlignment="1">
      <alignment horizontal="left"/>
    </xf>
    <xf numFmtId="10" fontId="0" fillId="0" borderId="0" xfId="0" applyNumberFormat="1"/>
    <xf numFmtId="43" fontId="3" fillId="0" borderId="0" xfId="162" applyNumberFormat="1" applyAlignment="1">
      <alignment horizontal="right"/>
    </xf>
    <xf numFmtId="0" fontId="2" fillId="0" borderId="0" xfId="162" applyFont="1" applyAlignment="1">
      <alignment horizontal="center" vertical="top"/>
    </xf>
    <xf numFmtId="165" fontId="16" fillId="0" borderId="20" xfId="162" quotePrefix="1" applyNumberFormat="1" applyFont="1" applyBorder="1"/>
    <xf numFmtId="43" fontId="2" fillId="0" borderId="0" xfId="84" applyFont="1" applyFill="1" applyBorder="1" applyAlignment="1">
      <alignment vertical="top"/>
    </xf>
    <xf numFmtId="0" fontId="2" fillId="32" borderId="19" xfId="0" applyFont="1" applyFill="1" applyBorder="1"/>
    <xf numFmtId="0" fontId="3" fillId="32" borderId="20" xfId="0" applyFont="1" applyFill="1" applyBorder="1"/>
    <xf numFmtId="0" fontId="3" fillId="32" borderId="23" xfId="0" applyFont="1" applyFill="1" applyBorder="1"/>
    <xf numFmtId="0" fontId="2" fillId="0" borderId="0" xfId="162" applyFont="1"/>
    <xf numFmtId="0" fontId="2" fillId="31" borderId="0" xfId="162" applyFont="1" applyFill="1" applyAlignment="1">
      <alignment vertical="top"/>
    </xf>
    <xf numFmtId="43" fontId="2" fillId="30" borderId="3" xfId="162" applyNumberFormat="1" applyFont="1" applyFill="1" applyBorder="1" applyAlignment="1">
      <alignment vertical="top"/>
    </xf>
    <xf numFmtId="0" fontId="3" fillId="0" borderId="18" xfId="162" applyBorder="1"/>
    <xf numFmtId="0" fontId="3" fillId="0" borderId="3" xfId="162" applyBorder="1"/>
    <xf numFmtId="0" fontId="3" fillId="0" borderId="22" xfId="162" applyBorder="1"/>
    <xf numFmtId="0" fontId="2" fillId="0" borderId="14" xfId="162" applyFont="1" applyBorder="1"/>
    <xf numFmtId="0" fontId="2" fillId="34" borderId="8" xfId="0" applyFont="1" applyFill="1" applyBorder="1"/>
    <xf numFmtId="17" fontId="2" fillId="22" borderId="8" xfId="0" applyNumberFormat="1" applyFont="1" applyFill="1" applyBorder="1"/>
    <xf numFmtId="9" fontId="0" fillId="0" borderId="8" xfId="0" applyNumberFormat="1" applyBorder="1"/>
    <xf numFmtId="167" fontId="0" fillId="0" borderId="8" xfId="0" applyNumberFormat="1" applyBorder="1"/>
    <xf numFmtId="180" fontId="0" fillId="0" borderId="8" xfId="0" applyNumberFormat="1" applyBorder="1"/>
    <xf numFmtId="1" fontId="0" fillId="0" borderId="8" xfId="0" applyNumberFormat="1" applyBorder="1"/>
    <xf numFmtId="43" fontId="45" fillId="0" borderId="8" xfId="84" applyFont="1" applyBorder="1"/>
    <xf numFmtId="181" fontId="45" fillId="0" borderId="8" xfId="84" applyNumberFormat="1" applyFont="1" applyBorder="1"/>
    <xf numFmtId="164" fontId="2" fillId="0" borderId="0" xfId="210" applyFont="1" applyAlignment="1">
      <alignment horizontal="center" vertical="top"/>
    </xf>
    <xf numFmtId="165" fontId="48" fillId="0" borderId="0" xfId="0" applyNumberFormat="1" applyFont="1"/>
    <xf numFmtId="165" fontId="2" fillId="0" borderId="0" xfId="162" applyNumberFormat="1" applyFont="1" applyAlignment="1">
      <alignment horizontal="center" vertical="top"/>
    </xf>
    <xf numFmtId="170" fontId="48" fillId="0" borderId="20" xfId="0" applyNumberFormat="1" applyFont="1" applyBorder="1" applyAlignment="1">
      <alignment vertical="top"/>
    </xf>
    <xf numFmtId="2" fontId="48" fillId="0" borderId="20" xfId="0" applyNumberFormat="1" applyFont="1" applyBorder="1" applyAlignment="1">
      <alignment vertical="top"/>
    </xf>
    <xf numFmtId="170" fontId="48" fillId="0" borderId="23" xfId="0" applyNumberFormat="1" applyFont="1" applyBorder="1" applyAlignment="1">
      <alignment vertical="top"/>
    </xf>
    <xf numFmtId="170" fontId="48" fillId="0" borderId="21" xfId="0" applyNumberFormat="1" applyFont="1" applyBorder="1" applyAlignment="1">
      <alignment vertical="top"/>
    </xf>
    <xf numFmtId="2" fontId="48" fillId="0" borderId="23" xfId="0" applyNumberFormat="1" applyFont="1" applyBorder="1" applyAlignment="1">
      <alignment vertical="top"/>
    </xf>
    <xf numFmtId="2" fontId="48" fillId="0" borderId="21" xfId="0" applyNumberFormat="1" applyFont="1" applyBorder="1" applyAlignment="1">
      <alignment vertical="top"/>
    </xf>
    <xf numFmtId="181" fontId="16" fillId="0" borderId="20" xfId="162" applyNumberFormat="1" applyFont="1" applyBorder="1"/>
    <xf numFmtId="180" fontId="15" fillId="0" borderId="19" xfId="162" applyNumberFormat="1" applyFont="1" applyBorder="1"/>
    <xf numFmtId="2" fontId="45" fillId="0" borderId="8" xfId="0" applyNumberFormat="1" applyFont="1" applyBorder="1"/>
    <xf numFmtId="0" fontId="0" fillId="0" borderId="8" xfId="0" applyBorder="1" applyAlignment="1">
      <alignment wrapText="1"/>
    </xf>
    <xf numFmtId="0" fontId="64" fillId="33" borderId="22" xfId="102" applyNumberFormat="1" applyFont="1" applyFill="1" applyBorder="1" applyAlignment="1">
      <alignment horizontal="center" vertical="center" wrapText="1"/>
    </xf>
    <xf numFmtId="49" fontId="66" fillId="0" borderId="14" xfId="102" applyNumberFormat="1" applyFont="1" applyFill="1" applyBorder="1" applyAlignment="1">
      <alignment horizontal="left" vertical="center" indent="1"/>
    </xf>
    <xf numFmtId="9" fontId="67" fillId="0" borderId="14" xfId="185" applyFont="1" applyFill="1" applyBorder="1" applyAlignment="1">
      <alignment horizontal="center" vertical="center"/>
    </xf>
    <xf numFmtId="43" fontId="67" fillId="0" borderId="20" xfId="99" applyFont="1" applyFill="1" applyBorder="1" applyAlignment="1">
      <alignment vertical="center"/>
    </xf>
    <xf numFmtId="43" fontId="67" fillId="0" borderId="20" xfId="99" applyFont="1" applyFill="1" applyBorder="1" applyAlignment="1">
      <alignment horizontal="center" vertical="center"/>
    </xf>
    <xf numFmtId="43" fontId="67" fillId="0" borderId="20" xfId="99" applyFont="1" applyFill="1" applyBorder="1" applyAlignment="1">
      <alignment horizontal="right" vertical="center"/>
    </xf>
    <xf numFmtId="43" fontId="67" fillId="33" borderId="20" xfId="99" applyFont="1" applyFill="1" applyBorder="1" applyAlignment="1">
      <alignment horizontal="center" vertical="center"/>
    </xf>
    <xf numFmtId="0" fontId="64" fillId="0" borderId="38" xfId="102" applyNumberFormat="1" applyFont="1" applyFill="1" applyBorder="1" applyAlignment="1" applyProtection="1">
      <alignment horizontal="center" vertical="center"/>
      <protection locked="0"/>
    </xf>
    <xf numFmtId="43" fontId="64" fillId="0" borderId="38" xfId="99" applyFont="1" applyFill="1" applyBorder="1" applyAlignment="1">
      <alignment vertical="center"/>
    </xf>
    <xf numFmtId="165" fontId="67" fillId="0" borderId="20" xfId="99" applyNumberFormat="1" applyFont="1" applyFill="1" applyBorder="1" applyAlignment="1">
      <alignment horizontal="center" vertical="center"/>
    </xf>
    <xf numFmtId="10" fontId="36" fillId="0" borderId="27" xfId="0" applyNumberFormat="1" applyFont="1" applyBorder="1" applyAlignment="1">
      <alignment horizontal="right" vertical="top" wrapText="1"/>
    </xf>
    <xf numFmtId="10" fontId="8" fillId="0" borderId="24" xfId="177" applyNumberFormat="1" applyFont="1" applyBorder="1"/>
    <xf numFmtId="10" fontId="3" fillId="0" borderId="25" xfId="177" applyNumberFormat="1" applyFont="1" applyFill="1" applyBorder="1" applyAlignment="1">
      <alignment vertical="top"/>
    </xf>
    <xf numFmtId="43" fontId="3" fillId="0" borderId="25" xfId="162" applyNumberFormat="1" applyBorder="1" applyAlignment="1">
      <alignment vertical="top"/>
    </xf>
    <xf numFmtId="43" fontId="3" fillId="0" borderId="25" xfId="162" quotePrefix="1" applyNumberFormat="1" applyBorder="1" applyAlignment="1">
      <alignment vertical="top"/>
    </xf>
    <xf numFmtId="43" fontId="3" fillId="0" borderId="26" xfId="162" quotePrefix="1" applyNumberFormat="1" applyBorder="1" applyAlignment="1">
      <alignment vertical="top"/>
    </xf>
    <xf numFmtId="165" fontId="16" fillId="0" borderId="17" xfId="162" applyNumberFormat="1" applyFont="1" applyBorder="1"/>
    <xf numFmtId="165" fontId="16" fillId="0" borderId="12" xfId="162" applyNumberFormat="1" applyFont="1" applyBorder="1"/>
    <xf numFmtId="165" fontId="16" fillId="0" borderId="26" xfId="162" applyNumberFormat="1" applyFont="1" applyBorder="1"/>
    <xf numFmtId="165" fontId="48" fillId="0" borderId="20" xfId="0" applyNumberFormat="1" applyFont="1" applyBorder="1" applyAlignment="1">
      <alignment vertical="top"/>
    </xf>
    <xf numFmtId="165" fontId="48" fillId="0" borderId="23" xfId="0" applyNumberFormat="1" applyFont="1" applyBorder="1" applyAlignment="1">
      <alignment vertical="top"/>
    </xf>
    <xf numFmtId="165" fontId="48" fillId="0" borderId="21" xfId="0" applyNumberFormat="1" applyFont="1" applyBorder="1" applyAlignment="1">
      <alignment vertical="top"/>
    </xf>
    <xf numFmtId="43" fontId="44" fillId="0" borderId="8" xfId="84" applyFont="1" applyBorder="1"/>
    <xf numFmtId="43" fontId="44" fillId="0" borderId="8" xfId="84" applyFont="1" applyBorder="1" applyAlignment="1">
      <alignment horizontal="right"/>
    </xf>
    <xf numFmtId="0" fontId="60" fillId="0" borderId="8" xfId="0" applyFont="1" applyBorder="1" applyAlignment="1">
      <alignment horizontal="center" vertical="center"/>
    </xf>
    <xf numFmtId="0" fontId="60" fillId="0" borderId="8" xfId="0" applyFont="1" applyBorder="1" applyAlignment="1">
      <alignment vertical="center"/>
    </xf>
    <xf numFmtId="0" fontId="60" fillId="0" borderId="8" xfId="0" applyFont="1" applyBorder="1" applyAlignment="1">
      <alignment horizontal="center" vertical="center" wrapText="1"/>
    </xf>
    <xf numFmtId="0" fontId="40" fillId="0" borderId="8" xfId="0" applyFont="1" applyBorder="1"/>
    <xf numFmtId="0" fontId="61" fillId="0" borderId="8" xfId="0" applyFont="1" applyBorder="1" applyAlignment="1">
      <alignment vertical="center"/>
    </xf>
    <xf numFmtId="0" fontId="61" fillId="0" borderId="8" xfId="0" applyFont="1" applyBorder="1" applyAlignment="1">
      <alignment horizontal="left" vertical="center"/>
    </xf>
    <xf numFmtId="165" fontId="44" fillId="0" borderId="8" xfId="84" applyNumberFormat="1" applyFont="1" applyBorder="1"/>
    <xf numFmtId="0" fontId="62" fillId="0" borderId="8" xfId="0" applyFont="1" applyBorder="1"/>
    <xf numFmtId="43" fontId="68" fillId="0" borderId="8" xfId="0" applyNumberFormat="1" applyFont="1" applyBorder="1"/>
    <xf numFmtId="165" fontId="40" fillId="0" borderId="8" xfId="0" applyNumberFormat="1" applyFont="1" applyBorder="1"/>
    <xf numFmtId="9" fontId="48" fillId="0" borderId="20" xfId="0" applyNumberFormat="1" applyFont="1" applyBorder="1" applyAlignment="1">
      <alignment vertical="top"/>
    </xf>
    <xf numFmtId="17" fontId="36" fillId="22" borderId="0" xfId="0" applyNumberFormat="1" applyFont="1" applyFill="1" applyAlignment="1">
      <alignment vertical="top"/>
    </xf>
    <xf numFmtId="0" fontId="2" fillId="34" borderId="19" xfId="0" applyFont="1" applyFill="1" applyBorder="1" applyAlignment="1">
      <alignment horizontal="left"/>
    </xf>
    <xf numFmtId="17" fontId="2" fillId="22" borderId="12" xfId="0" applyNumberFormat="1" applyFont="1" applyFill="1" applyBorder="1" applyAlignment="1">
      <alignment horizontal="left"/>
    </xf>
    <xf numFmtId="0" fontId="2" fillId="30" borderId="16" xfId="0" applyFont="1" applyFill="1" applyBorder="1" applyAlignment="1">
      <alignment horizontal="left"/>
    </xf>
    <xf numFmtId="0" fontId="2" fillId="30" borderId="15" xfId="0" applyFont="1" applyFill="1" applyBorder="1" applyAlignment="1">
      <alignment horizontal="left"/>
    </xf>
    <xf numFmtId="0" fontId="2" fillId="0" borderId="14" xfId="0" applyFont="1" applyBorder="1" applyAlignment="1">
      <alignment horizontal="left"/>
    </xf>
    <xf numFmtId="165" fontId="3" fillId="0" borderId="0" xfId="0" quotePrefix="1" applyNumberFormat="1" applyFont="1" applyAlignment="1">
      <alignment horizontal="left"/>
    </xf>
    <xf numFmtId="0" fontId="2" fillId="0" borderId="17" xfId="0" applyFont="1" applyBorder="1" applyAlignment="1">
      <alignment horizontal="left"/>
    </xf>
    <xf numFmtId="165" fontId="3" fillId="0" borderId="12" xfId="0" applyNumberFormat="1" applyFont="1" applyBorder="1" applyAlignment="1">
      <alignment horizontal="left"/>
    </xf>
    <xf numFmtId="0" fontId="2" fillId="30" borderId="18" xfId="0" applyFont="1" applyFill="1" applyBorder="1" applyAlignment="1">
      <alignment horizontal="left"/>
    </xf>
    <xf numFmtId="165" fontId="2" fillId="30" borderId="3" xfId="0" applyNumberFormat="1" applyFont="1" applyFill="1" applyBorder="1" applyAlignment="1">
      <alignment horizontal="left"/>
    </xf>
    <xf numFmtId="0" fontId="52" fillId="0" borderId="0" xfId="0" applyFont="1" applyAlignment="1">
      <alignment horizontal="left"/>
    </xf>
    <xf numFmtId="0" fontId="2" fillId="27" borderId="19" xfId="0" applyFont="1" applyFill="1" applyBorder="1" applyAlignment="1">
      <alignment horizontal="left"/>
    </xf>
    <xf numFmtId="17" fontId="2" fillId="30" borderId="3" xfId="0" applyNumberFormat="1" applyFont="1" applyFill="1" applyBorder="1" applyAlignment="1">
      <alignment horizontal="left"/>
    </xf>
    <xf numFmtId="0" fontId="2" fillId="0" borderId="16" xfId="0" applyFont="1" applyBorder="1" applyAlignment="1">
      <alignment horizontal="left" wrapText="1"/>
    </xf>
    <xf numFmtId="165" fontId="3" fillId="0" borderId="15" xfId="0" applyNumberFormat="1" applyFont="1" applyBorder="1" applyAlignment="1">
      <alignment horizontal="left"/>
    </xf>
    <xf numFmtId="0" fontId="2" fillId="0" borderId="14" xfId="0" applyFont="1" applyBorder="1" applyAlignment="1">
      <alignment horizontal="left" wrapText="1"/>
    </xf>
    <xf numFmtId="165" fontId="3" fillId="0" borderId="0" xfId="0" applyNumberFormat="1" applyFont="1" applyAlignment="1">
      <alignment horizontal="left"/>
    </xf>
    <xf numFmtId="2" fontId="2" fillId="0" borderId="12" xfId="0" applyNumberFormat="1" applyFont="1" applyBorder="1" applyAlignment="1">
      <alignment horizontal="left" wrapText="1"/>
    </xf>
    <xf numFmtId="0" fontId="2" fillId="27" borderId="18" xfId="0" applyFont="1" applyFill="1" applyBorder="1" applyAlignment="1">
      <alignment horizontal="left"/>
    </xf>
    <xf numFmtId="165" fontId="2" fillId="27" borderId="3" xfId="0" applyNumberFormat="1" applyFont="1" applyFill="1" applyBorder="1" applyAlignment="1">
      <alignment horizontal="left"/>
    </xf>
    <xf numFmtId="165" fontId="52" fillId="0" borderId="0" xfId="98" applyNumberFormat="1" applyFont="1" applyFill="1" applyBorder="1" applyAlignment="1">
      <alignment horizontal="left"/>
    </xf>
    <xf numFmtId="0" fontId="33" fillId="31" borderId="18" xfId="0" applyFont="1" applyFill="1" applyBorder="1" applyAlignment="1">
      <alignment horizontal="left"/>
    </xf>
    <xf numFmtId="165" fontId="53" fillId="31" borderId="3" xfId="0" applyNumberFormat="1" applyFont="1" applyFill="1" applyBorder="1" applyAlignment="1">
      <alignment horizontal="left"/>
    </xf>
    <xf numFmtId="0" fontId="53" fillId="0" borderId="18" xfId="0" applyFont="1" applyBorder="1" applyAlignment="1">
      <alignment horizontal="left"/>
    </xf>
    <xf numFmtId="43" fontId="53" fillId="0" borderId="3" xfId="84" applyFont="1" applyBorder="1" applyAlignment="1">
      <alignment horizontal="left"/>
    </xf>
    <xf numFmtId="0" fontId="33" fillId="0" borderId="14" xfId="0" applyFont="1" applyBorder="1" applyAlignment="1">
      <alignment horizontal="left"/>
    </xf>
    <xf numFmtId="165" fontId="52" fillId="0" borderId="0" xfId="0" applyNumberFormat="1" applyFont="1" applyAlignment="1">
      <alignment horizontal="left"/>
    </xf>
    <xf numFmtId="0" fontId="33" fillId="0" borderId="17" xfId="0" applyFont="1" applyBorder="1" applyAlignment="1">
      <alignment horizontal="left"/>
    </xf>
    <xf numFmtId="0" fontId="33" fillId="0" borderId="12" xfId="0" applyFont="1" applyBorder="1" applyAlignment="1">
      <alignment horizontal="left"/>
    </xf>
    <xf numFmtId="0" fontId="8" fillId="0" borderId="14" xfId="0" applyFont="1" applyBorder="1" applyAlignment="1">
      <alignment horizontal="left"/>
    </xf>
    <xf numFmtId="10" fontId="8" fillId="0" borderId="0" xfId="177" applyNumberFormat="1" applyFont="1" applyBorder="1" applyAlignment="1">
      <alignment horizontal="left"/>
    </xf>
    <xf numFmtId="0" fontId="52" fillId="0" borderId="14" xfId="0" applyFont="1" applyBorder="1" applyAlignment="1">
      <alignment horizontal="left"/>
    </xf>
    <xf numFmtId="10" fontId="52" fillId="0" borderId="0" xfId="177" applyNumberFormat="1" applyFont="1" applyBorder="1" applyAlignment="1">
      <alignment horizontal="left"/>
    </xf>
    <xf numFmtId="0" fontId="52" fillId="0" borderId="17" xfId="0" applyFont="1" applyBorder="1" applyAlignment="1">
      <alignment horizontal="left"/>
    </xf>
    <xf numFmtId="10" fontId="52" fillId="0" borderId="12" xfId="177" applyNumberFormat="1" applyFont="1" applyBorder="1" applyAlignment="1">
      <alignment horizontal="left"/>
    </xf>
    <xf numFmtId="2" fontId="0" fillId="0" borderId="8" xfId="0" applyNumberFormat="1" applyBorder="1"/>
    <xf numFmtId="165" fontId="3" fillId="0" borderId="0" xfId="0" quotePrefix="1" applyNumberFormat="1" applyFont="1" applyAlignment="1">
      <alignment horizontal="right"/>
    </xf>
    <xf numFmtId="165" fontId="3" fillId="0" borderId="12" xfId="0" applyNumberFormat="1" applyFont="1" applyBorder="1" applyAlignment="1">
      <alignment horizontal="right"/>
    </xf>
    <xf numFmtId="165" fontId="2" fillId="30" borderId="3" xfId="0" applyNumberFormat="1" applyFont="1" applyFill="1" applyBorder="1" applyAlignment="1">
      <alignment horizontal="right"/>
    </xf>
    <xf numFmtId="0" fontId="52" fillId="0" borderId="0" xfId="0" applyFont="1" applyAlignment="1">
      <alignment horizontal="right"/>
    </xf>
    <xf numFmtId="165" fontId="3" fillId="0" borderId="3" xfId="0" applyNumberFormat="1" applyFont="1" applyBorder="1" applyAlignment="1">
      <alignment horizontal="right"/>
    </xf>
    <xf numFmtId="165" fontId="3" fillId="0" borderId="15" xfId="0" applyNumberFormat="1" applyFont="1" applyBorder="1" applyAlignment="1">
      <alignment horizontal="right"/>
    </xf>
    <xf numFmtId="165" fontId="3" fillId="0" borderId="0" xfId="0" applyNumberFormat="1" applyFont="1" applyAlignment="1">
      <alignment horizontal="right"/>
    </xf>
    <xf numFmtId="2" fontId="2" fillId="0" borderId="12" xfId="0" applyNumberFormat="1" applyFont="1" applyBorder="1" applyAlignment="1">
      <alignment horizontal="right" wrapText="1"/>
    </xf>
    <xf numFmtId="165" fontId="2" fillId="27" borderId="3" xfId="0" applyNumberFormat="1" applyFont="1" applyFill="1" applyBorder="1" applyAlignment="1">
      <alignment horizontal="right"/>
    </xf>
    <xf numFmtId="165" fontId="52" fillId="0" borderId="0" xfId="98" applyNumberFormat="1" applyFont="1" applyFill="1" applyBorder="1" applyAlignment="1">
      <alignment horizontal="right"/>
    </xf>
    <xf numFmtId="165" fontId="53" fillId="31" borderId="3" xfId="0" applyNumberFormat="1" applyFont="1" applyFill="1" applyBorder="1" applyAlignment="1">
      <alignment horizontal="right"/>
    </xf>
    <xf numFmtId="43" fontId="53" fillId="0" borderId="3" xfId="84" applyFont="1" applyBorder="1" applyAlignment="1">
      <alignment horizontal="right"/>
    </xf>
    <xf numFmtId="165" fontId="52" fillId="0" borderId="0" xfId="0" applyNumberFormat="1" applyFont="1" applyAlignment="1">
      <alignment horizontal="right"/>
    </xf>
    <xf numFmtId="0" fontId="2" fillId="30" borderId="15" xfId="0" applyFont="1" applyFill="1" applyBorder="1" applyAlignment="1">
      <alignment horizontal="left" vertical="top"/>
    </xf>
    <xf numFmtId="0" fontId="52" fillId="0" borderId="0" xfId="0" applyFont="1" applyAlignment="1">
      <alignment horizontal="left" vertical="top"/>
    </xf>
    <xf numFmtId="165" fontId="33" fillId="0" borderId="12" xfId="84" applyNumberFormat="1" applyFont="1" applyBorder="1" applyAlignment="1">
      <alignment horizontal="left" vertical="top"/>
    </xf>
    <xf numFmtId="10" fontId="8" fillId="0" borderId="0" xfId="177" applyNumberFormat="1" applyFont="1" applyBorder="1" applyAlignment="1">
      <alignment horizontal="right" vertical="top"/>
    </xf>
    <xf numFmtId="10" fontId="52" fillId="0" borderId="0" xfId="177" applyNumberFormat="1" applyFont="1" applyBorder="1" applyAlignment="1">
      <alignment horizontal="right" vertical="top"/>
    </xf>
    <xf numFmtId="10" fontId="52" fillId="0" borderId="12" xfId="177" applyNumberFormat="1" applyFont="1" applyBorder="1" applyAlignment="1">
      <alignment horizontal="right" vertical="top"/>
    </xf>
    <xf numFmtId="0" fontId="48" fillId="0" borderId="23" xfId="0" applyFont="1" applyBorder="1" applyAlignment="1">
      <alignment vertical="top"/>
    </xf>
    <xf numFmtId="0" fontId="60" fillId="0" borderId="39" xfId="0" applyFont="1" applyBorder="1" applyAlignment="1">
      <alignment horizontal="center" vertical="center"/>
    </xf>
    <xf numFmtId="0" fontId="61" fillId="0" borderId="4" xfId="0" applyFont="1" applyBorder="1" applyAlignment="1">
      <alignment horizontal="left" vertical="center"/>
    </xf>
    <xf numFmtId="43" fontId="44" fillId="0" borderId="4" xfId="84" applyFont="1" applyBorder="1"/>
    <xf numFmtId="165" fontId="44" fillId="0" borderId="4" xfId="84" applyNumberFormat="1" applyFont="1" applyBorder="1"/>
    <xf numFmtId="0" fontId="49" fillId="0" borderId="18" xfId="0" applyFont="1" applyBorder="1" applyAlignment="1">
      <alignment vertical="top"/>
    </xf>
    <xf numFmtId="0" fontId="49" fillId="0" borderId="3" xfId="0" applyFont="1" applyBorder="1" applyAlignment="1">
      <alignment vertical="top"/>
    </xf>
    <xf numFmtId="0" fontId="49" fillId="0" borderId="22" xfId="0" applyFont="1" applyBorder="1" applyAlignment="1">
      <alignment vertical="top"/>
    </xf>
    <xf numFmtId="0" fontId="48" fillId="0" borderId="15" xfId="0" applyFont="1" applyBorder="1" applyAlignment="1">
      <alignment vertical="top"/>
    </xf>
    <xf numFmtId="0" fontId="48" fillId="0" borderId="24" xfId="0" applyFont="1" applyBorder="1" applyAlignment="1">
      <alignment vertical="top"/>
    </xf>
    <xf numFmtId="0" fontId="48" fillId="0" borderId="0" xfId="0" applyFont="1" applyAlignment="1">
      <alignment vertical="top"/>
    </xf>
    <xf numFmtId="0" fontId="48" fillId="0" borderId="25" xfId="0" applyFont="1" applyBorder="1" applyAlignment="1">
      <alignment vertical="top"/>
    </xf>
    <xf numFmtId="0" fontId="48" fillId="0" borderId="17" xfId="0" applyFont="1" applyBorder="1" applyAlignment="1">
      <alignment vertical="top" wrapText="1"/>
    </xf>
    <xf numFmtId="0" fontId="48" fillId="0" borderId="12" xfId="0" applyFont="1" applyBorder="1" applyAlignment="1">
      <alignment vertical="top" wrapText="1"/>
    </xf>
    <xf numFmtId="0" fontId="48" fillId="0" borderId="26" xfId="0" applyFont="1" applyBorder="1" applyAlignment="1">
      <alignment vertical="top" wrapText="1"/>
    </xf>
    <xf numFmtId="0" fontId="48" fillId="0" borderId="14" xfId="0" applyFont="1" applyBorder="1" applyAlignment="1">
      <alignment vertical="top" wrapText="1"/>
    </xf>
    <xf numFmtId="0" fontId="48" fillId="0" borderId="0" xfId="0" applyFont="1" applyAlignment="1">
      <alignment vertical="top" wrapText="1"/>
    </xf>
    <xf numFmtId="0" fontId="48" fillId="0" borderId="25" xfId="0" applyFont="1" applyBorder="1" applyAlignment="1">
      <alignment vertical="top" wrapText="1"/>
    </xf>
    <xf numFmtId="0" fontId="2" fillId="0" borderId="0" xfId="162" applyFont="1" applyAlignment="1">
      <alignment horizontal="center" vertical="top"/>
    </xf>
    <xf numFmtId="164" fontId="2" fillId="0" borderId="0" xfId="210" applyFont="1" applyAlignment="1">
      <alignment horizontal="center" vertical="top"/>
    </xf>
    <xf numFmtId="0" fontId="2" fillId="0" borderId="0" xfId="162" applyFont="1" applyAlignment="1">
      <alignment horizontal="right"/>
    </xf>
    <xf numFmtId="0" fontId="2" fillId="31" borderId="14" xfId="162" applyFont="1" applyFill="1" applyBorder="1" applyAlignment="1">
      <alignment horizontal="center" vertical="top"/>
    </xf>
    <xf numFmtId="0" fontId="2" fillId="31" borderId="0" xfId="162" applyFont="1" applyFill="1" applyAlignment="1">
      <alignment horizontal="center" vertical="top"/>
    </xf>
    <xf numFmtId="0" fontId="2" fillId="0" borderId="0" xfId="162" applyFont="1" applyAlignment="1">
      <alignment horizontal="left" vertical="top"/>
    </xf>
    <xf numFmtId="0" fontId="2" fillId="31" borderId="0" xfId="162" applyFont="1" applyFill="1" applyAlignment="1">
      <alignment horizontal="left" vertical="top"/>
    </xf>
    <xf numFmtId="0" fontId="2" fillId="0" borderId="37" xfId="162" applyFont="1" applyBorder="1" applyAlignment="1">
      <alignment horizontal="center" vertical="top"/>
    </xf>
    <xf numFmtId="0" fontId="45" fillId="0" borderId="0" xfId="0" applyFont="1" applyAlignment="1">
      <alignment horizontal="center"/>
    </xf>
    <xf numFmtId="165" fontId="15" fillId="0" borderId="14" xfId="162" applyNumberFormat="1" applyFont="1" applyBorder="1"/>
    <xf numFmtId="165" fontId="15" fillId="0" borderId="0" xfId="162" applyNumberFormat="1" applyFont="1"/>
    <xf numFmtId="165" fontId="15" fillId="0" borderId="25" xfId="162" applyNumberFormat="1" applyFont="1" applyBorder="1"/>
    <xf numFmtId="0" fontId="15" fillId="31" borderId="0" xfId="0" applyFont="1" applyFill="1" applyAlignment="1">
      <alignment horizontal="left" vertical="top" wrapText="1"/>
    </xf>
    <xf numFmtId="165" fontId="16" fillId="0" borderId="14" xfId="162" applyNumberFormat="1" applyFont="1" applyBorder="1"/>
    <xf numFmtId="165" fontId="16" fillId="0" borderId="0" xfId="162" applyNumberFormat="1" applyFont="1"/>
    <xf numFmtId="165" fontId="16" fillId="0" borderId="25" xfId="162" applyNumberFormat="1" applyFont="1" applyBorder="1"/>
    <xf numFmtId="0" fontId="16" fillId="0" borderId="24" xfId="162" applyFont="1" applyBorder="1" applyAlignment="1">
      <alignment horizontal="right" vertical="center"/>
    </xf>
    <xf numFmtId="0" fontId="16" fillId="0" borderId="25" xfId="162" applyFont="1" applyBorder="1" applyAlignment="1">
      <alignment horizontal="right" vertical="center"/>
    </xf>
    <xf numFmtId="0" fontId="16" fillId="0" borderId="26" xfId="162" applyFont="1" applyBorder="1" applyAlignment="1">
      <alignment horizontal="right" vertical="center"/>
    </xf>
    <xf numFmtId="0" fontId="48" fillId="0" borderId="24" xfId="0" applyFont="1" applyBorder="1" applyAlignment="1">
      <alignment horizontal="right" vertical="center"/>
    </xf>
    <xf numFmtId="0" fontId="48" fillId="0" borderId="25" xfId="0" applyFont="1" applyBorder="1" applyAlignment="1">
      <alignment horizontal="right" vertical="center"/>
    </xf>
    <xf numFmtId="0" fontId="16" fillId="0" borderId="21" xfId="162" applyFont="1" applyBorder="1" applyAlignment="1">
      <alignment horizontal="right" vertical="center"/>
    </xf>
    <xf numFmtId="0" fontId="16" fillId="0" borderId="20" xfId="162" applyFont="1" applyBorder="1" applyAlignment="1">
      <alignment horizontal="right" vertical="center"/>
    </xf>
    <xf numFmtId="0" fontId="16" fillId="0" borderId="23" xfId="162" applyFont="1" applyBorder="1" applyAlignment="1">
      <alignment horizontal="right" vertical="center"/>
    </xf>
    <xf numFmtId="0" fontId="10" fillId="0" borderId="0" xfId="162" applyFont="1" applyAlignment="1">
      <alignment horizontal="center" vertical="top"/>
    </xf>
    <xf numFmtId="0" fontId="60" fillId="0" borderId="39" xfId="0" applyFont="1" applyBorder="1" applyAlignment="1">
      <alignment horizontal="center" vertical="center"/>
    </xf>
    <xf numFmtId="0" fontId="60" fillId="0" borderId="4" xfId="0" applyFont="1" applyBorder="1" applyAlignment="1">
      <alignment horizontal="center" vertical="center"/>
    </xf>
    <xf numFmtId="0" fontId="60" fillId="0" borderId="30" xfId="0" applyFont="1" applyBorder="1" applyAlignment="1">
      <alignment horizontal="center" vertical="center"/>
    </xf>
    <xf numFmtId="0" fontId="62" fillId="0" borderId="0" xfId="0" applyFont="1" applyAlignment="1">
      <alignment vertical="center" wrapText="1"/>
    </xf>
    <xf numFmtId="0" fontId="64" fillId="33" borderId="24" xfId="102" applyNumberFormat="1" applyFont="1" applyFill="1" applyBorder="1" applyAlignment="1">
      <alignment horizontal="center" vertical="center" wrapText="1" shrinkToFit="1"/>
    </xf>
    <xf numFmtId="0" fontId="64" fillId="33" borderId="26" xfId="102" applyNumberFormat="1" applyFont="1" applyFill="1" applyBorder="1" applyAlignment="1">
      <alignment horizontal="center" vertical="center" wrapText="1" shrinkToFit="1"/>
    </xf>
    <xf numFmtId="0" fontId="10" fillId="31" borderId="14" xfId="162" applyFont="1" applyFill="1" applyBorder="1" applyAlignment="1">
      <alignment horizontal="center" vertical="top"/>
    </xf>
    <xf numFmtId="0" fontId="10" fillId="31" borderId="0" xfId="162" applyFont="1" applyFill="1" applyAlignment="1">
      <alignment horizontal="center" vertical="top"/>
    </xf>
    <xf numFmtId="0" fontId="64" fillId="33" borderId="19" xfId="102" applyNumberFormat="1" applyFont="1" applyFill="1" applyBorder="1" applyAlignment="1">
      <alignment horizontal="center" vertical="center"/>
    </xf>
    <xf numFmtId="0" fontId="64" fillId="33" borderId="21" xfId="102" applyNumberFormat="1" applyFont="1" applyFill="1" applyBorder="1" applyAlignment="1">
      <alignment horizontal="center" vertical="center" wrapText="1"/>
    </xf>
    <xf numFmtId="0" fontId="64" fillId="33" borderId="23" xfId="102" applyNumberFormat="1" applyFont="1" applyFill="1" applyBorder="1" applyAlignment="1">
      <alignment horizontal="center" vertical="center" wrapText="1"/>
    </xf>
    <xf numFmtId="0" fontId="64" fillId="33" borderId="18" xfId="102" applyNumberFormat="1" applyFont="1" applyFill="1" applyBorder="1" applyAlignment="1">
      <alignment horizontal="center" vertical="center"/>
    </xf>
    <xf numFmtId="0" fontId="64" fillId="33" borderId="22" xfId="102" applyNumberFormat="1" applyFont="1" applyFill="1" applyBorder="1" applyAlignment="1">
      <alignment horizontal="center" vertical="center"/>
    </xf>
    <xf numFmtId="0" fontId="0" fillId="0" borderId="0" xfId="0" applyAlignment="1">
      <alignment horizontal="center"/>
    </xf>
    <xf numFmtId="0" fontId="34" fillId="0" borderId="18" xfId="0" applyFont="1" applyBorder="1" applyAlignment="1">
      <alignment horizontal="center"/>
    </xf>
    <xf numFmtId="0" fontId="34" fillId="0" borderId="3" xfId="0" applyFont="1" applyBorder="1" applyAlignment="1">
      <alignment horizontal="center"/>
    </xf>
    <xf numFmtId="0" fontId="34" fillId="0" borderId="22" xfId="0" applyFont="1" applyBorder="1" applyAlignment="1">
      <alignment horizontal="center"/>
    </xf>
    <xf numFmtId="0" fontId="2" fillId="0" borderId="18" xfId="162" applyFont="1" applyBorder="1" applyAlignment="1">
      <alignment horizontal="center"/>
    </xf>
    <xf numFmtId="0" fontId="2" fillId="0" borderId="3" xfId="162" applyFont="1" applyBorder="1" applyAlignment="1">
      <alignment horizontal="center"/>
    </xf>
    <xf numFmtId="0" fontId="2" fillId="0" borderId="22" xfId="162" applyFont="1" applyBorder="1" applyAlignment="1">
      <alignment horizontal="center"/>
    </xf>
    <xf numFmtId="0" fontId="2" fillId="0" borderId="34" xfId="162" applyFont="1" applyBorder="1" applyAlignment="1">
      <alignment horizontal="center" vertical="center"/>
    </xf>
    <xf numFmtId="0" fontId="2" fillId="0" borderId="35" xfId="162" applyFont="1" applyBorder="1" applyAlignment="1">
      <alignment horizontal="center" vertical="center"/>
    </xf>
  </cellXfs>
  <cellStyles count="211">
    <cellStyle name="20% - Accent1 2" xfId="1" xr:uid="{9A06CBC4-38EC-4C74-8B4C-7CF0AC2D7227}"/>
    <cellStyle name="20% - Accent1 3" xfId="2" xr:uid="{E895D3D8-A577-431D-8657-A4BFAC61A72C}"/>
    <cellStyle name="20% - Accent1 4" xfId="3" xr:uid="{B046C1A5-92BF-4D70-A4BB-23CD285EDF4E}"/>
    <cellStyle name="20% - Accent2 2" xfId="4" xr:uid="{26BD7974-7D78-48AF-A624-664D31B169E1}"/>
    <cellStyle name="20% - Accent2 3" xfId="5" xr:uid="{85BC50BD-48E1-4BFC-A0CC-840C7A234FC9}"/>
    <cellStyle name="20% - Accent2 4" xfId="6" xr:uid="{85E053AD-2CE1-4FC4-A011-1C8940855290}"/>
    <cellStyle name="20% - Accent3 2" xfId="7" xr:uid="{4DF7DFBE-2A92-41F1-8644-709DCDE84946}"/>
    <cellStyle name="20% - Accent3 3" xfId="8" xr:uid="{B875154A-6CB8-405E-8B56-B0178F3C6707}"/>
    <cellStyle name="20% - Accent3 4" xfId="9" xr:uid="{FB3B63A8-D0C7-49D3-BB4F-FC9434CE5869}"/>
    <cellStyle name="20% - Accent4 2" xfId="10" xr:uid="{F28FD4DB-E3B7-4CC5-92C4-2757DB22A792}"/>
    <cellStyle name="20% - Accent4 3" xfId="11" xr:uid="{C4673E5C-ADBE-4822-ACCD-E712A4EF7C4E}"/>
    <cellStyle name="20% - Accent4 4" xfId="12" xr:uid="{F2315A0D-3B6D-4B65-B9E6-136B31133F49}"/>
    <cellStyle name="20% - Accent5 2" xfId="13" xr:uid="{68033505-1D02-4402-A492-0ED790035FBF}"/>
    <cellStyle name="20% - Accent5 3" xfId="14" xr:uid="{78FF178A-98FC-4BBF-9D10-64104F4D73CF}"/>
    <cellStyle name="20% - Accent5 4" xfId="15" xr:uid="{BC99F4B5-EDCD-4C03-B0A7-0EC93A28FDBB}"/>
    <cellStyle name="20% - Accent6 2" xfId="16" xr:uid="{84453FB4-6030-4D2B-9F13-7F3231A8C558}"/>
    <cellStyle name="20% - Accent6 3" xfId="17" xr:uid="{1EB4FDD9-E0A6-4864-B395-60C5B86A0BD9}"/>
    <cellStyle name="20% - Accent6 4" xfId="18" xr:uid="{B2B24D28-C48E-4B68-9ED7-73C7BAE97187}"/>
    <cellStyle name="40% - Accent1 2" xfId="19" xr:uid="{CB240355-C96E-42F7-B453-188B4018B271}"/>
    <cellStyle name="40% - Accent1 3" xfId="20" xr:uid="{514E7882-18CA-4C3D-B1AD-D3F2A571B534}"/>
    <cellStyle name="40% - Accent1 4" xfId="21" xr:uid="{54B798AA-8402-4D46-A7EC-6F9CC3E3B99D}"/>
    <cellStyle name="40% - Accent2 2" xfId="22" xr:uid="{69144724-F5D6-4EC4-889F-50A9CEA518A1}"/>
    <cellStyle name="40% - Accent2 3" xfId="23" xr:uid="{4AF1DFB3-8AF4-4AA3-BC7F-5410F3536B9A}"/>
    <cellStyle name="40% - Accent2 4" xfId="24" xr:uid="{8F785FAB-A752-4AFF-A4D8-62C06FC43796}"/>
    <cellStyle name="40% - Accent3 2" xfId="25" xr:uid="{C47EABA2-D245-4B92-9B3E-C09F1480D3CC}"/>
    <cellStyle name="40% - Accent3 3" xfId="26" xr:uid="{A2182F6C-8A11-4DB2-8847-5E03E1983F89}"/>
    <cellStyle name="40% - Accent3 4" xfId="27" xr:uid="{B18F0757-A822-4D22-930F-EAFEA73A341A}"/>
    <cellStyle name="40% - Accent4 2" xfId="28" xr:uid="{8BC4EC82-D6DF-4042-A237-19D64B9C383C}"/>
    <cellStyle name="40% - Accent4 3" xfId="29" xr:uid="{AEACAB93-8776-47A7-A0B8-75D950693645}"/>
    <cellStyle name="40% - Accent4 4" xfId="30" xr:uid="{0A971226-CFD3-4091-9015-DBB19ED1CF03}"/>
    <cellStyle name="40% - Accent5 2" xfId="31" xr:uid="{FA46515D-B30F-400A-92D3-69F5284CD01C}"/>
    <cellStyle name="40% - Accent5 3" xfId="32" xr:uid="{F65A5121-1730-48F4-B4CD-D9E4644B3F33}"/>
    <cellStyle name="40% - Accent5 4" xfId="33" xr:uid="{CF0CFD69-16A1-4931-9C14-8D2B62B7B619}"/>
    <cellStyle name="40% - Accent6 2" xfId="34" xr:uid="{75677CF5-32A4-432B-9B3A-E5216FB05178}"/>
    <cellStyle name="40% - Accent6 3" xfId="35" xr:uid="{1007BF2E-22F3-45DF-9A5C-20E1665CD9DC}"/>
    <cellStyle name="40% - Accent6 4" xfId="36" xr:uid="{03B0517D-014A-4051-A644-47011B3CD0A9}"/>
    <cellStyle name="60% - Accent1 2" xfId="37" xr:uid="{2A67676B-2528-4B63-9663-CD8007D42243}"/>
    <cellStyle name="60% - Accent1 3" xfId="38" xr:uid="{69A77DEB-B9DF-4587-ACA4-0C73D535B1A3}"/>
    <cellStyle name="60% - Accent1 4" xfId="39" xr:uid="{9A0591CC-EBF9-4881-9A28-ED8B63D89F66}"/>
    <cellStyle name="60% - Accent2 2" xfId="40" xr:uid="{FFC67D0C-D202-4A86-9EB0-E14013A08987}"/>
    <cellStyle name="60% - Accent2 3" xfId="41" xr:uid="{8C1554B2-4392-485B-88CE-7A4BCAB85354}"/>
    <cellStyle name="60% - Accent2 4" xfId="42" xr:uid="{729739D1-170E-43C8-9D54-DE8E26F0F2E7}"/>
    <cellStyle name="60% - Accent3 2" xfId="43" xr:uid="{1C0F70FC-47B0-43D2-AD6E-B01E33F1FCED}"/>
    <cellStyle name="60% - Accent3 3" xfId="44" xr:uid="{113DEF3D-D672-49AC-AE3C-155F6CAEDEA4}"/>
    <cellStyle name="60% - Accent3 4" xfId="45" xr:uid="{92B19BE1-A9D9-4DC3-9951-C1B02022A755}"/>
    <cellStyle name="60% - Accent4 2" xfId="46" xr:uid="{36B810A2-06E6-4722-BEC0-A664218FC8F6}"/>
    <cellStyle name="60% - Accent4 3" xfId="47" xr:uid="{812F9591-7B3B-4BD0-A610-C53FA087731D}"/>
    <cellStyle name="60% - Accent4 4" xfId="48" xr:uid="{55F351DD-D45C-43EF-9A8E-FC5B23CB1612}"/>
    <cellStyle name="60% - Accent5 2" xfId="49" xr:uid="{A479E9EA-6058-4310-9BB8-306678348D1D}"/>
    <cellStyle name="60% - Accent5 3" xfId="50" xr:uid="{B06930A7-8D61-473E-BF7F-AFDA4C326592}"/>
    <cellStyle name="60% - Accent5 4" xfId="51" xr:uid="{11F9854F-8C23-4BC4-8BC0-CF2218DEBCB6}"/>
    <cellStyle name="60% - Accent6 2" xfId="52" xr:uid="{5A9D59BF-EBED-4F59-9203-8154CF3D3306}"/>
    <cellStyle name="60% - Accent6 3" xfId="53" xr:uid="{D06BE347-B145-409A-8D67-77879E58874D}"/>
    <cellStyle name="60% - Accent6 4" xfId="54" xr:uid="{3108E89E-269B-4401-BF92-00D2D0FB0432}"/>
    <cellStyle name="Accent1 2" xfId="55" xr:uid="{644797A1-845A-4F27-9EA8-C36FFAA33E28}"/>
    <cellStyle name="Accent1 3" xfId="56" xr:uid="{09AB5211-4869-4707-8DBA-D7A7E4DD7682}"/>
    <cellStyle name="Accent1 4" xfId="57" xr:uid="{3121CB0B-300E-495D-8161-17BEB9B8E653}"/>
    <cellStyle name="Accent2 2" xfId="58" xr:uid="{2AA407DC-6192-4134-8069-182AA642BAB3}"/>
    <cellStyle name="Accent2 3" xfId="59" xr:uid="{F2432461-4CC5-4300-9377-73CC8DB14AA0}"/>
    <cellStyle name="Accent2 4" xfId="60" xr:uid="{3D814AA3-45DC-4DAA-9B95-08245749F354}"/>
    <cellStyle name="Accent3 2" xfId="61" xr:uid="{EAA17DE5-018D-4B82-B57A-601BDC2216B6}"/>
    <cellStyle name="Accent3 3" xfId="62" xr:uid="{B8E09DD4-1C48-42DB-9EF6-0B7C8458E43B}"/>
    <cellStyle name="Accent3 4" xfId="63" xr:uid="{D995D57A-3195-4DF0-92C8-7C731FF02967}"/>
    <cellStyle name="Accent4 2" xfId="64" xr:uid="{EC59C443-18B8-473B-B951-3C68D9A43D9B}"/>
    <cellStyle name="Accent4 3" xfId="65" xr:uid="{70F59716-9ACE-4327-93E5-52F8B594332B}"/>
    <cellStyle name="Accent4 4" xfId="66" xr:uid="{9B3BA762-991D-4DCC-A9B2-1F73876243A7}"/>
    <cellStyle name="Accent5 2" xfId="67" xr:uid="{669C0520-4813-4561-9544-47FE1D331B7B}"/>
    <cellStyle name="Accent5 3" xfId="68" xr:uid="{90BBEB40-4A3E-4571-98AB-968D0B9F118E}"/>
    <cellStyle name="Accent5 4" xfId="69" xr:uid="{78D37A2E-47B3-4D10-AE2A-6D28832E98E1}"/>
    <cellStyle name="Accent6 2" xfId="70" xr:uid="{F0B49C7F-DA17-44C7-84C1-F6689891D609}"/>
    <cellStyle name="Accent6 3" xfId="71" xr:uid="{80CA94C2-73B3-4E8A-A0B3-48AA8768175F}"/>
    <cellStyle name="Accent6 4" xfId="72" xr:uid="{94A9585B-2CB7-4AA8-B37C-75C46358E0E6}"/>
    <cellStyle name="Annexure" xfId="73" xr:uid="{33B6EAB0-9FD5-4915-93A5-E7C6ED4A79CF}"/>
    <cellStyle name="Bad 2" xfId="74" xr:uid="{D3070218-F3B1-4908-BA0E-ECA3A79200DF}"/>
    <cellStyle name="Bad 3" xfId="75" xr:uid="{6A4FE0B5-F45E-4008-AC00-DD3A9E144EE0}"/>
    <cellStyle name="Bad 4" xfId="76" xr:uid="{60FCBE1B-655C-4F8B-8B3A-5E128EC5E4DF}"/>
    <cellStyle name="Calc Units (2)" xfId="77" xr:uid="{6A52C9A2-F360-4532-AB45-EACE0136FDCB}"/>
    <cellStyle name="Calculation 2" xfId="78" xr:uid="{E0130DCE-F9C0-4823-92A8-B6432E280238}"/>
    <cellStyle name="Calculation 3" xfId="79" xr:uid="{566DB63B-0C8D-4A89-B7FF-44E438C72F78}"/>
    <cellStyle name="Calculation 4" xfId="80" xr:uid="{B3307395-9AAC-4C53-9095-A73B3F3ACA58}"/>
    <cellStyle name="Check Cell 2" xfId="81" xr:uid="{4B6C7E3C-5570-452F-8B0E-DC6A2DDEFADB}"/>
    <cellStyle name="Check Cell 3" xfId="82" xr:uid="{1B738AD5-8F3A-43CB-BB0D-D4DDD482D054}"/>
    <cellStyle name="Check Cell 4" xfId="83" xr:uid="{145ECCA6-F198-4C53-AE04-9B58724788A1}"/>
    <cellStyle name="Comma" xfId="84" builtinId="3"/>
    <cellStyle name="Comma [00]" xfId="85" xr:uid="{BF37969E-83AB-4ED8-B7D3-2695A7B3472A}"/>
    <cellStyle name="Comma 2" xfId="86" xr:uid="{74B0EF00-3E1A-4819-B17F-B9866E60F9BE}"/>
    <cellStyle name="Comma 2 2" xfId="87" xr:uid="{828690F9-7A60-4095-B9C1-3E2775C7C0BF}"/>
    <cellStyle name="Comma 2 3" xfId="88" xr:uid="{93F11C38-5CC5-46DF-B7B3-FD5214C07391}"/>
    <cellStyle name="Comma 2 3 2" xfId="89" xr:uid="{212F848F-3349-4DF5-8C6D-772C2B260E6D}"/>
    <cellStyle name="Comma 3" xfId="90" xr:uid="{256C1DE1-F437-4583-B3FF-AF1E5D122E98}"/>
    <cellStyle name="Comma 3 2" xfId="91" xr:uid="{4453D628-CBE3-4715-BAC3-74413B2D78D9}"/>
    <cellStyle name="Comma 3 3" xfId="92" xr:uid="{EB572C36-B31C-4813-A39F-ABBFEFC7D40C}"/>
    <cellStyle name="Comma 3 4" xfId="93" xr:uid="{32E3B63B-E25A-41AB-842A-E008467A9C5C}"/>
    <cellStyle name="Comma 3 4 2" xfId="94" xr:uid="{192F951F-7ED6-4C93-92C4-DBEF6E95B71A}"/>
    <cellStyle name="Comma 3 5" xfId="95" xr:uid="{21065917-EFFA-42CE-B3E2-9EE4D10E82BA}"/>
    <cellStyle name="Comma 3 5 2" xfId="96" xr:uid="{6313CA8E-6C89-4497-B327-1B33901D30BB}"/>
    <cellStyle name="Comma 3 6" xfId="97" xr:uid="{8673DB30-5E4B-4138-B7A1-62D121136F55}"/>
    <cellStyle name="Comma 4" xfId="98" xr:uid="{3D250650-5537-4B56-A362-9A83693CC1E7}"/>
    <cellStyle name="Comma 4 2" xfId="99" xr:uid="{0EF2BE04-BF33-4355-B327-AAED63A65A1D}"/>
    <cellStyle name="Comma 5" xfId="100" xr:uid="{48B5B603-A3D7-44E6-AF86-89ED1FCD35BD}"/>
    <cellStyle name="Comma 5 2" xfId="101" xr:uid="{7453908F-6A9F-459B-9ED0-73315AB6EEBC}"/>
    <cellStyle name="Comma 6" xfId="102" xr:uid="{6ABBFDDE-9B7A-443F-B05D-8F7B13877A34}"/>
    <cellStyle name="Comma 6 2" xfId="103" xr:uid="{D6ED3E13-FE52-406B-A5A9-26C83B7C02F9}"/>
    <cellStyle name="Comma 7" xfId="104" xr:uid="{E7B10779-1D66-4FD2-A22B-921079375DCC}"/>
    <cellStyle name="Comma 8" xfId="105" xr:uid="{8360FA20-BE2C-4921-BF15-56D935D3404D}"/>
    <cellStyle name="Comma 8 2" xfId="106" xr:uid="{181D9839-D339-4505-B1AA-ADCA83676A1B}"/>
    <cellStyle name="Currency" xfId="210" builtinId="4"/>
    <cellStyle name="Currency [00]" xfId="107" xr:uid="{F3B2F9CA-806A-4A5B-9F45-9879DB01066A}"/>
    <cellStyle name="custom" xfId="108" xr:uid="{9F325876-B231-4F5B-8F04-714C447F9CF1}"/>
    <cellStyle name="Date" xfId="109" xr:uid="{7626F064-BA3A-47B6-8404-62E510B2EBE9}"/>
    <cellStyle name="Date Short" xfId="110" xr:uid="{6C739B4D-4CD0-4D42-B6CD-850EEDA92DEE}"/>
    <cellStyle name="Date_Financial Analysis - iol edited" xfId="111" xr:uid="{FBF17236-4CA8-473E-AE81-3AF6F04A3573}"/>
    <cellStyle name="Enter Currency (0)" xfId="112" xr:uid="{B2849EE8-692B-45F1-B364-F6D6E01CB6AB}"/>
    <cellStyle name="Enter Currency (2)" xfId="113" xr:uid="{871DAC6C-0C0E-4BCE-9A8F-5729FA011812}"/>
    <cellStyle name="Enter Units (0)" xfId="114" xr:uid="{2B04A3EC-5D78-443B-BB25-FE69C8DE3A6F}"/>
    <cellStyle name="Enter Units (1)" xfId="115" xr:uid="{23D48958-9759-458B-91CD-B8B0003C927B}"/>
    <cellStyle name="Enter Units (2)" xfId="116" xr:uid="{2EC30C49-4BAA-43F4-8D20-B092619BEA99}"/>
    <cellStyle name="Explanatory Text 2" xfId="117" xr:uid="{4139A275-41E4-4C73-A2FC-7986180640D9}"/>
    <cellStyle name="Explanatory Text 3" xfId="118" xr:uid="{83D2F84C-58B5-419E-9E93-56E9CC7FFBE2}"/>
    <cellStyle name="Explanatory Text 4" xfId="119" xr:uid="{1F9B83F0-45C1-4801-AEC7-ACF91EAF499F}"/>
    <cellStyle name="Good 2" xfId="120" xr:uid="{50B9893F-12D5-485C-805D-3AE942ED2E5C}"/>
    <cellStyle name="Good 3" xfId="121" xr:uid="{6014475C-8BF1-4DD4-99B5-9C70BA86BE9B}"/>
    <cellStyle name="Good 4" xfId="122" xr:uid="{8B0ED385-E3EF-4A3E-8EC9-4186C3F12CDD}"/>
    <cellStyle name="Grey" xfId="123" xr:uid="{C3C06A95-AB97-4D71-A438-D20D8E392EB3}"/>
    <cellStyle name="Header1" xfId="124" xr:uid="{67A1BBC9-7405-48BD-8A73-35D7C18108F7}"/>
    <cellStyle name="Header2" xfId="125" xr:uid="{114ABAA8-A914-4373-84DA-4AD09B399503}"/>
    <cellStyle name="HEADING" xfId="126" xr:uid="{CA70DC06-DEE5-49DB-8C5A-6C3E3098B228}"/>
    <cellStyle name="Heading 1 2" xfId="127" xr:uid="{A3BA7B32-F1EA-4D8C-9882-EBC80A764563}"/>
    <cellStyle name="Heading 1 3" xfId="128" xr:uid="{BD77CA42-7646-49F4-ABD1-F85EA1C03A27}"/>
    <cellStyle name="Heading 1 4" xfId="129" xr:uid="{EB5CA323-A845-4C25-94B5-610AAF3A8574}"/>
    <cellStyle name="Heading 2 2" xfId="130" xr:uid="{01B0FC3E-D9BB-4F6A-9606-886AE52B16B1}"/>
    <cellStyle name="Heading 2 3" xfId="131" xr:uid="{B1C5282B-1F73-4907-9181-5706F8BA2907}"/>
    <cellStyle name="Heading 2 4" xfId="132" xr:uid="{36BC3FD8-779B-4DF2-B49C-79787047152A}"/>
    <cellStyle name="Heading 3 2" xfId="133" xr:uid="{2BFA6ADF-76F6-4503-A8E6-6C5AD8026040}"/>
    <cellStyle name="Heading 3 3" xfId="134" xr:uid="{761A57D8-B420-42CF-B8A1-E4BF82381172}"/>
    <cellStyle name="Heading 3 4" xfId="135" xr:uid="{F08105D5-D553-4F01-AC49-DCB5FDCA40D3}"/>
    <cellStyle name="Heading 4 2" xfId="136" xr:uid="{EDF44459-F6E4-4E02-A3E2-24519E6BF22C}"/>
    <cellStyle name="Heading 4 3" xfId="137" xr:uid="{DA2A221E-D926-4C75-BD85-0F7BC6FA3C5C}"/>
    <cellStyle name="Heading 4 4" xfId="138" xr:uid="{BA7467A8-D3B7-43B3-85D2-1D1F6D761841}"/>
    <cellStyle name="HEADING1" xfId="139" xr:uid="{3BEEA7D6-1B92-4007-8FA5-9E0F76667922}"/>
    <cellStyle name="Hyperlink 2" xfId="140" xr:uid="{1EE0C901-B350-4704-828B-D7894ADE6F1D}"/>
    <cellStyle name="Input [yellow]" xfId="141" xr:uid="{CBBE7F47-9F81-41D1-9375-DBA22B52B3A8}"/>
    <cellStyle name="Input 2" xfId="142" xr:uid="{456F09AB-C5EF-410D-AAED-DD20A3306BCD}"/>
    <cellStyle name="Input 3" xfId="143" xr:uid="{ACD8C6C3-1614-41DE-B940-24D72AE6529C}"/>
    <cellStyle name="Input 4" xfId="144" xr:uid="{8335597F-47BD-4A53-B5D4-86AE698CC7DE}"/>
    <cellStyle name="Link Currency (0)" xfId="145" xr:uid="{90C82A25-D1A1-4D81-9FB2-B3B7A8F67616}"/>
    <cellStyle name="Link Currency (2)" xfId="146" xr:uid="{D9FEEAA4-B536-4F10-84FA-0A8F3D1FA060}"/>
    <cellStyle name="Link Units (0)" xfId="147" xr:uid="{894BF955-F0BE-4B53-AED4-54D25EC8637D}"/>
    <cellStyle name="Link Units (1)" xfId="148" xr:uid="{4842FE69-E855-4E67-8619-8C737085A9D9}"/>
    <cellStyle name="Link Units (2)" xfId="149" xr:uid="{3174AB52-127B-4D6A-8377-945B7651E07C}"/>
    <cellStyle name="Linked Cell 2" xfId="150" xr:uid="{B2CC690A-862C-4314-9673-FBCB8110A830}"/>
    <cellStyle name="Linked Cell 3" xfId="151" xr:uid="{E5597572-1659-4773-82BF-4993B37CB01F}"/>
    <cellStyle name="Linked Cell 4" xfId="152" xr:uid="{BB896B25-962F-4046-857A-46D877C3DC6E}"/>
    <cellStyle name="Milliers [0]_!!!GO" xfId="153" xr:uid="{8E318814-8C8D-401C-8495-B47090BC3859}"/>
    <cellStyle name="Milliers_!!!GO" xfId="154" xr:uid="{61177B10-766F-4E90-85E6-30074413B93A}"/>
    <cellStyle name="Monétaire [0]_!!!GO" xfId="155" xr:uid="{76D545E5-ACB7-4551-8A7B-9FA9CFD6913C}"/>
    <cellStyle name="Monétaire_!!!GO" xfId="156" xr:uid="{BCCA394F-EC8C-4C82-A36A-B20BA060847F}"/>
    <cellStyle name="Neutral 2" xfId="157" xr:uid="{679B8C00-8939-45F0-90F3-C07AA72981D4}"/>
    <cellStyle name="Neutral 3" xfId="158" xr:uid="{73F01F54-A13D-4CDF-AD89-C82F5AB157BC}"/>
    <cellStyle name="Neutral 4" xfId="159" xr:uid="{45BCA9D2-0DAC-4C92-95E4-08C9D98C864F}"/>
    <cellStyle name="Normal" xfId="0" builtinId="0"/>
    <cellStyle name="Normal - Style1" xfId="160" xr:uid="{6A922793-A2F6-4C1C-BF7A-12D1936E7C0A}"/>
    <cellStyle name="Normal 15" xfId="161" xr:uid="{8E3D090B-C35E-43EA-BD38-8EF50B7B3559}"/>
    <cellStyle name="Normal 2" xfId="162" xr:uid="{B55502C9-121C-42CE-A610-48485A9E83C7}"/>
    <cellStyle name="Normal 2 2" xfId="163" xr:uid="{62EFF95C-4295-4CBB-B228-068CD78E7B6C}"/>
    <cellStyle name="Normal 3" xfId="164" xr:uid="{144F898F-BE23-4DBA-B0BA-333D58622F9C}"/>
    <cellStyle name="Normal 3 2" xfId="165" xr:uid="{BD04A69C-13F0-4DC4-BCFF-16EB94BDEEE7}"/>
    <cellStyle name="Normal 4" xfId="166" xr:uid="{9D694D4A-681B-40EB-B1BD-002DC1CBAD0B}"/>
    <cellStyle name="Normal 5" xfId="167" xr:uid="{9DC4521E-F783-4379-9E45-ECC20CDE6EDE}"/>
    <cellStyle name="Normal 6" xfId="168" xr:uid="{5D2FCADD-82B6-42A1-A06D-6E5084A228BE}"/>
    <cellStyle name="NORMAL(0)" xfId="169" xr:uid="{01AF5D75-F3E0-47BB-B0B7-E135C6CF3CCB}"/>
    <cellStyle name="Normal_Projections after expansion" xfId="170" xr:uid="{96657CF8-17F8-4109-A91F-C4F48BD48B87}"/>
    <cellStyle name="Note 2" xfId="171" xr:uid="{77BB5A4A-823B-441A-BB30-A6005FCC13EB}"/>
    <cellStyle name="Note 3" xfId="172" xr:uid="{F52956EA-3E3F-4EC1-A03A-1E32C5A5AA2B}"/>
    <cellStyle name="Note 4" xfId="173" xr:uid="{2964DB63-6BD5-4719-A68A-B6C456CF6044}"/>
    <cellStyle name="Output 2" xfId="174" xr:uid="{0428326D-2C15-4398-A6EB-96015006E0A6}"/>
    <cellStyle name="Output 3" xfId="175" xr:uid="{1618CA47-0C60-4A75-896B-F11AC97FF624}"/>
    <cellStyle name="Output 4" xfId="176" xr:uid="{9C98A132-DC70-4863-899B-B5818F341202}"/>
    <cellStyle name="Percent" xfId="177" builtinId="5"/>
    <cellStyle name="Percent [0]" xfId="178" xr:uid="{9BDB8EDA-F828-4598-BCA0-501B6BF5A134}"/>
    <cellStyle name="Percent [00]" xfId="179" xr:uid="{78470DD8-6443-4C91-8E9D-4D3B611C04C9}"/>
    <cellStyle name="Percent [2]" xfId="180" xr:uid="{0E5634EE-2086-46E0-B582-35CAE9C97D85}"/>
    <cellStyle name="Percent 2" xfId="181" xr:uid="{AAF65F3B-317E-4925-B65E-B6A97DBE1C34}"/>
    <cellStyle name="Percent 3" xfId="182" xr:uid="{B3012A5A-5A49-4A38-85FC-4DD9EF10E12F}"/>
    <cellStyle name="Percent 4" xfId="183" xr:uid="{2183939B-2DE6-4EC0-A87C-073EAFAF3B6D}"/>
    <cellStyle name="Percent 5" xfId="184" xr:uid="{75AFA04E-7F47-4729-8A1F-4449DBB68893}"/>
    <cellStyle name="Percent 5 2" xfId="185" xr:uid="{DA5FCABE-C514-41BB-80AF-B3160B7EA2B6}"/>
    <cellStyle name="PrePop Currency (0)" xfId="186" xr:uid="{9E901955-FA99-42A0-940F-80AE959E609A}"/>
    <cellStyle name="PrePop Currency (2)" xfId="187" xr:uid="{B3176E5C-1DC6-4EBB-9AD8-22DD06A2BFC4}"/>
    <cellStyle name="PrePop Units (0)" xfId="188" xr:uid="{AE944831-E829-4779-A95C-F6FDD6BB32B9}"/>
    <cellStyle name="PrePop Units (1)" xfId="189" xr:uid="{DA85258A-B5A0-4EF2-A09C-9A912107C3BB}"/>
    <cellStyle name="PrePop Units (2)" xfId="190" xr:uid="{DA78F12C-C646-407E-B760-B4574108A44D}"/>
    <cellStyle name="PSChar" xfId="191" xr:uid="{6F57B66B-C46B-4AEF-A278-2C35ECE8F054}"/>
    <cellStyle name="PSDate" xfId="192" xr:uid="{2B9BB5E0-2F5C-4E27-9B1B-3D74B53A927C}"/>
    <cellStyle name="PSDec" xfId="193" xr:uid="{503D3B70-E11E-4C86-9B28-9FFF82570358}"/>
    <cellStyle name="PSHeading" xfId="194" xr:uid="{0D2A67EE-7ED1-434C-8CB7-0513637B3B77}"/>
    <cellStyle name="PSInt" xfId="195" xr:uid="{569719C8-22AA-4DC4-A707-B354515D9765}"/>
    <cellStyle name="PSSpacer" xfId="196" xr:uid="{BCFCACF3-2C0A-431F-B416-E6C3BA6971C4}"/>
    <cellStyle name="STANDARD" xfId="197" xr:uid="{A009B8CB-E686-4C38-B248-A3D0BD31FE60}"/>
    <cellStyle name="Text Indent A" xfId="198" xr:uid="{DC026F44-8FA5-4EF8-ADED-A0EBB4628207}"/>
    <cellStyle name="Text Indent B" xfId="199" xr:uid="{D14DEEE1-96CE-4547-A7B4-4595C177D9FA}"/>
    <cellStyle name="Text Indent C" xfId="200" xr:uid="{F99DC6AA-C303-433D-BA04-C57B076C7834}"/>
    <cellStyle name="Title 2" xfId="201" xr:uid="{04BFDD00-D347-4C72-881F-BA530A475A9A}"/>
    <cellStyle name="Title 3" xfId="202" xr:uid="{360B5D7C-0974-4039-9512-B5A618489A60}"/>
    <cellStyle name="Title 4" xfId="203" xr:uid="{26D139AD-AC59-470E-A20A-6C7703BE70A5}"/>
    <cellStyle name="Total 2" xfId="204" xr:uid="{391C09C8-805B-4DA8-B453-9D9EA51865F8}"/>
    <cellStyle name="Total 3" xfId="205" xr:uid="{8EF67FC4-3252-42E6-8700-BAA2E915C07F}"/>
    <cellStyle name="Total 4" xfId="206" xr:uid="{7EE10EC1-AD9A-4BE8-9025-1CD9E1352488}"/>
    <cellStyle name="Warning Text 2" xfId="207" xr:uid="{C4844E0D-9A3E-49C5-B5A1-670C2099DC1D}"/>
    <cellStyle name="Warning Text 3" xfId="208" xr:uid="{5457078B-F136-4717-AAC0-06FBE0E082F8}"/>
    <cellStyle name="Warning Text 4" xfId="209" xr:uid="{1CA64EF6-1564-4DEB-9C41-12F2D5B10AF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0</xdr:col>
      <xdr:colOff>2011680</xdr:colOff>
      <xdr:row>2</xdr:row>
      <xdr:rowOff>0</xdr:rowOff>
    </xdr:from>
    <xdr:to>
      <xdr:col>0</xdr:col>
      <xdr:colOff>2012040</xdr:colOff>
      <xdr:row>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9F22C4E-F198-AA02-D7D7-6872663447EC}"/>
                </a:ext>
              </a:extLst>
            </xdr14:cNvPr>
            <xdr14:cNvContentPartPr/>
          </xdr14:nvContentPartPr>
          <xdr14:nvPr macro=""/>
          <xdr14:xfrm>
            <a:off x="2011680" y="1464480"/>
            <a:ext cx="360" cy="360"/>
          </xdr14:xfrm>
        </xdr:contentPart>
      </mc:Choice>
      <mc:Fallback xmlns="">
        <xdr:pic>
          <xdr:nvPicPr>
            <xdr:cNvPr id="2" name="Ink 1">
              <a:extLst>
                <a:ext uri="{FF2B5EF4-FFF2-40B4-BE49-F238E27FC236}">
                  <a16:creationId xmlns:a16="http://schemas.microsoft.com/office/drawing/2014/main" id="{C9F22C4E-F198-AA02-D7D7-6872663447EC}"/>
                </a:ext>
              </a:extLst>
            </xdr:cNvPr>
            <xdr:cNvPicPr/>
          </xdr:nvPicPr>
          <xdr:blipFill>
            <a:blip xmlns:r="http://schemas.openxmlformats.org/officeDocument/2006/relationships" r:embed="rId2"/>
            <a:stretch>
              <a:fillRect/>
            </a:stretch>
          </xdr:blipFill>
          <xdr:spPr>
            <a:xfrm>
              <a:off x="2002680" y="1455480"/>
              <a:ext cx="18000" cy="1800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OCUME~1\ADMINI~1\LOCALS~1\Temp\notes27425E\Imp.%20folder%20-%20Ajay%20Latawa\Bank\P%20N%20B\Term%20Loan\Term%20Loan%20CMA%202004%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astprj\final\astprj\final\Vijay\vs\24rapdobb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ech-pc/Desktop/Office/Virgo%20Group/2014-15/Virgo%20Boards%20Limited/Statutory%20Audit/Final%20Set/BS_31-03-2015_VB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SANJAY%20JAIN\AppData\Local\Microsoft\Windows\Temporary%20Internet%20Files\Content.IE5\Y32NXHTA\Bhanwar%20Data\Naraingarh%20Sugar%20Mills\Distillery\Integrated%20Sugar%20Complex%20-%202.04.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 CAP"/>
      <sheetName val="FIN"/>
      <sheetName val="Assumption"/>
      <sheetName val="Ibu Raw"/>
      <sheetName val="Raw Mat"/>
      <sheetName val="OTHER DETAILS"/>
    </sheetNames>
    <sheetDataSet>
      <sheetData sheetId="0" refreshError="1"/>
      <sheetData sheetId="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ix"/>
      <sheetName val="formixb"/>
      <sheetName val="formx"/>
      <sheetName val="FMXI"/>
      <sheetName val="FMXIIB"/>
      <sheetName val="formxiiD"/>
      <sheetName val="CASH_XIV"/>
      <sheetName val="CONSUMABLES_7"/>
      <sheetName val="DSCR_17"/>
      <sheetName val="INTRST_XIIC"/>
      <sheetName val="MISC_1d"/>
      <sheetName val="UTILITIES_8"/>
      <sheetName val="ASSUM"/>
      <sheetName val="fmi"/>
      <sheetName val="fmii"/>
      <sheetName val="fmiii"/>
      <sheetName val="fmiv"/>
      <sheetName val="fmv"/>
      <sheetName val="formvi&amp;vii"/>
      <sheetName val="F.FLOW"/>
      <sheetName val="formviii"/>
      <sheetName val="form ix"/>
      <sheetName val="formixa"/>
      <sheetName val="form ixb"/>
      <sheetName val="FM XI"/>
      <sheetName val="FM XIIB"/>
      <sheetName val="form xiiD"/>
      <sheetName val="BAL-XV"/>
      <sheetName val="BREAKXIIG"/>
      <sheetName val="CASH-XIV"/>
      <sheetName val="COMITMENT"/>
      <sheetName val="CONSUMABLES-7"/>
      <sheetName val="DSCR-17"/>
      <sheetName val="GLANCE"/>
      <sheetName val="Budgetupdate"/>
      <sheetName val="intrstuf"/>
      <sheetName val="INTRST-XIIC"/>
      <sheetName val="IRR"/>
      <sheetName val="MISC.1d"/>
      <sheetName val="P-Summary"/>
      <sheetName val="Pay-Back"/>
      <sheetName val="P.PLAN"/>
      <sheetName val="QTN"/>
      <sheetName val="RATIO-XIX"/>
      <sheetName val="SALESXIIB"/>
      <sheetName val="SS1"/>
      <sheetName val="SS2"/>
      <sheetName val="TAX_CL"/>
      <sheetName val="UNT_CP-19"/>
      <sheetName val="UTILITIES-8"/>
      <sheetName val="P&amp;L"/>
      <sheetName val="GRAPHS"/>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SPL"/>
      <sheetName val="CFS"/>
      <sheetName val="Note 1"/>
      <sheetName val="Note 2 &amp; 3"/>
      <sheetName val="Note 4 to 9"/>
      <sheetName val="Note 10"/>
      <sheetName val="Note 11 to 15"/>
      <sheetName val="Note 15 to 20"/>
      <sheetName val="Note 21 &amp; 22"/>
      <sheetName val="Note 23"/>
      <sheetName val="Note 24 to 30"/>
      <sheetName val="Rate"/>
      <sheetName val="Stock Tally"/>
      <sheetName val="Trial"/>
      <sheetName val="FAR"/>
      <sheetName val="Sundry Debtors"/>
      <sheetName val="Def Tax"/>
      <sheetName val="Stock working"/>
      <sheetName val="IT Dep"/>
      <sheetName val="Tax comp"/>
      <sheetName val="EPS"/>
      <sheetName val="Sheet3"/>
      <sheetName val="debtors"/>
      <sheetName val="Sundry Creditors"/>
      <sheetName val="HDFC Term Loan"/>
      <sheetName val="TB 14-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7">
          <cell r="I7" t="str">
            <v>Single</v>
          </cell>
          <cell r="J7" t="str">
            <v>W.D.V.</v>
          </cell>
        </row>
        <row r="8">
          <cell r="I8" t="str">
            <v>Double</v>
          </cell>
          <cell r="J8" t="str">
            <v>S.L.M.</v>
          </cell>
        </row>
        <row r="9">
          <cell r="I9" t="str">
            <v>Triple</v>
          </cell>
        </row>
      </sheetData>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Sugar"/>
      <sheetName val="Sugar Expansion"/>
      <sheetName val="Project Sugar"/>
      <sheetName val="Distillery"/>
      <sheetName val="Power"/>
      <sheetName val="Project Standalone"/>
      <sheetName val="Consolidated P&amp;L"/>
      <sheetName val="BS"/>
      <sheetName val="CF"/>
      <sheetName val="TAX"/>
      <sheetName val="TL"/>
      <sheetName val="Dep_SLM"/>
      <sheetName val="Dep_WDV"/>
      <sheetName val="BUILDING"/>
      <sheetName val="IND"/>
      <sheetName val="MFA"/>
      <sheetName val="Project Cost"/>
      <sheetName val="MOF"/>
      <sheetName val="DEP_sugar"/>
      <sheetName val="DEP_distillery"/>
      <sheetName val="DEP_power"/>
      <sheetName val="Sheet2"/>
    </sheetNames>
    <sheetDataSet>
      <sheetData sheetId="0" refreshError="1"/>
      <sheetData sheetId="1" refreshError="1"/>
      <sheetData sheetId="2" refreshError="1"/>
      <sheetData sheetId="3" refreshError="1"/>
      <sheetData sheetId="4" refreshError="1"/>
      <sheetData sheetId="5" refreshError="1"/>
      <sheetData sheetId="6" refreshError="1">
        <row r="42">
          <cell r="A42" t="str">
            <v>PBDIT%</v>
          </cell>
        </row>
        <row r="44">
          <cell r="A44" t="str">
            <v>PBIT%</v>
          </cell>
        </row>
        <row r="45">
          <cell r="A45" t="str">
            <v>PBT%</v>
          </cell>
        </row>
        <row r="46">
          <cell r="A46" t="str">
            <v>PAT%</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03T08:54:58.677"/>
    </inkml:context>
    <inkml:brush xml:id="br0">
      <inkml:brushProperty name="width" value="0.05" units="cm"/>
      <inkml:brushProperty name="height" value="0.05" units="cm"/>
    </inkml:brush>
  </inkml:definitions>
  <inkml:trace contextRef="#ctx0" brushRef="#br0">0 0 2304 0 0</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AE7B-770F-405A-8EB7-F4C2B63B1B32}">
  <sheetPr>
    <tabColor rgb="FF92D050"/>
    <pageSetUpPr fitToPage="1"/>
  </sheetPr>
  <dimension ref="A2:L15"/>
  <sheetViews>
    <sheetView showGridLines="0" view="pageBreakPreview" zoomScale="85" zoomScaleNormal="100" zoomScaleSheetLayoutView="100" workbookViewId="0">
      <selection activeCell="I9" sqref="I9"/>
    </sheetView>
  </sheetViews>
  <sheetFormatPr defaultColWidth="8.7109375" defaultRowHeight="14.25" x14ac:dyDescent="0.25"/>
  <cols>
    <col min="1" max="7" width="8.7109375" style="70"/>
    <col min="8" max="8" width="33.28515625" style="70" customWidth="1"/>
    <col min="9" max="9" width="11.5703125" style="70" bestFit="1" customWidth="1"/>
    <col min="10" max="10" width="9.85546875" style="70" bestFit="1" customWidth="1"/>
    <col min="11" max="16384" width="8.7109375" style="70"/>
  </cols>
  <sheetData>
    <row r="2" spans="1:12" ht="15" x14ac:dyDescent="0.25">
      <c r="A2" s="69" t="s">
        <v>77</v>
      </c>
    </row>
    <row r="3" spans="1:12" ht="15" thickBot="1" x14ac:dyDescent="0.3"/>
    <row r="4" spans="1:12" ht="15.75" thickBot="1" x14ac:dyDescent="0.3">
      <c r="A4" s="272" t="s">
        <v>41</v>
      </c>
      <c r="B4" s="439" t="s">
        <v>35</v>
      </c>
      <c r="C4" s="440"/>
      <c r="D4" s="440"/>
      <c r="E4" s="440"/>
      <c r="F4" s="440"/>
      <c r="G4" s="440"/>
      <c r="H4" s="441"/>
      <c r="I4" s="272" t="s">
        <v>42</v>
      </c>
    </row>
    <row r="5" spans="1:12" x14ac:dyDescent="0.25">
      <c r="A5" s="273">
        <v>1</v>
      </c>
      <c r="B5" s="442" t="s">
        <v>67</v>
      </c>
      <c r="C5" s="442"/>
      <c r="D5" s="442"/>
      <c r="E5" s="442"/>
      <c r="F5" s="442"/>
      <c r="G5" s="442"/>
      <c r="H5" s="443"/>
      <c r="I5" s="71">
        <v>45748</v>
      </c>
    </row>
    <row r="6" spans="1:12" x14ac:dyDescent="0.25">
      <c r="A6" s="274">
        <f>A5+1</f>
        <v>2</v>
      </c>
      <c r="B6" s="444" t="s">
        <v>155</v>
      </c>
      <c r="C6" s="444"/>
      <c r="D6" s="444"/>
      <c r="E6" s="444"/>
      <c r="F6" s="444"/>
      <c r="G6" s="444"/>
      <c r="H6" s="445"/>
      <c r="I6" s="72">
        <v>3</v>
      </c>
    </row>
    <row r="7" spans="1:12" x14ac:dyDescent="0.25">
      <c r="A7" s="274"/>
      <c r="B7" s="70" t="s">
        <v>80</v>
      </c>
      <c r="H7" s="275"/>
      <c r="I7" s="72"/>
    </row>
    <row r="8" spans="1:12" x14ac:dyDescent="0.25">
      <c r="A8" s="274">
        <f>A6+1</f>
        <v>3</v>
      </c>
      <c r="B8" s="444" t="s">
        <v>207</v>
      </c>
      <c r="C8" s="444"/>
      <c r="D8" s="444"/>
      <c r="E8" s="444"/>
      <c r="F8" s="444"/>
      <c r="G8" s="444"/>
      <c r="H8" s="445"/>
      <c r="I8" s="73">
        <v>0.1</v>
      </c>
    </row>
    <row r="9" spans="1:12" x14ac:dyDescent="0.25">
      <c r="A9" s="274">
        <f>A8+1</f>
        <v>4</v>
      </c>
      <c r="B9" s="70" t="s">
        <v>209</v>
      </c>
      <c r="H9" s="275"/>
      <c r="I9" s="85">
        <v>84</v>
      </c>
    </row>
    <row r="10" spans="1:12" x14ac:dyDescent="0.25">
      <c r="A10" s="274">
        <v>5</v>
      </c>
      <c r="B10" s="444" t="s">
        <v>208</v>
      </c>
      <c r="C10" s="444"/>
      <c r="D10" s="444"/>
      <c r="E10" s="444"/>
      <c r="F10" s="444"/>
      <c r="G10" s="444"/>
      <c r="H10" s="445"/>
      <c r="I10" s="74">
        <v>81</v>
      </c>
    </row>
    <row r="11" spans="1:12" x14ac:dyDescent="0.25">
      <c r="A11" s="274">
        <f>A10+1</f>
        <v>6</v>
      </c>
      <c r="B11" s="444" t="s">
        <v>162</v>
      </c>
      <c r="C11" s="444"/>
      <c r="D11" s="444"/>
      <c r="E11" s="444"/>
      <c r="F11" s="444"/>
      <c r="G11" s="444"/>
      <c r="H11" s="445"/>
      <c r="I11" s="270">
        <f>'PNB Bank TL (New)'!H11</f>
        <v>0.98765432098765427</v>
      </c>
      <c r="J11" s="84" t="s">
        <v>66</v>
      </c>
    </row>
    <row r="12" spans="1:12" x14ac:dyDescent="0.25">
      <c r="A12" s="274">
        <v>7</v>
      </c>
      <c r="B12" s="276" t="s">
        <v>184</v>
      </c>
      <c r="C12" s="277"/>
      <c r="D12" s="277"/>
      <c r="E12" s="277"/>
      <c r="F12" s="277"/>
      <c r="G12" s="277"/>
      <c r="H12" s="278"/>
      <c r="I12" s="72">
        <v>300</v>
      </c>
      <c r="L12" s="70" t="s">
        <v>66</v>
      </c>
    </row>
    <row r="13" spans="1:12" ht="45" customHeight="1" x14ac:dyDescent="0.25">
      <c r="A13" s="274">
        <v>8</v>
      </c>
      <c r="B13" s="449" t="s">
        <v>94</v>
      </c>
      <c r="C13" s="450"/>
      <c r="D13" s="450"/>
      <c r="E13" s="450"/>
      <c r="F13" s="450"/>
      <c r="G13" s="450"/>
      <c r="H13" s="451"/>
      <c r="I13" s="74"/>
    </row>
    <row r="14" spans="1:12" ht="31.9" customHeight="1" x14ac:dyDescent="0.25">
      <c r="A14" s="274">
        <v>9</v>
      </c>
      <c r="B14" s="449" t="s">
        <v>134</v>
      </c>
      <c r="C14" s="450"/>
      <c r="D14" s="450"/>
      <c r="E14" s="450"/>
      <c r="F14" s="450"/>
      <c r="G14" s="450"/>
      <c r="H14" s="451"/>
      <c r="I14" s="377"/>
    </row>
    <row r="15" spans="1:12" ht="34.5" customHeight="1" thickBot="1" x14ac:dyDescent="0.3">
      <c r="A15" s="279">
        <f>A14+1</f>
        <v>10</v>
      </c>
      <c r="B15" s="446" t="s">
        <v>233</v>
      </c>
      <c r="C15" s="447"/>
      <c r="D15" s="447"/>
      <c r="E15" s="447"/>
      <c r="F15" s="447"/>
      <c r="G15" s="447"/>
      <c r="H15" s="448"/>
      <c r="I15" s="434"/>
    </row>
  </sheetData>
  <mergeCells count="9">
    <mergeCell ref="B4:H4"/>
    <mergeCell ref="B5:H5"/>
    <mergeCell ref="B6:H6"/>
    <mergeCell ref="B15:H15"/>
    <mergeCell ref="B13:H13"/>
    <mergeCell ref="B14:H14"/>
    <mergeCell ref="B11:H11"/>
    <mergeCell ref="B8:H8"/>
    <mergeCell ref="B10:H10"/>
  </mergeCells>
  <printOptions horizontalCentered="1"/>
  <pageMargins left="0.51181102362204722" right="0.51181102362204722" top="0.74803149606299213" bottom="0.74803149606299213" header="0.31496062992125984" footer="0.31496062992125984"/>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B9D69-76BC-4320-84BF-D56047C1A3B1}">
  <sheetPr>
    <tabColor rgb="FF92D050"/>
  </sheetPr>
  <dimension ref="B2:M25"/>
  <sheetViews>
    <sheetView view="pageBreakPreview" zoomScale="110" zoomScaleNormal="100" zoomScaleSheetLayoutView="110" workbookViewId="0">
      <selection activeCell="B3" sqref="B3:F3"/>
    </sheetView>
  </sheetViews>
  <sheetFormatPr defaultColWidth="8.7109375" defaultRowHeight="15" x14ac:dyDescent="0.3"/>
  <cols>
    <col min="1" max="1" width="3.7109375" style="130" customWidth="1"/>
    <col min="2" max="2" width="7" style="130" bestFit="1" customWidth="1"/>
    <col min="3" max="3" width="72.7109375" style="130" bestFit="1" customWidth="1"/>
    <col min="4" max="4" width="23" style="130" bestFit="1" customWidth="1"/>
    <col min="5" max="6" width="26.42578125" style="130" customWidth="1"/>
    <col min="7" max="7" width="3" style="130" bestFit="1" customWidth="1"/>
    <col min="8" max="8" width="10.28515625" style="130" bestFit="1" customWidth="1"/>
    <col min="9" max="9" width="10" style="130" bestFit="1" customWidth="1"/>
    <col min="10" max="10" width="11" style="130" bestFit="1" customWidth="1"/>
    <col min="11" max="11" width="8.7109375" style="130"/>
    <col min="12" max="12" width="11.28515625" style="130" bestFit="1" customWidth="1"/>
    <col min="13" max="13" width="4.85546875" style="130" bestFit="1" customWidth="1"/>
    <col min="14" max="16384" width="8.7109375" style="130"/>
  </cols>
  <sheetData>
    <row r="2" spans="2:13" ht="20.25" x14ac:dyDescent="0.3">
      <c r="B2" s="476" t="s">
        <v>156</v>
      </c>
      <c r="C2" s="476"/>
      <c r="D2" s="476"/>
      <c r="E2" s="476"/>
      <c r="F2" s="476"/>
      <c r="G2" s="166"/>
      <c r="H2" s="166"/>
      <c r="I2" s="166"/>
      <c r="J2" s="166"/>
      <c r="K2" s="166"/>
    </row>
    <row r="3" spans="2:13" ht="20.25" x14ac:dyDescent="0.3">
      <c r="B3" s="476" t="str">
        <f>DSCR!A2</f>
        <v xml:space="preserve"> village sandoli post office makri markand Teh sadar district bilaspur</v>
      </c>
      <c r="C3" s="476"/>
      <c r="D3" s="476"/>
      <c r="E3" s="476"/>
      <c r="F3" s="476"/>
      <c r="G3" s="166"/>
      <c r="H3" s="166"/>
      <c r="I3" s="166"/>
      <c r="J3" s="166"/>
      <c r="K3" s="166"/>
    </row>
    <row r="4" spans="2:13" ht="9" customHeight="1" x14ac:dyDescent="0.3">
      <c r="B4" s="116"/>
      <c r="C4" s="116"/>
      <c r="D4" s="116"/>
      <c r="E4" s="116"/>
      <c r="F4" s="116"/>
      <c r="G4" s="116"/>
      <c r="H4" s="116"/>
      <c r="I4" s="116"/>
      <c r="J4" s="116"/>
      <c r="K4" s="116"/>
    </row>
    <row r="5" spans="2:13" x14ac:dyDescent="0.3">
      <c r="B5" s="367" t="s">
        <v>117</v>
      </c>
      <c r="C5" s="368" t="s">
        <v>192</v>
      </c>
      <c r="D5" s="367" t="s">
        <v>231</v>
      </c>
      <c r="E5" s="369" t="s">
        <v>232</v>
      </c>
      <c r="F5" s="369" t="s">
        <v>118</v>
      </c>
    </row>
    <row r="6" spans="2:13" x14ac:dyDescent="0.3">
      <c r="B6" s="477" t="s">
        <v>190</v>
      </c>
      <c r="C6" s="478"/>
      <c r="D6" s="478"/>
      <c r="E6" s="478"/>
      <c r="F6" s="479"/>
      <c r="G6" s="133"/>
      <c r="M6" s="133"/>
    </row>
    <row r="7" spans="2:13" ht="16.5" x14ac:dyDescent="0.3">
      <c r="B7" s="367">
        <v>1</v>
      </c>
      <c r="C7" s="371" t="s">
        <v>215</v>
      </c>
      <c r="D7" s="366" t="s">
        <v>216</v>
      </c>
      <c r="E7" s="365">
        <v>2500000</v>
      </c>
      <c r="F7" s="376">
        <f>E7/100000</f>
        <v>25</v>
      </c>
      <c r="G7" s="133"/>
      <c r="M7" s="133"/>
    </row>
    <row r="8" spans="2:13" ht="16.5" x14ac:dyDescent="0.3">
      <c r="B8" s="367">
        <v>2</v>
      </c>
      <c r="C8" s="371" t="s">
        <v>217</v>
      </c>
      <c r="D8" s="366" t="s">
        <v>216</v>
      </c>
      <c r="E8" s="365">
        <v>1600000</v>
      </c>
      <c r="F8" s="370">
        <f t="shared" ref="F8:F19" si="0">E8/100000</f>
        <v>16</v>
      </c>
      <c r="G8" s="133"/>
      <c r="M8" s="133"/>
    </row>
    <row r="9" spans="2:13" ht="16.5" x14ac:dyDescent="0.3">
      <c r="B9" s="367">
        <v>3</v>
      </c>
      <c r="C9" s="371" t="s">
        <v>218</v>
      </c>
      <c r="D9" s="366" t="s">
        <v>216</v>
      </c>
      <c r="E9" s="365">
        <v>650000</v>
      </c>
      <c r="F9" s="370">
        <f t="shared" si="0"/>
        <v>6.5</v>
      </c>
      <c r="G9" s="133"/>
      <c r="M9" s="133"/>
    </row>
    <row r="10" spans="2:13" ht="16.5" x14ac:dyDescent="0.3">
      <c r="B10" s="367">
        <v>4</v>
      </c>
      <c r="C10" s="371" t="s">
        <v>219</v>
      </c>
      <c r="D10" s="366" t="s">
        <v>216</v>
      </c>
      <c r="E10" s="365">
        <v>750000</v>
      </c>
      <c r="F10" s="370">
        <f t="shared" si="0"/>
        <v>7.5</v>
      </c>
      <c r="G10" s="133"/>
      <c r="M10" s="133"/>
    </row>
    <row r="11" spans="2:13" ht="16.5" x14ac:dyDescent="0.3">
      <c r="B11" s="367">
        <v>5</v>
      </c>
      <c r="C11" s="371" t="s">
        <v>220</v>
      </c>
      <c r="D11" s="366" t="s">
        <v>221</v>
      </c>
      <c r="E11" s="365">
        <v>1025000</v>
      </c>
      <c r="F11" s="370">
        <f t="shared" si="0"/>
        <v>10.25</v>
      </c>
      <c r="G11" s="133"/>
      <c r="M11" s="133"/>
    </row>
    <row r="12" spans="2:13" ht="16.5" x14ac:dyDescent="0.3">
      <c r="B12" s="367">
        <v>6</v>
      </c>
      <c r="C12" s="371" t="s">
        <v>222</v>
      </c>
      <c r="D12" s="366" t="s">
        <v>216</v>
      </c>
      <c r="E12" s="365">
        <v>325000</v>
      </c>
      <c r="F12" s="370">
        <f t="shared" si="0"/>
        <v>3.25</v>
      </c>
      <c r="G12" s="133"/>
      <c r="M12" s="133"/>
    </row>
    <row r="13" spans="2:13" ht="16.5" x14ac:dyDescent="0.3">
      <c r="B13" s="367">
        <v>7</v>
      </c>
      <c r="C13" s="371" t="s">
        <v>223</v>
      </c>
      <c r="D13" s="366" t="s">
        <v>224</v>
      </c>
      <c r="E13" s="365">
        <v>1685000</v>
      </c>
      <c r="F13" s="370">
        <f t="shared" si="0"/>
        <v>16.850000000000001</v>
      </c>
      <c r="G13" s="133"/>
      <c r="M13" s="133"/>
    </row>
    <row r="14" spans="2:13" ht="16.5" x14ac:dyDescent="0.3">
      <c r="B14" s="367">
        <v>8</v>
      </c>
      <c r="C14" s="371" t="s">
        <v>225</v>
      </c>
      <c r="D14" s="366" t="s">
        <v>226</v>
      </c>
      <c r="E14" s="365">
        <v>897000</v>
      </c>
      <c r="F14" s="370">
        <f t="shared" si="0"/>
        <v>8.9700000000000006</v>
      </c>
      <c r="G14" s="133"/>
      <c r="M14" s="133"/>
    </row>
    <row r="15" spans="2:13" ht="16.5" x14ac:dyDescent="0.3">
      <c r="B15" s="367">
        <v>9</v>
      </c>
      <c r="C15" s="371" t="s">
        <v>227</v>
      </c>
      <c r="D15" s="366" t="s">
        <v>228</v>
      </c>
      <c r="E15" s="365">
        <v>650000</v>
      </c>
      <c r="F15" s="370">
        <f t="shared" si="0"/>
        <v>6.5</v>
      </c>
      <c r="G15" s="133"/>
      <c r="M15" s="133"/>
    </row>
    <row r="16" spans="2:13" ht="16.5" x14ac:dyDescent="0.3">
      <c r="B16" s="367">
        <v>10</v>
      </c>
      <c r="C16" s="371" t="s">
        <v>229</v>
      </c>
      <c r="D16" s="366"/>
      <c r="E16" s="365">
        <v>675000</v>
      </c>
      <c r="F16" s="370">
        <f t="shared" si="0"/>
        <v>6.75</v>
      </c>
      <c r="G16" s="133"/>
      <c r="M16" s="133"/>
    </row>
    <row r="17" spans="2:13" ht="16.5" x14ac:dyDescent="0.3">
      <c r="B17" s="367">
        <v>11</v>
      </c>
      <c r="C17" s="371" t="s">
        <v>230</v>
      </c>
      <c r="D17" s="366" t="s">
        <v>216</v>
      </c>
      <c r="E17" s="365">
        <v>850000</v>
      </c>
      <c r="F17" s="370">
        <f t="shared" si="0"/>
        <v>8.5</v>
      </c>
      <c r="G17" s="133"/>
      <c r="M17" s="133"/>
    </row>
    <row r="18" spans="2:13" ht="16.5" x14ac:dyDescent="0.3">
      <c r="B18" s="367"/>
      <c r="C18" s="372" t="s">
        <v>214</v>
      </c>
      <c r="D18" s="365"/>
      <c r="E18" s="373">
        <f>SUM(E7:E17)*18%</f>
        <v>2089260</v>
      </c>
      <c r="F18" s="370">
        <f t="shared" si="0"/>
        <v>20.892600000000002</v>
      </c>
      <c r="L18" s="267"/>
    </row>
    <row r="19" spans="2:13" ht="16.5" x14ac:dyDescent="0.3">
      <c r="B19" s="435">
        <v>12</v>
      </c>
      <c r="C19" s="436" t="s">
        <v>237</v>
      </c>
      <c r="D19" s="437"/>
      <c r="E19" s="438">
        <v>6000000</v>
      </c>
      <c r="F19" s="370">
        <f t="shared" si="0"/>
        <v>60</v>
      </c>
      <c r="L19" s="267"/>
    </row>
    <row r="20" spans="2:13" ht="16.5" x14ac:dyDescent="0.3">
      <c r="B20" s="374"/>
      <c r="C20" s="477" t="s">
        <v>191</v>
      </c>
      <c r="D20" s="479"/>
      <c r="E20" s="375">
        <f>SUM(E7:E19)</f>
        <v>19696260</v>
      </c>
      <c r="F20" s="375">
        <f>SUM(F7:F19)</f>
        <v>196.96260000000001</v>
      </c>
      <c r="G20" s="133" t="s">
        <v>66</v>
      </c>
    </row>
    <row r="21" spans="2:13" ht="15.75" customHeight="1" x14ac:dyDescent="0.3">
      <c r="B21" s="480"/>
      <c r="C21" s="480"/>
      <c r="D21" s="480"/>
      <c r="E21" s="117"/>
      <c r="G21" s="267" t="s">
        <v>66</v>
      </c>
      <c r="H21" s="268"/>
    </row>
    <row r="22" spans="2:13" ht="16.5" x14ac:dyDescent="0.3">
      <c r="B22"/>
      <c r="C22" s="131"/>
      <c r="D22"/>
    </row>
    <row r="25" spans="2:13" ht="15.75" x14ac:dyDescent="0.3">
      <c r="C25"/>
    </row>
  </sheetData>
  <mergeCells count="5">
    <mergeCell ref="B2:F2"/>
    <mergeCell ref="B3:F3"/>
    <mergeCell ref="B6:F6"/>
    <mergeCell ref="C20:D20"/>
    <mergeCell ref="B21:D21"/>
  </mergeCells>
  <pageMargins left="0.70866141732283472" right="0.70866141732283472" top="0.74803149606299213" bottom="0.74803149606299213" header="0.31496062992125984" footer="0.31496062992125984"/>
  <pageSetup paperSize="9" scale="56" orientation="portrait" r:id="rId1"/>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A453-5BAB-405F-BA36-721A40340A74}">
  <sheetPr>
    <tabColor rgb="FF00B050"/>
  </sheetPr>
  <dimension ref="A1:O11"/>
  <sheetViews>
    <sheetView showGridLines="0" tabSelected="1" view="pageBreakPreview" zoomScale="90" zoomScaleNormal="100" zoomScaleSheetLayoutView="90" workbookViewId="0">
      <selection activeCell="A2" sqref="A2:I2"/>
    </sheetView>
  </sheetViews>
  <sheetFormatPr defaultRowHeight="15" x14ac:dyDescent="0.25"/>
  <cols>
    <col min="1" max="1" width="38.7109375" bestFit="1" customWidth="1"/>
    <col min="2" max="2" width="17.7109375" bestFit="1" customWidth="1"/>
    <col min="3" max="3" width="20.28515625" bestFit="1" customWidth="1"/>
    <col min="4" max="4" width="18.28515625" bestFit="1" customWidth="1"/>
    <col min="5" max="5" width="19.28515625" bestFit="1" customWidth="1"/>
    <col min="6" max="6" width="32.28515625" bestFit="1" customWidth="1"/>
    <col min="7" max="7" width="26.5703125" bestFit="1" customWidth="1"/>
    <col min="8" max="8" width="19.28515625" customWidth="1"/>
    <col min="9" max="9" width="21.28515625" customWidth="1"/>
    <col min="10" max="10" width="29.28515625" bestFit="1" customWidth="1"/>
    <col min="11" max="11" width="40.28515625" bestFit="1" customWidth="1"/>
    <col min="12" max="12" width="50.7109375" bestFit="1" customWidth="1"/>
    <col min="13" max="13" width="60.7109375" bestFit="1" customWidth="1"/>
    <col min="14" max="14" width="72.5703125" bestFit="1" customWidth="1"/>
    <col min="15" max="15" width="84.7109375" bestFit="1" customWidth="1"/>
  </cols>
  <sheetData>
    <row r="1" spans="1:15" ht="15.75" x14ac:dyDescent="0.25">
      <c r="A1" s="476" t="s">
        <v>156</v>
      </c>
      <c r="B1" s="476"/>
      <c r="C1" s="476"/>
      <c r="D1" s="476"/>
      <c r="E1" s="476"/>
      <c r="F1" s="476"/>
      <c r="G1" s="476"/>
      <c r="H1" s="476"/>
      <c r="I1" s="476"/>
    </row>
    <row r="2" spans="1:15" ht="15.75" x14ac:dyDescent="0.25">
      <c r="A2" s="483" t="str">
        <f>'Capex- Plant'!B3:B3</f>
        <v xml:space="preserve"> village sandoli post office makri markand Teh sadar district bilaspur</v>
      </c>
      <c r="B2" s="484"/>
      <c r="C2" s="484"/>
      <c r="D2" s="484"/>
      <c r="E2" s="484"/>
      <c r="F2" s="484"/>
      <c r="G2" s="484"/>
      <c r="H2" s="484"/>
      <c r="I2" s="484"/>
    </row>
    <row r="3" spans="1:15" ht="15.75" thickBot="1" x14ac:dyDescent="0.3"/>
    <row r="4" spans="1:15" ht="18.600000000000001" customHeight="1" thickBot="1" x14ac:dyDescent="0.3">
      <c r="A4" s="485" t="s">
        <v>35</v>
      </c>
      <c r="B4" s="486" t="s">
        <v>193</v>
      </c>
      <c r="C4" s="486" t="s">
        <v>234</v>
      </c>
      <c r="D4" s="488" t="s">
        <v>194</v>
      </c>
      <c r="E4" s="489"/>
      <c r="F4" s="486" t="s">
        <v>195</v>
      </c>
      <c r="G4" s="481" t="s">
        <v>198</v>
      </c>
      <c r="H4" s="481" t="s">
        <v>199</v>
      </c>
      <c r="I4" s="481" t="s">
        <v>200</v>
      </c>
      <c r="J4" s="481" t="s">
        <v>201</v>
      </c>
      <c r="K4" s="481" t="s">
        <v>202</v>
      </c>
      <c r="L4" s="481" t="s">
        <v>203</v>
      </c>
      <c r="M4" s="481" t="s">
        <v>204</v>
      </c>
      <c r="N4" s="481" t="s">
        <v>204</v>
      </c>
      <c r="O4" s="481" t="s">
        <v>205</v>
      </c>
    </row>
    <row r="5" spans="1:15" ht="19.5" thickBot="1" x14ac:dyDescent="0.3">
      <c r="A5" s="485"/>
      <c r="B5" s="487"/>
      <c r="C5" s="487"/>
      <c r="D5" s="343" t="s">
        <v>196</v>
      </c>
      <c r="E5" s="343" t="s">
        <v>197</v>
      </c>
      <c r="F5" s="487"/>
      <c r="G5" s="482"/>
      <c r="H5" s="482"/>
      <c r="I5" s="482"/>
      <c r="J5" s="482"/>
      <c r="K5" s="482"/>
      <c r="L5" s="482"/>
      <c r="M5" s="482"/>
      <c r="N5" s="482"/>
      <c r="O5" s="482"/>
    </row>
    <row r="6" spans="1:15" ht="18.75" x14ac:dyDescent="0.25">
      <c r="A6" s="344" t="s">
        <v>190</v>
      </c>
      <c r="B6" s="345">
        <v>0.15</v>
      </c>
      <c r="C6" s="347">
        <v>0</v>
      </c>
      <c r="D6" s="346">
        <f>SUM('Capex- Plant'!F7:F18)</f>
        <v>136.96260000000001</v>
      </c>
      <c r="E6" s="348">
        <v>0</v>
      </c>
      <c r="F6" s="352">
        <f>((D6+C6)*B6)+((E6*B6)/2)</f>
        <v>20.54439</v>
      </c>
      <c r="G6" s="349">
        <f>C6+D6+E6-F6</f>
        <v>116.41821000000002</v>
      </c>
      <c r="H6" s="349">
        <f>G6*(100%-$B$6)</f>
        <v>98.955478500000012</v>
      </c>
      <c r="I6" s="349">
        <f t="shared" ref="I6:O7" si="0">H6*(100%-$B$6)</f>
        <v>84.112156725000006</v>
      </c>
      <c r="J6" s="349">
        <f t="shared" si="0"/>
        <v>71.495333216250003</v>
      </c>
      <c r="K6" s="349">
        <f t="shared" si="0"/>
        <v>60.771033233812503</v>
      </c>
      <c r="L6" s="349">
        <f t="shared" si="0"/>
        <v>51.655378248740625</v>
      </c>
      <c r="M6" s="349">
        <f t="shared" si="0"/>
        <v>43.907071511429528</v>
      </c>
      <c r="N6" s="349">
        <f t="shared" si="0"/>
        <v>37.321010784715099</v>
      </c>
      <c r="O6" s="349">
        <f t="shared" si="0"/>
        <v>31.722859167007833</v>
      </c>
    </row>
    <row r="7" spans="1:15" ht="18.75" x14ac:dyDescent="0.25">
      <c r="A7" s="344" t="s">
        <v>238</v>
      </c>
      <c r="B7" s="345">
        <v>0.1</v>
      </c>
      <c r="C7" s="347"/>
      <c r="D7" s="346">
        <f>'Capex- Plant'!F19</f>
        <v>60</v>
      </c>
      <c r="E7" s="348"/>
      <c r="F7" s="352">
        <f>((D7+C7)*B7)+((E7*B7)/2)</f>
        <v>6</v>
      </c>
      <c r="G7" s="349">
        <f>C7+D7+E7-F7</f>
        <v>54</v>
      </c>
      <c r="H7" s="349">
        <f>G7*(100%-$B$6)</f>
        <v>45.9</v>
      </c>
      <c r="I7" s="349">
        <f t="shared" si="0"/>
        <v>39.015000000000001</v>
      </c>
      <c r="J7" s="349">
        <f t="shared" si="0"/>
        <v>33.162750000000003</v>
      </c>
      <c r="K7" s="349">
        <f t="shared" si="0"/>
        <v>28.188337500000003</v>
      </c>
      <c r="L7" s="349">
        <f t="shared" si="0"/>
        <v>23.960086875000002</v>
      </c>
      <c r="M7" s="349">
        <f t="shared" si="0"/>
        <v>20.366073843750002</v>
      </c>
      <c r="N7" s="349">
        <f t="shared" si="0"/>
        <v>17.311162767187501</v>
      </c>
      <c r="O7" s="349">
        <f t="shared" si="0"/>
        <v>14.714488352109376</v>
      </c>
    </row>
    <row r="8" spans="1:15" ht="19.5" thickBot="1" x14ac:dyDescent="0.3">
      <c r="A8" s="350"/>
      <c r="B8" s="350"/>
      <c r="C8" s="351">
        <f t="shared" ref="C8:E8" si="1">SUM(C6:C6)</f>
        <v>0</v>
      </c>
      <c r="D8" s="351">
        <f>SUM(D6:D7)</f>
        <v>196.96260000000001</v>
      </c>
      <c r="E8" s="351">
        <f t="shared" si="1"/>
        <v>0</v>
      </c>
      <c r="F8" s="351">
        <f>SUM(F6:F7)</f>
        <v>26.54439</v>
      </c>
      <c r="G8" s="351">
        <f t="shared" ref="G8:O8" si="2">SUM(G6:G7)</f>
        <v>170.41821000000002</v>
      </c>
      <c r="H8" s="351">
        <f t="shared" si="2"/>
        <v>144.8554785</v>
      </c>
      <c r="I8" s="351">
        <f t="shared" si="2"/>
        <v>123.12715672500001</v>
      </c>
      <c r="J8" s="351">
        <f t="shared" si="2"/>
        <v>104.65808321625001</v>
      </c>
      <c r="K8" s="351">
        <f t="shared" si="2"/>
        <v>88.959370733812506</v>
      </c>
      <c r="L8" s="351">
        <f t="shared" si="2"/>
        <v>75.61546512374062</v>
      </c>
      <c r="M8" s="351">
        <f t="shared" si="2"/>
        <v>64.273145355179537</v>
      </c>
      <c r="N8" s="351">
        <f t="shared" si="2"/>
        <v>54.632173551902596</v>
      </c>
      <c r="O8" s="351">
        <f t="shared" si="2"/>
        <v>46.43734751911721</v>
      </c>
    </row>
    <row r="9" spans="1:15" ht="15.75" thickTop="1" x14ac:dyDescent="0.25">
      <c r="E9" s="167" t="s">
        <v>169</v>
      </c>
      <c r="F9" s="171">
        <f>F8</f>
        <v>26.54439</v>
      </c>
      <c r="G9" s="171">
        <f t="shared" ref="G9:O9" si="3">G8</f>
        <v>170.41821000000002</v>
      </c>
      <c r="H9" s="171">
        <f t="shared" si="3"/>
        <v>144.8554785</v>
      </c>
      <c r="I9" s="171">
        <f t="shared" si="3"/>
        <v>123.12715672500001</v>
      </c>
      <c r="J9" s="171">
        <f t="shared" si="3"/>
        <v>104.65808321625001</v>
      </c>
      <c r="K9" s="171">
        <f t="shared" si="3"/>
        <v>88.959370733812506</v>
      </c>
      <c r="L9" s="171">
        <f t="shared" si="3"/>
        <v>75.61546512374062</v>
      </c>
      <c r="M9" s="171">
        <f t="shared" si="3"/>
        <v>64.273145355179537</v>
      </c>
      <c r="N9" s="171">
        <f t="shared" si="3"/>
        <v>54.632173551902596</v>
      </c>
      <c r="O9" s="171">
        <f t="shared" si="3"/>
        <v>46.43734751911721</v>
      </c>
    </row>
    <row r="10" spans="1:15" x14ac:dyDescent="0.25">
      <c r="E10" s="171"/>
      <c r="G10" s="171">
        <f>G9-O9</f>
        <v>123.98086248088281</v>
      </c>
      <c r="H10" s="171">
        <f>G9-H9</f>
        <v>25.562731500000012</v>
      </c>
    </row>
    <row r="11" spans="1:15" x14ac:dyDescent="0.25">
      <c r="E11" s="171"/>
    </row>
  </sheetData>
  <mergeCells count="16">
    <mergeCell ref="A1:I1"/>
    <mergeCell ref="A2:I2"/>
    <mergeCell ref="A4:A5"/>
    <mergeCell ref="B4:B5"/>
    <mergeCell ref="C4:C5"/>
    <mergeCell ref="D4:E4"/>
    <mergeCell ref="F4:F5"/>
    <mergeCell ref="M4:M5"/>
    <mergeCell ref="N4:N5"/>
    <mergeCell ref="O4:O5"/>
    <mergeCell ref="G4:G5"/>
    <mergeCell ref="H4:H5"/>
    <mergeCell ref="I4:I5"/>
    <mergeCell ref="J4:J5"/>
    <mergeCell ref="K4:K5"/>
    <mergeCell ref="L4:L5"/>
  </mergeCells>
  <pageMargins left="0.7" right="0.7" top="0.75" bottom="0.75" header="0.3" footer="0.3"/>
  <pageSetup paperSize="9" scale="27" orientation="portrait" r:id="rId1"/>
  <colBreaks count="1" manualBreakCount="1">
    <brk id="10" max="12"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5D569-06ED-450D-A69D-237CA61FCC47}">
  <sheetPr>
    <tabColor rgb="FF92D050"/>
  </sheetPr>
  <dimension ref="A1:H12"/>
  <sheetViews>
    <sheetView workbookViewId="0">
      <selection activeCell="B5" sqref="B5"/>
    </sheetView>
  </sheetViews>
  <sheetFormatPr defaultRowHeight="15" x14ac:dyDescent="0.25"/>
  <cols>
    <col min="2" max="2" width="11.85546875" customWidth="1"/>
  </cols>
  <sheetData>
    <row r="1" spans="1:8" x14ac:dyDescent="0.25">
      <c r="H1" s="307">
        <v>0.1075</v>
      </c>
    </row>
    <row r="3" spans="1:8" x14ac:dyDescent="0.25">
      <c r="B3" s="490" t="s">
        <v>153</v>
      </c>
      <c r="C3" s="490"/>
      <c r="D3" s="490"/>
      <c r="E3" s="490"/>
      <c r="F3" s="490"/>
    </row>
    <row r="5" spans="1:8" x14ac:dyDescent="0.25">
      <c r="A5" t="s">
        <v>145</v>
      </c>
      <c r="B5" s="170">
        <f>'PNB Bank TL (New)'!G31*(Sheet3!H1/12)</f>
        <v>0.54855967078189294</v>
      </c>
    </row>
    <row r="6" spans="1:8" x14ac:dyDescent="0.25">
      <c r="A6" t="s">
        <v>146</v>
      </c>
    </row>
    <row r="7" spans="1:8" x14ac:dyDescent="0.25">
      <c r="A7" t="s">
        <v>147</v>
      </c>
    </row>
    <row r="8" spans="1:8" x14ac:dyDescent="0.25">
      <c r="A8" t="s">
        <v>148</v>
      </c>
    </row>
    <row r="9" spans="1:8" x14ac:dyDescent="0.25">
      <c r="A9" t="s">
        <v>149</v>
      </c>
    </row>
    <row r="10" spans="1:8" x14ac:dyDescent="0.25">
      <c r="A10" t="s">
        <v>150</v>
      </c>
    </row>
    <row r="11" spans="1:8" x14ac:dyDescent="0.25">
      <c r="A11" t="s">
        <v>151</v>
      </c>
    </row>
    <row r="12" spans="1:8" x14ac:dyDescent="0.25">
      <c r="A12" t="s">
        <v>152</v>
      </c>
    </row>
  </sheetData>
  <mergeCells count="1">
    <mergeCell ref="B3:F3"/>
  </mergeCells>
  <phoneticPr fontId="6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D63AC-50D9-4933-BBD8-F5F31FE7FF74}">
  <sheetPr>
    <tabColor rgb="FF92D050"/>
  </sheetPr>
  <dimension ref="B1:E33"/>
  <sheetViews>
    <sheetView workbookViewId="0">
      <selection activeCell="B7" sqref="B7"/>
    </sheetView>
  </sheetViews>
  <sheetFormatPr defaultRowHeight="15" x14ac:dyDescent="0.25"/>
  <cols>
    <col min="1" max="1" width="3" customWidth="1"/>
    <col min="2" max="2" width="5" bestFit="1" customWidth="1"/>
    <col min="3" max="3" width="44.5703125" customWidth="1"/>
    <col min="4" max="4" width="15" bestFit="1" customWidth="1"/>
    <col min="5" max="5" width="18.7109375" bestFit="1" customWidth="1"/>
  </cols>
  <sheetData>
    <row r="1" spans="2:5" ht="15.75" thickBot="1" x14ac:dyDescent="0.3"/>
    <row r="2" spans="2:5" ht="20.25" thickBot="1" x14ac:dyDescent="0.3">
      <c r="B2" s="491" t="s">
        <v>119</v>
      </c>
      <c r="C2" s="492"/>
      <c r="D2" s="492"/>
      <c r="E2" s="493"/>
    </row>
    <row r="3" spans="2:5" ht="20.25" thickBot="1" x14ac:dyDescent="0.3">
      <c r="B3" s="491" t="s">
        <v>116</v>
      </c>
      <c r="C3" s="492"/>
      <c r="D3" s="492"/>
      <c r="E3" s="493"/>
    </row>
    <row r="4" spans="2:5" ht="20.25" thickBot="1" x14ac:dyDescent="0.3">
      <c r="B4" s="491" t="s">
        <v>120</v>
      </c>
      <c r="C4" s="492"/>
      <c r="D4" s="492"/>
      <c r="E4" s="493"/>
    </row>
    <row r="5" spans="2:5" ht="15.75" thickBot="1" x14ac:dyDescent="0.3">
      <c r="B5" s="220" t="s">
        <v>117</v>
      </c>
      <c r="C5" s="223" t="s">
        <v>35</v>
      </c>
      <c r="D5" s="221" t="s">
        <v>135</v>
      </c>
      <c r="E5" s="222" t="s">
        <v>136</v>
      </c>
    </row>
    <row r="6" spans="2:5" ht="15.75" thickBot="1" x14ac:dyDescent="0.3">
      <c r="B6" s="494" t="s">
        <v>104</v>
      </c>
      <c r="C6" s="495"/>
      <c r="D6" s="495"/>
      <c r="E6" s="496"/>
    </row>
    <row r="7" spans="2:5" ht="15.75" thickBot="1" x14ac:dyDescent="0.3">
      <c r="B7" s="224"/>
      <c r="C7" s="225"/>
      <c r="D7" s="225"/>
      <c r="E7" s="226"/>
    </row>
    <row r="8" spans="2:5" ht="15.75" thickBot="1" x14ac:dyDescent="0.3">
      <c r="B8" s="224"/>
      <c r="C8" s="225"/>
      <c r="D8" s="225"/>
      <c r="E8" s="226"/>
    </row>
    <row r="9" spans="2:5" ht="15.75" thickBot="1" x14ac:dyDescent="0.3">
      <c r="B9" s="224"/>
      <c r="C9" s="225"/>
      <c r="D9" s="225"/>
      <c r="E9" s="226"/>
    </row>
    <row r="10" spans="2:5" ht="15.75" thickBot="1" x14ac:dyDescent="0.3">
      <c r="B10" s="224"/>
      <c r="C10" s="225"/>
      <c r="D10" s="225"/>
      <c r="E10" s="226"/>
    </row>
    <row r="11" spans="2:5" ht="15.75" thickBot="1" x14ac:dyDescent="0.3">
      <c r="B11" s="224"/>
      <c r="C11" s="225"/>
      <c r="D11" s="225"/>
      <c r="E11" s="226"/>
    </row>
    <row r="12" spans="2:5" ht="15.75" thickBot="1" x14ac:dyDescent="0.3">
      <c r="B12" s="224"/>
      <c r="C12" s="225"/>
      <c r="D12" s="225"/>
      <c r="E12" s="226"/>
    </row>
    <row r="13" spans="2:5" ht="15.75" thickBot="1" x14ac:dyDescent="0.3">
      <c r="B13" s="224"/>
      <c r="C13" s="225"/>
      <c r="D13" s="225"/>
      <c r="E13" s="226"/>
    </row>
    <row r="14" spans="2:5" ht="15.75" thickBot="1" x14ac:dyDescent="0.3">
      <c r="B14" s="224"/>
      <c r="C14" s="225"/>
      <c r="D14" s="225"/>
      <c r="E14" s="226"/>
    </row>
    <row r="15" spans="2:5" ht="15.75" thickBot="1" x14ac:dyDescent="0.3">
      <c r="B15" s="224"/>
      <c r="C15" s="225"/>
      <c r="D15" s="225"/>
      <c r="E15" s="226"/>
    </row>
    <row r="16" spans="2:5" ht="15.75" thickBot="1" x14ac:dyDescent="0.3">
      <c r="B16" s="224"/>
      <c r="C16" s="225"/>
      <c r="D16" s="225"/>
      <c r="E16" s="226"/>
    </row>
    <row r="17" spans="2:5" ht="15.75" thickBot="1" x14ac:dyDescent="0.3">
      <c r="B17" s="224"/>
      <c r="C17" s="225"/>
      <c r="D17" s="225"/>
      <c r="E17" s="226"/>
    </row>
    <row r="18" spans="2:5" ht="15.75" thickBot="1" x14ac:dyDescent="0.3">
      <c r="B18" s="224"/>
      <c r="C18" s="225"/>
      <c r="D18" s="225"/>
      <c r="E18" s="226"/>
    </row>
    <row r="19" spans="2:5" ht="15.75" thickBot="1" x14ac:dyDescent="0.3">
      <c r="B19" s="224"/>
      <c r="C19" s="225"/>
      <c r="D19" s="225"/>
      <c r="E19" s="226"/>
    </row>
    <row r="20" spans="2:5" ht="15.75" thickBot="1" x14ac:dyDescent="0.3">
      <c r="B20" s="224"/>
      <c r="C20" s="225"/>
      <c r="D20" s="225"/>
      <c r="E20" s="226"/>
    </row>
    <row r="21" spans="2:5" ht="15.75" thickBot="1" x14ac:dyDescent="0.3">
      <c r="B21" s="224"/>
      <c r="C21" s="225"/>
      <c r="D21" s="225"/>
      <c r="E21" s="226"/>
    </row>
    <row r="22" spans="2:5" ht="15.75" thickBot="1" x14ac:dyDescent="0.3">
      <c r="B22" s="224"/>
      <c r="C22" s="225"/>
      <c r="D22" s="225"/>
      <c r="E22" s="226"/>
    </row>
    <row r="23" spans="2:5" ht="15.75" thickBot="1" x14ac:dyDescent="0.3">
      <c r="B23" s="224"/>
      <c r="C23" s="225"/>
      <c r="D23" s="225"/>
      <c r="E23" s="226"/>
    </row>
    <row r="24" spans="2:5" ht="15.75" thickBot="1" x14ac:dyDescent="0.3">
      <c r="B24" s="224"/>
      <c r="C24" s="225"/>
      <c r="D24" s="225"/>
      <c r="E24" s="226"/>
    </row>
    <row r="25" spans="2:5" ht="15.75" thickBot="1" x14ac:dyDescent="0.3">
      <c r="B25" s="224"/>
      <c r="C25" s="225"/>
      <c r="D25" s="225"/>
      <c r="E25" s="226"/>
    </row>
    <row r="26" spans="2:5" ht="15.75" thickBot="1" x14ac:dyDescent="0.3">
      <c r="B26" s="224"/>
      <c r="C26" s="225"/>
      <c r="D26" s="225"/>
      <c r="E26" s="226"/>
    </row>
    <row r="27" spans="2:5" ht="15.75" thickBot="1" x14ac:dyDescent="0.3">
      <c r="B27" s="224"/>
      <c r="C27" s="225"/>
      <c r="D27" s="225"/>
      <c r="E27" s="226"/>
    </row>
    <row r="28" spans="2:5" ht="15.75" thickBot="1" x14ac:dyDescent="0.3">
      <c r="B28" s="224"/>
      <c r="C28" s="225"/>
      <c r="D28" s="225"/>
      <c r="E28" s="226"/>
    </row>
    <row r="29" spans="2:5" ht="15.75" thickBot="1" x14ac:dyDescent="0.3">
      <c r="B29" s="224"/>
      <c r="C29" s="225"/>
      <c r="D29" s="225"/>
      <c r="E29" s="226"/>
    </row>
    <row r="30" spans="2:5" ht="15.75" thickBot="1" x14ac:dyDescent="0.3">
      <c r="B30" s="224"/>
      <c r="C30" s="225"/>
      <c r="D30" s="225"/>
      <c r="E30" s="226"/>
    </row>
    <row r="31" spans="2:5" ht="15.75" thickBot="1" x14ac:dyDescent="0.3">
      <c r="B31" s="224"/>
      <c r="C31" s="225"/>
      <c r="D31" s="225"/>
      <c r="E31" s="226"/>
    </row>
    <row r="32" spans="2:5" ht="15.75" thickBot="1" x14ac:dyDescent="0.3">
      <c r="B32" s="497" t="s">
        <v>0</v>
      </c>
      <c r="C32" s="498"/>
      <c r="D32" s="498"/>
      <c r="E32" s="227">
        <f>SUM(E6:E6)</f>
        <v>0</v>
      </c>
    </row>
    <row r="33" ht="15.75" thickTop="1" x14ac:dyDescent="0.25"/>
  </sheetData>
  <mergeCells count="5">
    <mergeCell ref="B2:E2"/>
    <mergeCell ref="B3:E3"/>
    <mergeCell ref="B4:E4"/>
    <mergeCell ref="B6:E6"/>
    <mergeCell ref="B32:D3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CAB0-D704-4B3A-AB9C-77BA9102B7E0}">
  <sheetPr>
    <tabColor rgb="FF92D050"/>
  </sheetPr>
  <dimension ref="A1:D6"/>
  <sheetViews>
    <sheetView workbookViewId="0">
      <selection activeCell="B3" sqref="B3"/>
    </sheetView>
  </sheetViews>
  <sheetFormatPr defaultRowHeight="15" x14ac:dyDescent="0.25"/>
  <cols>
    <col min="1" max="1" width="16.28515625" customWidth="1"/>
    <col min="2" max="2" width="20" customWidth="1"/>
    <col min="3" max="4" width="9.28515625" bestFit="1" customWidth="1"/>
  </cols>
  <sheetData>
    <row r="1" spans="1:4" x14ac:dyDescent="0.25">
      <c r="A1" t="s">
        <v>105</v>
      </c>
      <c r="C1" t="s">
        <v>108</v>
      </c>
      <c r="D1" t="s">
        <v>109</v>
      </c>
    </row>
    <row r="2" spans="1:4" x14ac:dyDescent="0.25">
      <c r="A2" t="s">
        <v>107</v>
      </c>
      <c r="B2" t="e">
        <f>+DSCR!#REF!</f>
        <v>#REF!</v>
      </c>
    </row>
    <row r="3" spans="1:4" x14ac:dyDescent="0.25">
      <c r="A3" t="s">
        <v>106</v>
      </c>
      <c r="B3">
        <f>DSCR!E41</f>
        <v>6.0163764551002856</v>
      </c>
    </row>
    <row r="4" spans="1:4" x14ac:dyDescent="0.25">
      <c r="A4" t="s">
        <v>108</v>
      </c>
      <c r="B4" t="s">
        <v>110</v>
      </c>
    </row>
    <row r="5" spans="1:4" x14ac:dyDescent="0.25">
      <c r="A5" t="s">
        <v>109</v>
      </c>
      <c r="B5" t="s">
        <v>111</v>
      </c>
    </row>
    <row r="6" spans="1:4" x14ac:dyDescent="0.25">
      <c r="A6" t="s">
        <v>112</v>
      </c>
      <c r="B6"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F81F8-E485-4EDC-BBCB-2DC6BC24B840}">
  <sheetPr>
    <tabColor rgb="FF92D050"/>
  </sheetPr>
  <dimension ref="A2:S28"/>
  <sheetViews>
    <sheetView view="pageBreakPreview" zoomScale="90" zoomScaleNormal="100" zoomScaleSheetLayoutView="90" workbookViewId="0">
      <selection activeCell="B2" sqref="B2"/>
    </sheetView>
  </sheetViews>
  <sheetFormatPr defaultColWidth="9.28515625" defaultRowHeight="12.75" x14ac:dyDescent="0.2"/>
  <cols>
    <col min="1" max="1" width="38.28515625" style="117" customWidth="1"/>
    <col min="2" max="2" width="20.5703125" style="148" bestFit="1" customWidth="1"/>
    <col min="3" max="3" width="13.7109375" style="117" bestFit="1" customWidth="1"/>
    <col min="4" max="4" width="11.7109375" style="117" bestFit="1" customWidth="1"/>
    <col min="5" max="5" width="19.85546875" style="117" bestFit="1" customWidth="1"/>
    <col min="6" max="7" width="11.7109375" style="117" customWidth="1"/>
    <col min="8" max="8" width="14" style="117" bestFit="1" customWidth="1"/>
    <col min="9" max="10" width="18.7109375" style="117" bestFit="1" customWidth="1"/>
    <col min="11" max="11" width="18.85546875" style="117" bestFit="1" customWidth="1"/>
    <col min="12" max="12" width="18.7109375" style="117" bestFit="1" customWidth="1"/>
    <col min="13" max="13" width="17.42578125" style="117" bestFit="1" customWidth="1"/>
    <col min="14" max="14" width="14.5703125" style="117" bestFit="1" customWidth="1"/>
    <col min="15" max="15" width="13.7109375" style="117" customWidth="1"/>
    <col min="16" max="16384" width="9.28515625" style="117"/>
  </cols>
  <sheetData>
    <row r="2" spans="1:19" x14ac:dyDescent="0.2">
      <c r="A2" s="118" t="s">
        <v>236</v>
      </c>
    </row>
    <row r="3" spans="1:19" x14ac:dyDescent="0.2">
      <c r="A3" s="119" t="s">
        <v>95</v>
      </c>
    </row>
    <row r="4" spans="1:19" ht="13.5" thickBot="1" x14ac:dyDescent="0.25"/>
    <row r="5" spans="1:19" ht="14.25" customHeight="1" thickBot="1" x14ac:dyDescent="0.25">
      <c r="A5" s="229" t="s">
        <v>35</v>
      </c>
      <c r="B5" s="286" t="s">
        <v>96</v>
      </c>
      <c r="C5" s="258" t="s">
        <v>115</v>
      </c>
      <c r="D5" s="125" t="s">
        <v>97</v>
      </c>
      <c r="E5" s="244"/>
      <c r="F5" s="244"/>
      <c r="G5" s="244"/>
      <c r="H5" s="244"/>
      <c r="I5" s="259"/>
      <c r="J5" s="259"/>
      <c r="K5" s="259"/>
      <c r="L5" s="259"/>
      <c r="M5" s="259"/>
      <c r="N5" s="259"/>
      <c r="O5" s="259"/>
      <c r="P5" s="259"/>
      <c r="Q5" s="259"/>
      <c r="R5" s="259"/>
      <c r="S5" s="259"/>
    </row>
    <row r="6" spans="1:19" ht="14.25" customHeight="1" thickBot="1" x14ac:dyDescent="0.25">
      <c r="A6" s="298" t="s">
        <v>239</v>
      </c>
      <c r="B6" s="228">
        <f>'Capex- Plant'!E20</f>
        <v>19696260</v>
      </c>
      <c r="C6" s="300">
        <f>B6/100000</f>
        <v>196.96260000000001</v>
      </c>
      <c r="D6" s="353">
        <f>C6/C7</f>
        <v>1</v>
      </c>
      <c r="E6" s="245"/>
      <c r="F6" s="245"/>
      <c r="G6" s="245"/>
      <c r="H6" s="245"/>
      <c r="I6" s="259"/>
      <c r="J6" s="259"/>
      <c r="K6" s="259"/>
      <c r="L6" s="259"/>
      <c r="M6" s="259"/>
      <c r="N6" s="259"/>
      <c r="O6" s="259"/>
      <c r="P6" s="259"/>
      <c r="Q6" s="259"/>
      <c r="R6" s="259"/>
      <c r="S6" s="259"/>
    </row>
    <row r="7" spans="1:19" ht="13.5" thickBot="1" x14ac:dyDescent="0.25">
      <c r="A7" s="229" t="s">
        <v>0</v>
      </c>
      <c r="B7" s="301">
        <f>SUM(B6:B6)</f>
        <v>19696260</v>
      </c>
      <c r="C7" s="280">
        <f>SUM(C6:C6)</f>
        <v>196.96260000000001</v>
      </c>
      <c r="D7" s="135">
        <f>SUM(D6:D6)</f>
        <v>1</v>
      </c>
      <c r="E7" s="246"/>
      <c r="F7" s="246"/>
      <c r="G7" s="246"/>
      <c r="H7" s="246"/>
      <c r="I7" s="118"/>
      <c r="J7" s="120"/>
      <c r="L7" s="121"/>
      <c r="M7" s="121"/>
      <c r="N7" s="121"/>
    </row>
    <row r="8" spans="1:19" x14ac:dyDescent="0.2">
      <c r="B8" s="149"/>
      <c r="C8" s="122"/>
    </row>
    <row r="9" spans="1:19" x14ac:dyDescent="0.2">
      <c r="A9" s="123"/>
      <c r="B9" s="149"/>
      <c r="C9" s="122"/>
    </row>
    <row r="10" spans="1:19" x14ac:dyDescent="0.2">
      <c r="A10" s="119" t="s">
        <v>98</v>
      </c>
      <c r="K10" s="120"/>
    </row>
    <row r="11" spans="1:19" ht="13.5" thickBot="1" x14ac:dyDescent="0.25"/>
    <row r="12" spans="1:19" ht="15" thickBot="1" x14ac:dyDescent="0.25">
      <c r="A12" s="124" t="s">
        <v>35</v>
      </c>
      <c r="B12" s="154" t="s">
        <v>96</v>
      </c>
      <c r="C12" s="258" t="s">
        <v>115</v>
      </c>
      <c r="D12" s="247" t="s">
        <v>97</v>
      </c>
      <c r="E12" s="244"/>
      <c r="F12" s="244"/>
      <c r="G12" s="244"/>
      <c r="H12" s="244"/>
      <c r="I12" s="378"/>
      <c r="J12" s="378"/>
      <c r="K12" s="378"/>
    </row>
    <row r="13" spans="1:19" ht="13.5" thickBot="1" x14ac:dyDescent="0.25">
      <c r="A13" s="298" t="s">
        <v>99</v>
      </c>
      <c r="B13" s="265">
        <f>B7-B15-B14</f>
        <v>9696260</v>
      </c>
      <c r="C13" s="299">
        <f>B13/100000</f>
        <v>96.962599999999995</v>
      </c>
      <c r="D13" s="134">
        <f>B13/B16</f>
        <v>0.49228939910419539</v>
      </c>
      <c r="E13" s="248"/>
      <c r="F13" s="248"/>
      <c r="G13" s="248"/>
      <c r="H13" s="248"/>
      <c r="I13" s="215"/>
      <c r="J13" s="148"/>
      <c r="K13" s="266"/>
    </row>
    <row r="14" spans="1:19" ht="13.5" thickBot="1" x14ac:dyDescent="0.25">
      <c r="A14" s="298" t="s">
        <v>240</v>
      </c>
      <c r="B14" s="265">
        <v>4000000</v>
      </c>
      <c r="C14" s="299">
        <f>B14/100000</f>
        <v>40</v>
      </c>
      <c r="D14" s="134">
        <f>B14/B16</f>
        <v>0.20308424035832184</v>
      </c>
      <c r="E14" s="248"/>
      <c r="F14" s="248"/>
      <c r="G14" s="248"/>
      <c r="H14" s="248"/>
      <c r="I14" s="215"/>
      <c r="J14" s="148"/>
      <c r="K14" s="266"/>
    </row>
    <row r="15" spans="1:19" ht="13.5" thickBot="1" x14ac:dyDescent="0.25">
      <c r="A15" s="298" t="s">
        <v>14</v>
      </c>
      <c r="B15" s="265">
        <v>6000000</v>
      </c>
      <c r="C15" s="299">
        <f>B15/100000</f>
        <v>60</v>
      </c>
      <c r="D15" s="134">
        <f>B15/B16</f>
        <v>0.30462636053748277</v>
      </c>
      <c r="E15" s="248"/>
      <c r="F15" s="248"/>
      <c r="G15" s="248"/>
      <c r="H15" s="248"/>
      <c r="I15" s="215"/>
      <c r="J15" s="215"/>
      <c r="K15" s="215"/>
    </row>
    <row r="16" spans="1:19" ht="13.5" thickBot="1" x14ac:dyDescent="0.25">
      <c r="A16" s="287" t="s">
        <v>0</v>
      </c>
      <c r="B16" s="288">
        <f>SUM(B13:B15)</f>
        <v>19696260</v>
      </c>
      <c r="C16" s="281">
        <f>SUM(C13:C15)</f>
        <v>196.96260000000001</v>
      </c>
      <c r="D16" s="291">
        <f>SUM(D13:D15)</f>
        <v>1</v>
      </c>
      <c r="E16" s="249"/>
      <c r="F16" s="249"/>
      <c r="G16" s="249"/>
      <c r="H16" s="249"/>
      <c r="I16" s="215"/>
      <c r="J16" s="148"/>
      <c r="K16" s="148"/>
    </row>
    <row r="17" spans="1:19" x14ac:dyDescent="0.2">
      <c r="I17" s="215"/>
      <c r="J17" s="215"/>
      <c r="K17" s="215"/>
      <c r="R17" s="126"/>
      <c r="S17" s="126"/>
    </row>
    <row r="18" spans="1:19" x14ac:dyDescent="0.2">
      <c r="C18" s="126"/>
      <c r="H18" s="266"/>
      <c r="I18" s="215"/>
      <c r="J18" s="148"/>
      <c r="K18" s="148"/>
      <c r="N18" s="117" t="s">
        <v>66</v>
      </c>
    </row>
    <row r="19" spans="1:19" x14ac:dyDescent="0.2">
      <c r="A19" s="119" t="s">
        <v>100</v>
      </c>
      <c r="C19" s="120"/>
      <c r="H19" s="266"/>
      <c r="M19" s="117" t="s">
        <v>66</v>
      </c>
    </row>
    <row r="20" spans="1:19" ht="13.5" thickBot="1" x14ac:dyDescent="0.25">
      <c r="A20" s="118"/>
      <c r="C20" s="120"/>
      <c r="H20" s="120"/>
      <c r="I20" s="118"/>
      <c r="J20" s="118"/>
      <c r="K20" s="118"/>
      <c r="L20" s="117" t="s">
        <v>66</v>
      </c>
    </row>
    <row r="21" spans="1:19" ht="13.5" thickBot="1" x14ac:dyDescent="0.25">
      <c r="A21" s="284" t="s">
        <v>101</v>
      </c>
      <c r="B21" s="285" t="s">
        <v>102</v>
      </c>
      <c r="C21" s="118"/>
      <c r="I21" s="215"/>
      <c r="J21" s="215"/>
      <c r="K21" s="148"/>
    </row>
    <row r="22" spans="1:19" ht="13.5" thickBot="1" x14ac:dyDescent="0.25">
      <c r="A22" s="287" t="s">
        <v>103</v>
      </c>
      <c r="B22" s="289">
        <f>B15/B13</f>
        <v>0.61879528808014639</v>
      </c>
      <c r="C22" s="127"/>
      <c r="I22" s="215"/>
      <c r="J22" s="215"/>
      <c r="K22" s="266"/>
    </row>
    <row r="23" spans="1:19" ht="13.5" thickBot="1" x14ac:dyDescent="0.25">
      <c r="A23" s="287" t="s">
        <v>143</v>
      </c>
      <c r="B23" s="289">
        <f>D13</f>
        <v>0.49228939910419539</v>
      </c>
      <c r="C23" s="128"/>
      <c r="D23" s="129"/>
      <c r="E23" s="129"/>
      <c r="F23" s="129"/>
      <c r="G23" s="129"/>
      <c r="H23" s="129"/>
      <c r="I23" s="266"/>
    </row>
    <row r="24" spans="1:19" ht="26.25" thickBot="1" x14ac:dyDescent="0.25">
      <c r="A24" s="287" t="s">
        <v>141</v>
      </c>
      <c r="B24" s="290">
        <f>D13</f>
        <v>0.49228939910419539</v>
      </c>
      <c r="D24" s="129"/>
      <c r="E24" s="244"/>
      <c r="F24" s="129"/>
      <c r="G24" s="129"/>
      <c r="H24" s="129"/>
    </row>
    <row r="25" spans="1:19" ht="13.5" thickBot="1" x14ac:dyDescent="0.25">
      <c r="A25" s="124" t="s">
        <v>22</v>
      </c>
      <c r="B25" s="288">
        <f>B7/B15</f>
        <v>3.2827099999999998</v>
      </c>
      <c r="E25" s="129"/>
      <c r="F25" s="129"/>
      <c r="G25" s="129"/>
      <c r="H25" s="129"/>
    </row>
    <row r="26" spans="1:19" ht="13.5" thickBot="1" x14ac:dyDescent="0.25">
      <c r="A26" s="229" t="s">
        <v>24</v>
      </c>
      <c r="B26" s="288">
        <f>DSCR!C43</f>
        <v>8.6364315229907227</v>
      </c>
    </row>
    <row r="28" spans="1:19" x14ac:dyDescent="0.2">
      <c r="C28" s="120"/>
    </row>
  </sheetData>
  <pageMargins left="0.7" right="0.7" top="0.75" bottom="0.7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D55F-695B-47AF-88D7-4ABF47D4C0A7}">
  <sheetPr>
    <tabColor rgb="FF92D050"/>
    <pageSetUpPr fitToPage="1"/>
  </sheetPr>
  <dimension ref="A1:V52"/>
  <sheetViews>
    <sheetView showGridLines="0" view="pageBreakPreview" zoomScale="90" zoomScaleNormal="100" zoomScaleSheetLayoutView="90" workbookViewId="0">
      <selection activeCell="A2" sqref="A2:I2"/>
    </sheetView>
  </sheetViews>
  <sheetFormatPr defaultColWidth="39.5703125" defaultRowHeight="12.75" x14ac:dyDescent="0.25"/>
  <cols>
    <col min="1" max="1" width="44.7109375" style="22" bestFit="1" customWidth="1"/>
    <col min="2" max="2" width="7.85546875" style="22" hidden="1" customWidth="1"/>
    <col min="3" max="3" width="13.85546875" style="22" bestFit="1" customWidth="1"/>
    <col min="4" max="4" width="11.28515625" style="22" bestFit="1" customWidth="1"/>
    <col min="5" max="6" width="10.85546875" style="22" bestFit="1" customWidth="1"/>
    <col min="7" max="7" width="11.28515625" style="22" bestFit="1" customWidth="1"/>
    <col min="8" max="9" width="10.85546875" style="22" bestFit="1" customWidth="1"/>
    <col min="10" max="10" width="16.7109375" style="22" customWidth="1"/>
    <col min="11" max="15" width="8.42578125" style="22" bestFit="1" customWidth="1"/>
    <col min="16" max="16" width="8.140625" style="22" bestFit="1" customWidth="1"/>
    <col min="17" max="17" width="8.42578125" style="22" bestFit="1" customWidth="1"/>
    <col min="18" max="19" width="9.28515625" style="22" customWidth="1"/>
    <col min="20" max="20" width="10" style="22" bestFit="1" customWidth="1"/>
    <col min="21" max="236" width="9.28515625" style="22" customWidth="1"/>
    <col min="237" max="237" width="36" style="22" bestFit="1" customWidth="1"/>
    <col min="238" max="239" width="9.7109375" style="22" customWidth="1"/>
    <col min="240" max="240" width="36" style="22" customWidth="1"/>
    <col min="241" max="16384" width="39.5703125" style="22"/>
  </cols>
  <sheetData>
    <row r="1" spans="1:17" ht="15" customHeight="1" x14ac:dyDescent="0.25">
      <c r="A1" s="453" t="s">
        <v>156</v>
      </c>
      <c r="B1" s="453"/>
      <c r="C1" s="453"/>
      <c r="D1" s="453"/>
      <c r="E1" s="453"/>
      <c r="F1" s="453"/>
      <c r="G1" s="453"/>
      <c r="H1" s="453"/>
      <c r="I1" s="330"/>
    </row>
    <row r="2" spans="1:17" ht="15.75" customHeight="1" x14ac:dyDescent="0.25">
      <c r="A2" s="455" t="s">
        <v>243</v>
      </c>
      <c r="B2" s="456"/>
      <c r="C2" s="456"/>
      <c r="D2" s="456"/>
      <c r="E2" s="456"/>
      <c r="F2" s="456"/>
      <c r="G2" s="456"/>
      <c r="H2" s="456"/>
      <c r="I2" s="456"/>
    </row>
    <row r="3" spans="1:17" ht="15.75" customHeight="1" x14ac:dyDescent="0.25">
      <c r="A3" s="452" t="s">
        <v>13</v>
      </c>
      <c r="B3" s="452"/>
      <c r="C3" s="452"/>
      <c r="D3" s="452"/>
      <c r="E3" s="452"/>
      <c r="F3" s="452"/>
      <c r="G3" s="452"/>
      <c r="H3" s="309"/>
      <c r="I3" s="309"/>
    </row>
    <row r="4" spans="1:17" ht="15.75" customHeight="1" thickBot="1" x14ac:dyDescent="0.25">
      <c r="A4" s="454" t="s">
        <v>115</v>
      </c>
      <c r="B4" s="454"/>
      <c r="C4" s="454"/>
      <c r="D4" s="454"/>
      <c r="E4" s="454"/>
      <c r="F4" s="454"/>
      <c r="G4" s="454"/>
      <c r="H4" s="454"/>
      <c r="I4" s="454"/>
      <c r="J4" s="24"/>
      <c r="K4" s="24"/>
      <c r="L4" s="156"/>
      <c r="M4" s="156"/>
      <c r="N4" s="156"/>
    </row>
    <row r="5" spans="1:17" s="24" customFormat="1" ht="13.5" thickBot="1" x14ac:dyDescent="0.3">
      <c r="A5" s="282" t="s">
        <v>1</v>
      </c>
      <c r="B5" s="155">
        <v>45717</v>
      </c>
      <c r="C5" s="155">
        <v>46082</v>
      </c>
      <c r="D5" s="155">
        <v>46447</v>
      </c>
      <c r="E5" s="155">
        <v>46813</v>
      </c>
      <c r="F5" s="155">
        <v>47178</v>
      </c>
      <c r="G5" s="155">
        <v>47543</v>
      </c>
      <c r="H5" s="155">
        <v>47908</v>
      </c>
      <c r="I5" s="155">
        <v>48274</v>
      </c>
      <c r="J5" s="24" t="s">
        <v>73</v>
      </c>
      <c r="K5" s="155">
        <v>45717</v>
      </c>
      <c r="L5" s="155">
        <f>D5</f>
        <v>46447</v>
      </c>
      <c r="M5" s="155">
        <f>E5</f>
        <v>46813</v>
      </c>
      <c r="N5" s="155">
        <f>F5</f>
        <v>47178</v>
      </c>
      <c r="O5" s="155">
        <f>G5</f>
        <v>47543</v>
      </c>
      <c r="P5" s="155">
        <v>11383</v>
      </c>
      <c r="Q5" s="155">
        <v>11749</v>
      </c>
    </row>
    <row r="6" spans="1:17" x14ac:dyDescent="0.2">
      <c r="A6" s="283" t="s">
        <v>54</v>
      </c>
      <c r="B6" s="235"/>
      <c r="C6" s="235"/>
      <c r="D6" s="26"/>
      <c r="E6" s="26"/>
      <c r="F6" s="26"/>
      <c r="G6" s="26"/>
      <c r="J6" s="156" t="s">
        <v>38</v>
      </c>
      <c r="K6" s="157">
        <f>B51</f>
        <v>1.734796223057147</v>
      </c>
      <c r="L6" s="157">
        <f t="shared" ref="L6:N6" si="0">C51</f>
        <v>1.3752160056670399</v>
      </c>
      <c r="M6" s="157">
        <f t="shared" si="0"/>
        <v>1.6852965030984401</v>
      </c>
      <c r="N6" s="157">
        <f t="shared" si="0"/>
        <v>1.9919457981541198</v>
      </c>
      <c r="O6" s="157">
        <f>G51</f>
        <v>2.5077543772566493</v>
      </c>
      <c r="P6" s="147">
        <f>H51</f>
        <v>2.598063248606779</v>
      </c>
      <c r="Q6" s="147">
        <f>I51</f>
        <v>2.9088064660908217</v>
      </c>
    </row>
    <row r="7" spans="1:17" ht="13.5" thickBot="1" x14ac:dyDescent="0.25">
      <c r="A7" s="106" t="s">
        <v>213</v>
      </c>
      <c r="B7" s="332">
        <f>('Capex- Plant'!D20-'COP-PNB'!B15)/100000+'P&amp;L'!C23</f>
        <v>-54.603156333333359</v>
      </c>
      <c r="C7" s="332">
        <f>(('COP-PNB'!B13+1900000+Depriciation!D7)/100000)+'P&amp;L'!D23</f>
        <v>170.89528440740739</v>
      </c>
      <c r="D7" s="332">
        <f>C7+'P&amp;L'!E23</f>
        <v>228.11242586820975</v>
      </c>
      <c r="E7" s="332">
        <f>D7+'P&amp;L'!F23</f>
        <v>304.69103657864179</v>
      </c>
      <c r="F7" s="332">
        <f>E7+'P&amp;L'!G23</f>
        <v>399.32308107734423</v>
      </c>
      <c r="G7" s="332">
        <f>F7+'P&amp;L'!H23</f>
        <v>510.21713687527063</v>
      </c>
      <c r="H7" s="332">
        <f>G7+'P&amp;L'!I23</f>
        <v>691.44167985652939</v>
      </c>
      <c r="I7" s="332">
        <f>H7+'P&amp;L'!J23</f>
        <v>875.82037291553297</v>
      </c>
      <c r="J7" s="156" t="s">
        <v>74</v>
      </c>
      <c r="K7" s="157" t="e">
        <f>B50</f>
        <v>#REF!</v>
      </c>
      <c r="L7" s="157">
        <f>D50</f>
        <v>1.04367729356754</v>
      </c>
      <c r="M7" s="157">
        <f>E50</f>
        <v>0.83506858788652327</v>
      </c>
      <c r="N7" s="157">
        <f>F50</f>
        <v>0.68772483635528714</v>
      </c>
      <c r="O7" s="157">
        <f t="shared" ref="O7:Q7" si="1">G50</f>
        <v>0.58623395359405461</v>
      </c>
      <c r="P7" s="157">
        <f t="shared" si="1"/>
        <v>0.55732516480101824</v>
      </c>
      <c r="Q7" s="157">
        <f t="shared" si="1"/>
        <v>0.48544145142258238</v>
      </c>
    </row>
    <row r="8" spans="1:17" ht="13.5" thickBot="1" x14ac:dyDescent="0.25">
      <c r="A8" s="282" t="s">
        <v>3</v>
      </c>
      <c r="B8" s="30">
        <f>B7</f>
        <v>-54.603156333333359</v>
      </c>
      <c r="C8" s="30">
        <f t="shared" ref="C8:I8" si="2">C7</f>
        <v>170.89528440740739</v>
      </c>
      <c r="D8" s="30">
        <f t="shared" si="2"/>
        <v>228.11242586820975</v>
      </c>
      <c r="E8" s="30">
        <f t="shared" si="2"/>
        <v>304.69103657864179</v>
      </c>
      <c r="F8" s="30">
        <f t="shared" si="2"/>
        <v>399.32308107734423</v>
      </c>
      <c r="G8" s="30">
        <f t="shared" si="2"/>
        <v>510.21713687527063</v>
      </c>
      <c r="H8" s="30">
        <f t="shared" si="2"/>
        <v>691.44167985652939</v>
      </c>
      <c r="I8" s="30">
        <f t="shared" si="2"/>
        <v>875.82037291553297</v>
      </c>
      <c r="J8" s="156"/>
      <c r="K8" s="157"/>
      <c r="L8" s="157"/>
      <c r="M8" s="157"/>
      <c r="N8" s="157"/>
      <c r="O8" s="157"/>
      <c r="P8" s="147"/>
      <c r="Q8" s="147"/>
    </row>
    <row r="9" spans="1:17" x14ac:dyDescent="0.2">
      <c r="A9" s="25" t="s">
        <v>49</v>
      </c>
      <c r="B9" s="235"/>
      <c r="C9" s="235"/>
      <c r="D9" s="31"/>
      <c r="E9" s="31"/>
      <c r="F9" s="31"/>
      <c r="G9" s="31"/>
      <c r="H9" s="31"/>
      <c r="I9" s="31"/>
      <c r="J9" s="156"/>
      <c r="K9" s="157"/>
      <c r="L9" s="157"/>
      <c r="M9" s="157"/>
      <c r="N9" s="157"/>
      <c r="O9" s="157"/>
      <c r="P9" s="157"/>
      <c r="Q9" s="157"/>
    </row>
    <row r="10" spans="1:17" ht="13.15" customHeight="1" thickBot="1" x14ac:dyDescent="0.25">
      <c r="A10" s="111" t="s">
        <v>50</v>
      </c>
      <c r="B10" s="243" t="e">
        <f>TL!C22</f>
        <v>#REF!</v>
      </c>
      <c r="C10" s="243">
        <f>TL!D22</f>
        <v>59.259259259259252</v>
      </c>
      <c r="D10" s="243">
        <f>TL!E22</f>
        <v>47.407407407407405</v>
      </c>
      <c r="E10" s="243">
        <f>TL!F22</f>
        <v>35.555555555555557</v>
      </c>
      <c r="F10" s="243">
        <f>TL!G22</f>
        <v>23.703703703703695</v>
      </c>
      <c r="G10" s="243">
        <f>TL!H22</f>
        <v>11.851851851851851</v>
      </c>
      <c r="H10" s="243">
        <f>TL!I22</f>
        <v>0</v>
      </c>
      <c r="I10" s="243">
        <f>TL!J22</f>
        <v>0</v>
      </c>
      <c r="J10" s="156"/>
      <c r="K10" s="157"/>
      <c r="L10" s="157"/>
      <c r="M10" s="157"/>
      <c r="N10" s="157"/>
      <c r="O10" s="157"/>
      <c r="P10" s="147"/>
      <c r="Q10" s="147"/>
    </row>
    <row r="11" spans="1:17" ht="13.5" thickBot="1" x14ac:dyDescent="0.25">
      <c r="A11" s="23" t="s">
        <v>3</v>
      </c>
      <c r="B11" s="30" t="e">
        <f>SUM(B10)</f>
        <v>#REF!</v>
      </c>
      <c r="C11" s="30">
        <f t="shared" ref="C11:I11" si="3">SUM(C10)</f>
        <v>59.259259259259252</v>
      </c>
      <c r="D11" s="30">
        <f t="shared" si="3"/>
        <v>47.407407407407405</v>
      </c>
      <c r="E11" s="30">
        <f t="shared" si="3"/>
        <v>35.555555555555557</v>
      </c>
      <c r="F11" s="30">
        <f t="shared" si="3"/>
        <v>23.703703703703695</v>
      </c>
      <c r="G11" s="30">
        <f t="shared" si="3"/>
        <v>11.851851851851851</v>
      </c>
      <c r="H11" s="30">
        <f t="shared" si="3"/>
        <v>0</v>
      </c>
      <c r="I11" s="30">
        <f t="shared" si="3"/>
        <v>0</v>
      </c>
      <c r="J11" s="156"/>
      <c r="K11" s="156" t="s">
        <v>241</v>
      </c>
      <c r="L11" s="157"/>
      <c r="M11" s="157"/>
      <c r="N11" s="157"/>
      <c r="O11" s="157"/>
    </row>
    <row r="12" spans="1:17" x14ac:dyDescent="0.2">
      <c r="A12" s="42" t="s">
        <v>19</v>
      </c>
      <c r="B12" s="236"/>
      <c r="C12" s="236"/>
      <c r="D12" s="41"/>
      <c r="E12" s="41"/>
      <c r="F12" s="41"/>
      <c r="G12" s="41"/>
      <c r="H12" s="311"/>
      <c r="I12" s="311"/>
      <c r="J12" s="156"/>
      <c r="K12" s="156" t="s">
        <v>242</v>
      </c>
      <c r="L12" s="157"/>
      <c r="M12" s="157"/>
      <c r="N12" s="157"/>
    </row>
    <row r="13" spans="1:17" x14ac:dyDescent="0.2">
      <c r="A13" s="27" t="s">
        <v>84</v>
      </c>
      <c r="B13" s="28">
        <f>TL!C23</f>
        <v>0</v>
      </c>
      <c r="C13" s="28">
        <f>TL!D23</f>
        <v>11.851851851851848</v>
      </c>
      <c r="D13" s="28">
        <f>TL!E23</f>
        <v>11.851851851851848</v>
      </c>
      <c r="E13" s="28">
        <f>TL!F23</f>
        <v>11.851851851851844</v>
      </c>
      <c r="F13" s="28">
        <f>TL!G23</f>
        <v>11.851851851851855</v>
      </c>
      <c r="G13" s="28">
        <f>TL!H23</f>
        <v>11.851851851851855</v>
      </c>
      <c r="H13" s="28">
        <f>TL!I23</f>
        <v>11.851851851851851</v>
      </c>
      <c r="I13" s="28">
        <f>TL!J23</f>
        <v>0</v>
      </c>
      <c r="J13" s="163" t="s">
        <v>66</v>
      </c>
      <c r="K13" s="163"/>
      <c r="L13" s="156"/>
      <c r="M13" s="156"/>
      <c r="N13" s="156"/>
    </row>
    <row r="14" spans="1:17" x14ac:dyDescent="0.2">
      <c r="A14" s="27" t="s">
        <v>212</v>
      </c>
      <c r="B14" s="28">
        <v>20</v>
      </c>
      <c r="C14" s="28">
        <f>B14</f>
        <v>20</v>
      </c>
      <c r="D14" s="28">
        <f t="shared" ref="D14:I14" si="4">C14</f>
        <v>20</v>
      </c>
      <c r="E14" s="28">
        <f t="shared" si="4"/>
        <v>20</v>
      </c>
      <c r="F14" s="28">
        <f t="shared" si="4"/>
        <v>20</v>
      </c>
      <c r="G14" s="28">
        <f t="shared" si="4"/>
        <v>20</v>
      </c>
      <c r="H14" s="28">
        <f t="shared" si="4"/>
        <v>20</v>
      </c>
      <c r="I14" s="28">
        <f t="shared" si="4"/>
        <v>20</v>
      </c>
      <c r="J14" s="163"/>
      <c r="K14" s="163"/>
      <c r="L14" s="156"/>
      <c r="M14" s="156"/>
      <c r="N14" s="156"/>
    </row>
    <row r="15" spans="1:17" x14ac:dyDescent="0.25">
      <c r="A15" s="27" t="s">
        <v>51</v>
      </c>
      <c r="B15" s="28">
        <f>'P&amp;L'!C12/12*1.5</f>
        <v>12.329166666666669</v>
      </c>
      <c r="C15" s="28">
        <f>'P&amp;L'!D12/12+20</f>
        <v>73.303333333333342</v>
      </c>
      <c r="D15" s="28">
        <f>'P&amp;L'!E12/12*1.5</f>
        <v>95.62775000000002</v>
      </c>
      <c r="E15" s="28">
        <f>'P&amp;L'!F12/12*1.5</f>
        <v>113.62366875000001</v>
      </c>
      <c r="F15" s="28">
        <f>'P&amp;L'!G12/12*1.5</f>
        <v>134.25382093750005</v>
      </c>
      <c r="G15" s="28">
        <f>'P&amp;L'!H12/12*1.5</f>
        <v>157.86828542187507</v>
      </c>
      <c r="H15" s="28">
        <f>'P&amp;L'!I12/12*1.5</f>
        <v>220.48845625546886</v>
      </c>
      <c r="I15" s="28">
        <f>'P&amp;L'!J12/12*1.5</f>
        <v>254.78961719324224</v>
      </c>
      <c r="J15" s="158"/>
      <c r="K15" s="158"/>
      <c r="L15" s="159"/>
      <c r="M15" s="159"/>
      <c r="N15" s="159"/>
    </row>
    <row r="16" spans="1:17" x14ac:dyDescent="0.2">
      <c r="A16" s="27" t="s">
        <v>52</v>
      </c>
      <c r="B16" s="28">
        <f>'P&amp;L'!C15/12</f>
        <v>0.70000000000000007</v>
      </c>
      <c r="C16" s="28">
        <f>'P&amp;L'!D15/12</f>
        <v>4.55</v>
      </c>
      <c r="D16" s="28">
        <f>'P&amp;L'!E15/12</f>
        <v>4.6550000000000002</v>
      </c>
      <c r="E16" s="28">
        <f>'P&amp;L'!F15/12</f>
        <v>4.7627125000000001</v>
      </c>
      <c r="F16" s="28">
        <f>'P&amp;L'!G15/12</f>
        <v>4.8732201874999994</v>
      </c>
      <c r="G16" s="28">
        <f>'P&amp;L'!H15/12</f>
        <v>4.9866087709374991</v>
      </c>
      <c r="H16" s="28">
        <f>'P&amp;L'!I15/12</f>
        <v>5.1029671070984373</v>
      </c>
      <c r="I16" s="28">
        <f>'P&amp;L'!J15/12</f>
        <v>5.2223873343917733</v>
      </c>
      <c r="J16" s="159"/>
      <c r="K16" s="159"/>
      <c r="L16" s="157"/>
      <c r="M16" s="157"/>
      <c r="N16" s="157"/>
      <c r="O16" s="157"/>
      <c r="P16" s="147"/>
      <c r="Q16" s="147"/>
    </row>
    <row r="17" spans="1:17" ht="13.5" thickBot="1" x14ac:dyDescent="0.3">
      <c r="A17" s="27" t="s">
        <v>53</v>
      </c>
      <c r="B17" s="29">
        <f>'P&amp;L'!C7*7.5%</f>
        <v>9.1124999999999989</v>
      </c>
      <c r="C17" s="29">
        <f>'P&amp;L'!D7*6%</f>
        <v>49.5</v>
      </c>
      <c r="D17" s="29">
        <f>'P&amp;L'!E7*6%</f>
        <v>58.533749999999998</v>
      </c>
      <c r="E17" s="29">
        <f>'P&amp;L'!F7*6%</f>
        <v>68.644125000000003</v>
      </c>
      <c r="F17" s="29">
        <f>'P&amp;L'!G7*6%</f>
        <v>79.941803906250016</v>
      </c>
      <c r="G17" s="29">
        <f>'P&amp;L'!H7*6%</f>
        <v>92.548011445312525</v>
      </c>
      <c r="H17" s="29">
        <f>'P&amp;L'!I7*6%</f>
        <v>127.91457296191403</v>
      </c>
      <c r="I17" s="29">
        <f>'P&amp;L'!J7*6%</f>
        <v>145.14750848594969</v>
      </c>
      <c r="J17" s="159"/>
      <c r="K17" s="159"/>
      <c r="L17" s="160"/>
      <c r="M17" s="160"/>
      <c r="N17" s="160"/>
      <c r="O17" s="160"/>
      <c r="P17" s="147"/>
      <c r="Q17" s="147"/>
    </row>
    <row r="18" spans="1:17" ht="13.5" thickBot="1" x14ac:dyDescent="0.25">
      <c r="A18" s="23" t="s">
        <v>3</v>
      </c>
      <c r="B18" s="30">
        <f>SUM(B13:B17)</f>
        <v>42.141666666666666</v>
      </c>
      <c r="C18" s="30">
        <f t="shared" ref="C18:I18" si="5">SUM(C13:C17)</f>
        <v>159.2051851851852</v>
      </c>
      <c r="D18" s="30">
        <f t="shared" si="5"/>
        <v>190.66835185185187</v>
      </c>
      <c r="E18" s="30">
        <f t="shared" si="5"/>
        <v>218.88235810185185</v>
      </c>
      <c r="F18" s="30">
        <f t="shared" si="5"/>
        <v>250.92069688310193</v>
      </c>
      <c r="G18" s="30">
        <f t="shared" si="5"/>
        <v>287.25475748997695</v>
      </c>
      <c r="H18" s="30">
        <f t="shared" si="5"/>
        <v>385.35784817633316</v>
      </c>
      <c r="I18" s="30">
        <f t="shared" si="5"/>
        <v>425.15951301358371</v>
      </c>
      <c r="J18" s="159"/>
      <c r="K18" s="159"/>
      <c r="L18" s="157"/>
      <c r="M18" s="157"/>
      <c r="N18" s="157"/>
      <c r="O18" s="157"/>
      <c r="P18" s="147"/>
      <c r="Q18" s="147"/>
    </row>
    <row r="19" spans="1:17" ht="13.5" thickBot="1" x14ac:dyDescent="0.25">
      <c r="A19" s="23" t="s">
        <v>0</v>
      </c>
      <c r="B19" s="30" t="e">
        <f t="shared" ref="B19:I19" si="6">B8+B11+B18</f>
        <v>#REF!</v>
      </c>
      <c r="C19" s="30">
        <f t="shared" si="6"/>
        <v>389.35972885185186</v>
      </c>
      <c r="D19" s="30">
        <f t="shared" si="6"/>
        <v>466.18818512746901</v>
      </c>
      <c r="E19" s="30">
        <f t="shared" si="6"/>
        <v>559.12895023604915</v>
      </c>
      <c r="F19" s="30">
        <f t="shared" si="6"/>
        <v>673.94748166414979</v>
      </c>
      <c r="G19" s="30">
        <f t="shared" si="6"/>
        <v>809.32374621709937</v>
      </c>
      <c r="H19" s="30">
        <f t="shared" si="6"/>
        <v>1076.7995280328626</v>
      </c>
      <c r="I19" s="30">
        <f t="shared" si="6"/>
        <v>1300.9798859291168</v>
      </c>
      <c r="J19" s="251"/>
      <c r="K19" s="251"/>
      <c r="L19" s="157"/>
      <c r="M19" s="157"/>
      <c r="N19" s="157"/>
      <c r="O19" s="157"/>
      <c r="P19" s="147"/>
      <c r="Q19" s="147"/>
    </row>
    <row r="20" spans="1:17" ht="13.5" thickBot="1" x14ac:dyDescent="0.25">
      <c r="A20" s="33"/>
      <c r="B20" s="24"/>
      <c r="C20" s="24"/>
      <c r="D20" s="34"/>
      <c r="E20" s="34"/>
      <c r="F20" s="34"/>
      <c r="G20" s="34"/>
      <c r="H20" s="31"/>
      <c r="I20" s="31"/>
      <c r="J20" s="269"/>
      <c r="K20" s="161"/>
      <c r="L20" s="157"/>
      <c r="M20" s="157"/>
      <c r="N20" s="157"/>
      <c r="O20" s="157"/>
      <c r="P20" s="147"/>
      <c r="Q20" s="147"/>
    </row>
    <row r="21" spans="1:17" ht="13.5" thickBot="1" x14ac:dyDescent="0.25">
      <c r="A21" s="23" t="s">
        <v>55</v>
      </c>
      <c r="B21" s="235"/>
      <c r="C21" s="235"/>
      <c r="D21" s="31"/>
      <c r="E21" s="31"/>
      <c r="F21" s="31"/>
      <c r="G21" s="31"/>
      <c r="H21" s="31"/>
      <c r="I21" s="31"/>
      <c r="J21" s="162"/>
      <c r="K21" s="162"/>
      <c r="L21" s="157"/>
      <c r="M21" s="157"/>
      <c r="N21" s="157"/>
      <c r="O21" s="157"/>
    </row>
    <row r="22" spans="1:17" x14ac:dyDescent="0.2">
      <c r="A22" s="35" t="s">
        <v>56</v>
      </c>
      <c r="B22" s="232">
        <v>0</v>
      </c>
      <c r="C22" s="232">
        <v>0</v>
      </c>
      <c r="D22" s="31">
        <v>0</v>
      </c>
      <c r="E22" s="31">
        <v>0</v>
      </c>
      <c r="F22" s="31">
        <v>0</v>
      </c>
      <c r="G22" s="31">
        <v>0</v>
      </c>
      <c r="H22" s="31">
        <v>0</v>
      </c>
      <c r="I22" s="31">
        <v>0</v>
      </c>
      <c r="J22" s="159"/>
      <c r="K22" s="159"/>
      <c r="L22" s="157"/>
      <c r="M22" s="157"/>
      <c r="N22" s="157"/>
      <c r="O22" s="157"/>
    </row>
    <row r="23" spans="1:17" x14ac:dyDescent="0.2">
      <c r="A23" s="25" t="s">
        <v>15</v>
      </c>
      <c r="B23" s="235"/>
      <c r="C23" s="235"/>
      <c r="D23" s="31"/>
      <c r="E23" s="31"/>
      <c r="F23" s="31"/>
      <c r="G23" s="31"/>
      <c r="H23" s="31"/>
      <c r="I23" s="31"/>
      <c r="J23" s="156"/>
      <c r="K23" s="156"/>
      <c r="L23" s="156"/>
      <c r="M23" s="156"/>
      <c r="N23" s="156"/>
      <c r="O23" s="156"/>
    </row>
    <row r="24" spans="1:17" x14ac:dyDescent="0.2">
      <c r="A24" s="27" t="s">
        <v>16</v>
      </c>
      <c r="B24" s="28">
        <f>(Depriciation!D8+Depriciation!E8)/100000</f>
        <v>1.9696259999999999E-3</v>
      </c>
      <c r="C24" s="242">
        <f>Depriciation!D8</f>
        <v>196.96260000000001</v>
      </c>
      <c r="D24" s="242">
        <f>C24</f>
        <v>196.96260000000001</v>
      </c>
      <c r="E24" s="28">
        <f>D24</f>
        <v>196.96260000000001</v>
      </c>
      <c r="F24" s="28">
        <f t="shared" ref="F24:H24" si="7">E24</f>
        <v>196.96260000000001</v>
      </c>
      <c r="G24" s="28">
        <f t="shared" si="7"/>
        <v>196.96260000000001</v>
      </c>
      <c r="H24" s="28">
        <f t="shared" si="7"/>
        <v>196.96260000000001</v>
      </c>
      <c r="I24" s="28">
        <f t="shared" ref="I24" si="8">H24</f>
        <v>196.96260000000001</v>
      </c>
      <c r="J24" s="156"/>
      <c r="K24" s="156"/>
      <c r="L24" s="157"/>
      <c r="M24" s="157"/>
      <c r="N24" s="157"/>
      <c r="O24" s="157"/>
    </row>
    <row r="25" spans="1:17" x14ac:dyDescent="0.2">
      <c r="A25" s="27" t="s">
        <v>86</v>
      </c>
      <c r="B25" s="240">
        <f>'P&amp;L'!C18</f>
        <v>26.54439</v>
      </c>
      <c r="C25" s="240">
        <f>'P&amp;L'!D18</f>
        <v>26.54439</v>
      </c>
      <c r="D25" s="240">
        <f>'P&amp;L'!E18</f>
        <v>25.562731500000012</v>
      </c>
      <c r="E25" s="240">
        <f>'P&amp;L'!F18</f>
        <v>21.728321774999998</v>
      </c>
      <c r="F25" s="240">
        <f>'P&amp;L'!G18</f>
        <v>18.46907350875</v>
      </c>
      <c r="G25" s="240">
        <f>'P&amp;L'!H18</f>
        <v>15.6987124824375</v>
      </c>
      <c r="H25" s="240">
        <f>'P&amp;L'!I18</f>
        <v>13.343905610071886</v>
      </c>
      <c r="I25" s="240">
        <f>'P&amp;L'!J18</f>
        <v>11.342319768561083</v>
      </c>
      <c r="J25" s="163"/>
      <c r="K25" s="163"/>
      <c r="L25" s="156"/>
      <c r="M25" s="156"/>
      <c r="N25" s="156"/>
    </row>
    <row r="26" spans="1:17" ht="13.5" thickBot="1" x14ac:dyDescent="0.25">
      <c r="A26" s="25" t="s">
        <v>17</v>
      </c>
      <c r="B26" s="28">
        <f>B24-B25</f>
        <v>-26.542420373999999</v>
      </c>
      <c r="C26" s="242">
        <f>C24-C25</f>
        <v>170.41821000000002</v>
      </c>
      <c r="D26" s="242">
        <f>C26-D25</f>
        <v>144.8554785</v>
      </c>
      <c r="E26" s="242">
        <f t="shared" ref="E26:I26" si="9">D26-E25</f>
        <v>123.12715672500001</v>
      </c>
      <c r="F26" s="242">
        <f t="shared" si="9"/>
        <v>104.65808321625001</v>
      </c>
      <c r="G26" s="242">
        <f t="shared" si="9"/>
        <v>88.959370733812506</v>
      </c>
      <c r="H26" s="242">
        <f t="shared" si="9"/>
        <v>75.61546512374062</v>
      </c>
      <c r="I26" s="242">
        <f t="shared" si="9"/>
        <v>64.273145355179537</v>
      </c>
      <c r="J26" s="156"/>
      <c r="K26" s="156"/>
      <c r="L26" s="156"/>
      <c r="M26" s="156"/>
      <c r="N26" s="156"/>
    </row>
    <row r="27" spans="1:17" ht="13.5" thickBot="1" x14ac:dyDescent="0.25">
      <c r="A27" s="23" t="s">
        <v>3</v>
      </c>
      <c r="B27" s="30">
        <f>B26</f>
        <v>-26.542420373999999</v>
      </c>
      <c r="C27" s="30">
        <f t="shared" ref="C27:I27" si="10">C26</f>
        <v>170.41821000000002</v>
      </c>
      <c r="D27" s="30">
        <f t="shared" si="10"/>
        <v>144.8554785</v>
      </c>
      <c r="E27" s="30">
        <f t="shared" si="10"/>
        <v>123.12715672500001</v>
      </c>
      <c r="F27" s="30">
        <f t="shared" si="10"/>
        <v>104.65808321625001</v>
      </c>
      <c r="G27" s="30">
        <f t="shared" si="10"/>
        <v>88.959370733812506</v>
      </c>
      <c r="H27" s="30">
        <f t="shared" si="10"/>
        <v>75.61546512374062</v>
      </c>
      <c r="I27" s="30">
        <f t="shared" si="10"/>
        <v>64.273145355179537</v>
      </c>
      <c r="J27" s="7" t="s">
        <v>66</v>
      </c>
      <c r="K27" s="156"/>
      <c r="L27" s="157"/>
      <c r="M27" s="157"/>
      <c r="N27" s="157"/>
    </row>
    <row r="28" spans="1:17" ht="13.5" thickBot="1" x14ac:dyDescent="0.25">
      <c r="A28" s="33"/>
      <c r="B28" s="24"/>
      <c r="C28" s="24"/>
      <c r="D28" s="31"/>
      <c r="E28" s="31"/>
      <c r="F28" s="31"/>
      <c r="G28" s="31"/>
      <c r="H28" s="31"/>
      <c r="I28" s="31"/>
      <c r="J28" s="164"/>
      <c r="K28" s="164"/>
      <c r="L28" s="156"/>
      <c r="M28" s="156"/>
      <c r="N28" s="156"/>
    </row>
    <row r="29" spans="1:17" ht="13.5" thickBot="1" x14ac:dyDescent="0.25">
      <c r="A29" s="23" t="s">
        <v>131</v>
      </c>
      <c r="B29" s="30">
        <v>0</v>
      </c>
      <c r="C29" s="30">
        <v>0</v>
      </c>
      <c r="D29" s="30">
        <v>0</v>
      </c>
      <c r="E29" s="30">
        <f>D29</f>
        <v>0</v>
      </c>
      <c r="F29" s="30">
        <f t="shared" ref="F29:G29" si="11">E29</f>
        <v>0</v>
      </c>
      <c r="G29" s="30">
        <f t="shared" si="11"/>
        <v>0</v>
      </c>
      <c r="H29" s="30"/>
      <c r="I29" s="30"/>
      <c r="J29" s="156"/>
      <c r="K29" s="156"/>
      <c r="L29" s="157"/>
      <c r="M29" s="157"/>
      <c r="N29" s="157"/>
      <c r="O29" s="157"/>
    </row>
    <row r="30" spans="1:17" x14ac:dyDescent="0.2">
      <c r="A30" s="33"/>
      <c r="B30" s="24"/>
      <c r="C30" s="24"/>
      <c r="D30" s="34"/>
      <c r="E30" s="34"/>
      <c r="F30" s="34"/>
      <c r="G30" s="34"/>
      <c r="H30" s="31"/>
      <c r="I30" s="31"/>
      <c r="J30" s="156"/>
      <c r="K30" s="156"/>
      <c r="L30" s="157"/>
      <c r="M30" s="157"/>
      <c r="N30" s="157"/>
    </row>
    <row r="31" spans="1:17" x14ac:dyDescent="0.2">
      <c r="A31" s="25" t="s">
        <v>18</v>
      </c>
      <c r="B31" s="235"/>
      <c r="C31" s="235"/>
      <c r="D31" s="31"/>
      <c r="E31" s="31"/>
      <c r="F31" s="31"/>
      <c r="G31" s="31"/>
      <c r="H31" s="31"/>
      <c r="I31" s="31"/>
      <c r="J31" s="156"/>
      <c r="K31" s="156"/>
      <c r="L31" s="156"/>
      <c r="M31" s="156"/>
      <c r="N31" s="156"/>
    </row>
    <row r="32" spans="1:17" x14ac:dyDescent="0.2">
      <c r="A32" s="27" t="s">
        <v>57</v>
      </c>
      <c r="B32" s="28">
        <f>'P&amp;L'!C7/12*1.5</f>
        <v>15.1875</v>
      </c>
      <c r="C32" s="28">
        <f>'P&amp;L'!D7/12*1.5</f>
        <v>103.125</v>
      </c>
      <c r="D32" s="28">
        <f>'P&amp;L'!E7/12*1.5</f>
        <v>121.9453125</v>
      </c>
      <c r="E32" s="28">
        <f>'P&amp;L'!F7/12*1.5</f>
        <v>143.00859375000002</v>
      </c>
      <c r="F32" s="28">
        <f>'P&amp;L'!G7/12*1.5</f>
        <v>166.54542480468754</v>
      </c>
      <c r="G32" s="28">
        <f>'P&amp;L'!H7/12*1.5</f>
        <v>192.80835717773442</v>
      </c>
      <c r="H32" s="28">
        <f>'P&amp;L'!I7/12*1.5</f>
        <v>266.48869367065424</v>
      </c>
      <c r="I32" s="28">
        <f>'P&amp;L'!J7/12*1.5</f>
        <v>302.39064267906184</v>
      </c>
      <c r="J32" s="164"/>
      <c r="K32" s="164"/>
      <c r="L32" s="156"/>
      <c r="M32" s="156"/>
      <c r="N32" s="156"/>
    </row>
    <row r="33" spans="1:22" x14ac:dyDescent="0.2">
      <c r="A33" s="27" t="s">
        <v>58</v>
      </c>
      <c r="B33" s="147">
        <v>17.038454166666611</v>
      </c>
      <c r="C33" s="147">
        <v>73.660268851851811</v>
      </c>
      <c r="D33" s="147">
        <v>152.31473787746899</v>
      </c>
      <c r="E33" s="147">
        <v>240.45452788604911</v>
      </c>
      <c r="F33" s="147">
        <v>344.13456202211847</v>
      </c>
      <c r="G33" s="147">
        <v>462.21083600574775</v>
      </c>
      <c r="H33" s="147">
        <v>651.51996764239846</v>
      </c>
      <c r="I33" s="147">
        <v>842.09352704319849</v>
      </c>
      <c r="J33" s="156"/>
      <c r="K33" s="156"/>
      <c r="L33" s="156"/>
      <c r="M33" s="156"/>
      <c r="N33" s="156"/>
    </row>
    <row r="34" spans="1:22" x14ac:dyDescent="0.2">
      <c r="A34" s="27" t="s">
        <v>129</v>
      </c>
      <c r="B34" s="28">
        <f>'P&amp;L'!C9/12*2.3</f>
        <v>23.287499999999998</v>
      </c>
      <c r="C34" s="28">
        <f>'P&amp;L'!D9/12*0.35</f>
        <v>24.0625</v>
      </c>
      <c r="D34" s="28">
        <f>'P&amp;L'!E9/12*0.35</f>
        <v>28.453906249999999</v>
      </c>
      <c r="E34" s="28">
        <f>'P&amp;L'!F9/12*0.35</f>
        <v>33.368671875000004</v>
      </c>
      <c r="F34" s="28">
        <f>'P&amp;L'!G9/12*0.35</f>
        <v>38.860599121093756</v>
      </c>
      <c r="G34" s="28">
        <f>'P&amp;L'!H9/12*0.35</f>
        <v>44.988616674804696</v>
      </c>
      <c r="H34" s="28">
        <f>'P&amp;L'!I9/12*0.35</f>
        <v>62.180695189819318</v>
      </c>
      <c r="I34" s="28">
        <f>'P&amp;L'!J9/12*0.35</f>
        <v>70.557816625114427</v>
      </c>
      <c r="J34" s="156"/>
      <c r="K34" s="156"/>
      <c r="L34" s="156"/>
      <c r="M34" s="156"/>
      <c r="N34" s="156"/>
    </row>
    <row r="35" spans="1:22" x14ac:dyDescent="0.2">
      <c r="A35" s="27" t="s">
        <v>132</v>
      </c>
      <c r="B35" s="28">
        <v>10</v>
      </c>
      <c r="C35" s="28">
        <f>B35*1.05</f>
        <v>10.5</v>
      </c>
      <c r="D35" s="28">
        <f t="shared" ref="D35:H35" si="12">C35*1.05</f>
        <v>11.025</v>
      </c>
      <c r="E35" s="28">
        <f t="shared" si="12"/>
        <v>11.576250000000002</v>
      </c>
      <c r="F35" s="28">
        <f t="shared" si="12"/>
        <v>12.155062500000001</v>
      </c>
      <c r="G35" s="28">
        <f t="shared" si="12"/>
        <v>12.762815625000002</v>
      </c>
      <c r="H35" s="28">
        <f t="shared" si="12"/>
        <v>13.400956406250003</v>
      </c>
      <c r="I35" s="28">
        <f t="shared" ref="I35" si="13">H35*1.05</f>
        <v>14.071004226562504</v>
      </c>
      <c r="J35" s="156"/>
      <c r="K35" s="156"/>
      <c r="L35" s="156"/>
      <c r="M35" s="156"/>
      <c r="N35" s="156"/>
    </row>
    <row r="36" spans="1:22" ht="13.5" thickBot="1" x14ac:dyDescent="0.25">
      <c r="A36" s="27" t="s">
        <v>59</v>
      </c>
      <c r="B36" s="29">
        <f>B32*50%</f>
        <v>7.59375</v>
      </c>
      <c r="C36" s="29">
        <v>7.59375</v>
      </c>
      <c r="D36" s="29">
        <v>7.59375</v>
      </c>
      <c r="E36" s="29">
        <v>7.59375</v>
      </c>
      <c r="F36" s="29">
        <v>7.59375</v>
      </c>
      <c r="G36" s="29">
        <v>7.59375</v>
      </c>
      <c r="H36" s="29">
        <v>7.59375</v>
      </c>
      <c r="I36" s="29">
        <v>7.59375</v>
      </c>
      <c r="J36" s="156"/>
      <c r="K36" s="156"/>
      <c r="L36" s="156"/>
      <c r="M36" s="156"/>
      <c r="N36" s="156"/>
    </row>
    <row r="37" spans="1:22" ht="13.5" thickBot="1" x14ac:dyDescent="0.25">
      <c r="A37" s="23" t="s">
        <v>3</v>
      </c>
      <c r="B37" s="239">
        <f>SUM(B32:B36)</f>
        <v>73.107204166666605</v>
      </c>
      <c r="C37" s="239">
        <f>SUM(C32:C36)</f>
        <v>218.94151885185181</v>
      </c>
      <c r="D37" s="30">
        <f t="shared" ref="D37:G37" si="14">SUM(D32:D36)</f>
        <v>321.33270662746895</v>
      </c>
      <c r="E37" s="30">
        <f t="shared" si="14"/>
        <v>436.00179351104913</v>
      </c>
      <c r="F37" s="30">
        <f t="shared" si="14"/>
        <v>569.28939844789977</v>
      </c>
      <c r="G37" s="30">
        <f t="shared" si="14"/>
        <v>720.36437548328695</v>
      </c>
      <c r="H37" s="30">
        <f t="shared" ref="H37:I37" si="15">SUM(H32:H36)</f>
        <v>1001.184062909122</v>
      </c>
      <c r="I37" s="30">
        <f t="shared" si="15"/>
        <v>1236.7067405739372</v>
      </c>
      <c r="J37" s="164" t="s">
        <v>75</v>
      </c>
      <c r="K37" s="264"/>
      <c r="L37" s="264" t="e">
        <f t="shared" ref="L37" si="16">-B38+B19</f>
        <v>#REF!</v>
      </c>
      <c r="M37" s="264">
        <f t="shared" ref="M37" si="17">-C38+C19</f>
        <v>0</v>
      </c>
      <c r="N37" s="264">
        <f t="shared" ref="N37" si="18">-D38+D19</f>
        <v>0</v>
      </c>
      <c r="O37" s="264">
        <f t="shared" ref="O37" si="19">-E38+E19</f>
        <v>0</v>
      </c>
      <c r="P37" s="264">
        <f t="shared" ref="P37" si="20">-F38+F19</f>
        <v>0</v>
      </c>
      <c r="Q37" s="264">
        <f t="shared" ref="Q37" si="21">-G38+G19</f>
        <v>0</v>
      </c>
      <c r="R37" s="264">
        <f t="shared" ref="R37" si="22">-H38+H19</f>
        <v>0</v>
      </c>
      <c r="S37" s="264">
        <f t="shared" ref="S37" si="23">-I38+I19</f>
        <v>0</v>
      </c>
      <c r="T37" s="264"/>
      <c r="U37" s="264"/>
      <c r="V37" s="264"/>
    </row>
    <row r="38" spans="1:22" ht="13.5" thickBot="1" x14ac:dyDescent="0.3">
      <c r="A38" s="105" t="s">
        <v>28</v>
      </c>
      <c r="B38" s="241">
        <f>B27+B29+B37</f>
        <v>46.564783792666603</v>
      </c>
      <c r="C38" s="30">
        <f t="shared" ref="C38:G38" si="24">C27+C29+C37</f>
        <v>389.35972885185186</v>
      </c>
      <c r="D38" s="30">
        <f t="shared" si="24"/>
        <v>466.18818512746896</v>
      </c>
      <c r="E38" s="30">
        <f t="shared" si="24"/>
        <v>559.12895023604915</v>
      </c>
      <c r="F38" s="30">
        <f t="shared" si="24"/>
        <v>673.94748166414979</v>
      </c>
      <c r="G38" s="30">
        <f t="shared" si="24"/>
        <v>809.32374621709948</v>
      </c>
      <c r="H38" s="30">
        <f t="shared" ref="H38:I38" si="25">H27+H29+H37</f>
        <v>1076.7995280328626</v>
      </c>
      <c r="I38" s="30">
        <f t="shared" si="25"/>
        <v>1300.9798859291168</v>
      </c>
    </row>
    <row r="39" spans="1:22" ht="13.5" hidden="1" thickBot="1" x14ac:dyDescent="0.3">
      <c r="A39" s="106"/>
      <c r="B39" s="231"/>
      <c r="C39" s="231"/>
      <c r="D39" s="28"/>
      <c r="E39" s="28"/>
      <c r="F39" s="28"/>
      <c r="G39" s="28"/>
      <c r="H39" s="28"/>
      <c r="I39" s="28"/>
    </row>
    <row r="40" spans="1:22" ht="13.5" hidden="1" thickBot="1" x14ac:dyDescent="0.3">
      <c r="A40" s="36" t="s">
        <v>20</v>
      </c>
      <c r="B40" s="233"/>
      <c r="C40" s="233"/>
      <c r="D40" s="37">
        <f>D19-D38</f>
        <v>0</v>
      </c>
      <c r="E40" s="37">
        <f>E19-E38</f>
        <v>0</v>
      </c>
      <c r="F40" s="37">
        <f>F19-F38</f>
        <v>0</v>
      </c>
      <c r="G40" s="37">
        <f>G19-G38</f>
        <v>0</v>
      </c>
      <c r="H40" s="37"/>
      <c r="I40" s="37"/>
      <c r="J40" s="165"/>
      <c r="K40" s="165"/>
    </row>
    <row r="41" spans="1:22" ht="13.5" hidden="1" thickBot="1" x14ac:dyDescent="0.3">
      <c r="A41" s="45"/>
      <c r="B41" s="234"/>
      <c r="C41" s="234"/>
      <c r="D41" s="46"/>
      <c r="E41" s="46"/>
      <c r="F41" s="46"/>
      <c r="G41" s="46"/>
      <c r="H41" s="46"/>
      <c r="I41" s="46"/>
    </row>
    <row r="42" spans="1:22" ht="13.5" thickBot="1" x14ac:dyDescent="0.3">
      <c r="A42" s="202" t="s">
        <v>21</v>
      </c>
      <c r="B42" s="155">
        <v>45717</v>
      </c>
      <c r="C42" s="155">
        <v>46082</v>
      </c>
      <c r="D42" s="38">
        <f>D5</f>
        <v>46447</v>
      </c>
      <c r="E42" s="38">
        <f>E5</f>
        <v>46813</v>
      </c>
      <c r="F42" s="38">
        <f>F5</f>
        <v>47178</v>
      </c>
      <c r="G42" s="38">
        <f>G5</f>
        <v>47543</v>
      </c>
      <c r="H42" s="155">
        <v>11383</v>
      </c>
      <c r="I42" s="155">
        <v>11749</v>
      </c>
    </row>
    <row r="43" spans="1:22" x14ac:dyDescent="0.2">
      <c r="A43" s="203" t="s">
        <v>87</v>
      </c>
      <c r="B43" s="107">
        <f>'P&amp;L'!C25</f>
        <v>9.0260631001371563E-2</v>
      </c>
      <c r="C43" s="107">
        <f>'P&amp;L'!D25</f>
        <v>0.10504242424242426</v>
      </c>
      <c r="D43" s="107">
        <f>'P&amp;L'!E25</f>
        <v>0.11222038567493096</v>
      </c>
      <c r="E43" s="107">
        <f>'P&amp;L'!F25</f>
        <v>0.11502305914745067</v>
      </c>
      <c r="F43" s="107">
        <f>'P&amp;L'!G25</f>
        <v>0.11435567226154714</v>
      </c>
      <c r="G43" s="107">
        <f>'P&amp;L'!H25</f>
        <v>0.11086340007647361</v>
      </c>
      <c r="H43" s="107">
        <f>'P&amp;L'!I25</f>
        <v>0.12048878524152568</v>
      </c>
      <c r="I43" s="354">
        <f>'P&amp;L'!J25</f>
        <v>0.11036927009595025</v>
      </c>
      <c r="J43" s="87"/>
      <c r="K43" s="87"/>
      <c r="L43" s="87"/>
      <c r="M43" s="87"/>
      <c r="N43" s="87"/>
      <c r="O43" s="87"/>
    </row>
    <row r="44" spans="1:22" s="87" customFormat="1" x14ac:dyDescent="0.2">
      <c r="A44" s="33" t="str">
        <f>'[4]Consolidated P&amp;L'!A42</f>
        <v>PBDIT%</v>
      </c>
      <c r="B44" s="39">
        <f>'P&amp;L'!C26</f>
        <v>0.28192729766803815</v>
      </c>
      <c r="C44" s="39">
        <f>'P&amp;L'!D26</f>
        <v>0.13420909090909086</v>
      </c>
      <c r="D44" s="39">
        <f>'P&amp;L'!E26</f>
        <v>0.11672179511820092</v>
      </c>
      <c r="E44" s="39">
        <f>'P&amp;L'!F26</f>
        <v>0.11931892478052557</v>
      </c>
      <c r="F44" s="39">
        <f>'P&amp;L'!G26</f>
        <v>0.11847761620907259</v>
      </c>
      <c r="G44" s="39">
        <f>'P&amp;L'!H26</f>
        <v>0.11483626829352785</v>
      </c>
      <c r="H44" s="39">
        <f>'P&amp;L'!I26</f>
        <v>0.12855295406150843</v>
      </c>
      <c r="I44" s="355">
        <f>'P&amp;L'!J26</f>
        <v>0.11383214239297182</v>
      </c>
      <c r="J44" s="22"/>
      <c r="K44" s="22"/>
      <c r="L44" s="22"/>
      <c r="M44" s="22"/>
      <c r="N44" s="22"/>
      <c r="O44" s="22"/>
    </row>
    <row r="45" spans="1:22" x14ac:dyDescent="0.25">
      <c r="A45" s="33" t="str">
        <f>'[4]Consolidated P&amp;L'!A44</f>
        <v>PBIT%</v>
      </c>
      <c r="B45" s="39">
        <f>'P&amp;L'!C27</f>
        <v>6.3454951989025801E-2</v>
      </c>
      <c r="C45" s="39">
        <f>'P&amp;L'!D27</f>
        <v>0.1020340727272727</v>
      </c>
      <c r="D45" s="39">
        <f>'P&amp;L'!E27</f>
        <v>9.0518726119546283E-2</v>
      </c>
      <c r="E45" s="39">
        <f>'P&amp;L'!F27</f>
        <v>0.10032677787064799</v>
      </c>
      <c r="F45" s="39">
        <f>'P&amp;L'!G27</f>
        <v>0.10461572723012796</v>
      </c>
      <c r="G45" s="39">
        <f>'P&amp;L'!H27</f>
        <v>0.10465860229902034</v>
      </c>
      <c r="H45" s="39">
        <f>'P&amp;L'!I27</f>
        <v>0.12229382096927899</v>
      </c>
      <c r="I45" s="355">
        <f>'P&amp;L'!J27</f>
        <v>0.1091435384120117</v>
      </c>
    </row>
    <row r="46" spans="1:22" x14ac:dyDescent="0.25">
      <c r="A46" s="33" t="str">
        <f>'[4]Consolidated P&amp;L'!A45</f>
        <v>PBT%</v>
      </c>
      <c r="B46" s="39">
        <f>'P&amp;L'!C28</f>
        <v>6.3454951989025801E-2</v>
      </c>
      <c r="C46" s="39">
        <f>'P&amp;L'!D28</f>
        <v>9.5120492480359115E-2</v>
      </c>
      <c r="D46" s="39">
        <f>'P&amp;L'!E28</f>
        <v>8.3786301252284673E-2</v>
      </c>
      <c r="E46" s="39">
        <f>'P&amp;L'!F28</f>
        <v>9.5621889244520655E-2</v>
      </c>
      <c r="F46" s="39">
        <f>'P&amp;L'!G28</f>
        <v>0.10146528729075401</v>
      </c>
      <c r="G46" s="39">
        <f>'P&amp;L'!H28</f>
        <v>0.10270566200437617</v>
      </c>
      <c r="H46" s="39">
        <f>'P&amp;L'!I28</f>
        <v>0.12143676749139051</v>
      </c>
      <c r="I46" s="355">
        <f>'P&amp;L'!J28</f>
        <v>0.10888156566611573</v>
      </c>
    </row>
    <row r="47" spans="1:22" x14ac:dyDescent="0.25">
      <c r="A47" s="33" t="str">
        <f>'[4]Consolidated P&amp;L'!A46</f>
        <v>PAT%</v>
      </c>
      <c r="B47" s="39">
        <f>'P&amp;L'!C29</f>
        <v>4.4418466392318057E-2</v>
      </c>
      <c r="C47" s="39">
        <f>'P&amp;L'!D29</f>
        <v>6.6584344736251383E-2</v>
      </c>
      <c r="D47" s="39">
        <f>'P&amp;L'!E29</f>
        <v>5.8650410876599272E-2</v>
      </c>
      <c r="E47" s="39">
        <f>'P&amp;L'!F29</f>
        <v>6.693532247116446E-2</v>
      </c>
      <c r="F47" s="39">
        <f>'P&amp;L'!G29</f>
        <v>7.1025701103527794E-2</v>
      </c>
      <c r="G47" s="39">
        <f>'P&amp;L'!H29</f>
        <v>7.1893963403063324E-2</v>
      </c>
      <c r="H47" s="39">
        <f>'P&amp;L'!I29</f>
        <v>8.5005737243973353E-2</v>
      </c>
      <c r="I47" s="355">
        <f>'P&amp;L'!J29</f>
        <v>7.6217095966281012E-2</v>
      </c>
    </row>
    <row r="48" spans="1:22" x14ac:dyDescent="0.25">
      <c r="A48" s="33" t="s">
        <v>37</v>
      </c>
      <c r="B48" s="32" t="e">
        <f>(B11)/(B8)</f>
        <v>#REF!</v>
      </c>
      <c r="C48" s="32">
        <f t="shared" ref="C48:I48" si="26">(C11)/(C8)</f>
        <v>0.34675772046458342</v>
      </c>
      <c r="D48" s="32">
        <f t="shared" si="26"/>
        <v>0.20782474793721531</v>
      </c>
      <c r="E48" s="32">
        <f t="shared" si="26"/>
        <v>0.11669380220306727</v>
      </c>
      <c r="F48" s="32">
        <f t="shared" si="26"/>
        <v>5.9359713542610285E-2</v>
      </c>
      <c r="G48" s="32">
        <f t="shared" si="26"/>
        <v>2.3229035238675637E-2</v>
      </c>
      <c r="H48" s="32">
        <f t="shared" si="26"/>
        <v>0</v>
      </c>
      <c r="I48" s="356">
        <f t="shared" si="26"/>
        <v>0</v>
      </c>
    </row>
    <row r="49" spans="1:9" x14ac:dyDescent="0.25">
      <c r="A49" s="33" t="s">
        <v>22</v>
      </c>
      <c r="B49" s="32" t="e">
        <f>IF((B10)&gt;1,B27/(B10),0)</f>
        <v>#REF!</v>
      </c>
      <c r="C49" s="32">
        <f t="shared" ref="C49:I49" si="27">IF((C10)&gt;1,C27/(C10),0)</f>
        <v>2.8758072937500008</v>
      </c>
      <c r="D49" s="32">
        <f t="shared" si="27"/>
        <v>3.0555452496093753</v>
      </c>
      <c r="E49" s="32">
        <f t="shared" si="27"/>
        <v>3.462951282890625</v>
      </c>
      <c r="F49" s="32">
        <f t="shared" si="27"/>
        <v>4.4152628856855483</v>
      </c>
      <c r="G49" s="32">
        <f t="shared" si="27"/>
        <v>7.5059469056654304</v>
      </c>
      <c r="H49" s="32">
        <f t="shared" si="27"/>
        <v>0</v>
      </c>
      <c r="I49" s="356">
        <f t="shared" si="27"/>
        <v>0</v>
      </c>
    </row>
    <row r="50" spans="1:9" x14ac:dyDescent="0.25">
      <c r="A50" s="33" t="s">
        <v>23</v>
      </c>
      <c r="B50" s="112" t="e">
        <f>(B11+B18)/(B8)</f>
        <v>#REF!</v>
      </c>
      <c r="C50" s="112">
        <f t="shared" ref="C50:I50" si="28">(C11+C18)/(C8)</f>
        <v>1.2783526777932275</v>
      </c>
      <c r="D50" s="112">
        <f t="shared" si="28"/>
        <v>1.04367729356754</v>
      </c>
      <c r="E50" s="112">
        <f t="shared" si="28"/>
        <v>0.83506858788652327</v>
      </c>
      <c r="F50" s="112">
        <f t="shared" si="28"/>
        <v>0.68772483635528714</v>
      </c>
      <c r="G50" s="112">
        <f t="shared" si="28"/>
        <v>0.58623395359405461</v>
      </c>
      <c r="H50" s="112">
        <f t="shared" si="28"/>
        <v>0.55732516480101824</v>
      </c>
      <c r="I50" s="357">
        <f t="shared" si="28"/>
        <v>0.48544145142258238</v>
      </c>
    </row>
    <row r="51" spans="1:9" ht="13.5" thickBot="1" x14ac:dyDescent="0.3">
      <c r="A51" s="204" t="s">
        <v>38</v>
      </c>
      <c r="B51" s="40">
        <f>B37/B18</f>
        <v>1.734796223057147</v>
      </c>
      <c r="C51" s="40">
        <f t="shared" ref="C51:I51" si="29">C37/C18</f>
        <v>1.3752160056670399</v>
      </c>
      <c r="D51" s="40">
        <f t="shared" si="29"/>
        <v>1.6852965030984401</v>
      </c>
      <c r="E51" s="40">
        <f t="shared" si="29"/>
        <v>1.9919457981541198</v>
      </c>
      <c r="F51" s="40">
        <f t="shared" si="29"/>
        <v>2.2688020777860278</v>
      </c>
      <c r="G51" s="40">
        <f t="shared" si="29"/>
        <v>2.5077543772566493</v>
      </c>
      <c r="H51" s="40">
        <f t="shared" si="29"/>
        <v>2.598063248606779</v>
      </c>
      <c r="I51" s="358">
        <f t="shared" si="29"/>
        <v>2.9088064660908217</v>
      </c>
    </row>
    <row r="52" spans="1:9" x14ac:dyDescent="0.25">
      <c r="D52" s="32"/>
      <c r="E52" s="32"/>
      <c r="F52" s="32"/>
      <c r="G52" s="32"/>
      <c r="H52" s="32"/>
      <c r="I52" s="32"/>
    </row>
  </sheetData>
  <mergeCells count="4">
    <mergeCell ref="A3:G3"/>
    <mergeCell ref="A1:H1"/>
    <mergeCell ref="A4:I4"/>
    <mergeCell ref="A2:I2"/>
  </mergeCells>
  <printOptions horizontalCentered="1"/>
  <pageMargins left="0.23622047244094491" right="0.23622047244094491" top="0.74803149606299213" bottom="0.74803149606299213" header="0.31496062992125984" footer="0.31496062992125984"/>
  <pageSetup paperSize="9" scale="9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D2FE-0D10-4977-9B53-603979DD877A}">
  <sheetPr>
    <tabColor rgb="FF92D050"/>
  </sheetPr>
  <dimension ref="B1:S31"/>
  <sheetViews>
    <sheetView showGridLines="0" view="pageBreakPreview" zoomScale="120" zoomScaleNormal="100" zoomScaleSheetLayoutView="120" workbookViewId="0">
      <selection activeCell="D7" sqref="D7"/>
    </sheetView>
  </sheetViews>
  <sheetFormatPr defaultColWidth="0" defaultRowHeight="12.75" x14ac:dyDescent="0.2"/>
  <cols>
    <col min="1" max="1" width="2.7109375" style="87" customWidth="1"/>
    <col min="2" max="2" width="37.85546875" style="87" bestFit="1" customWidth="1"/>
    <col min="3" max="3" width="9.7109375" style="87" hidden="1" customWidth="1"/>
    <col min="4" max="4" width="9.7109375" style="87" bestFit="1" customWidth="1"/>
    <col min="5" max="6" width="9.42578125" style="87" customWidth="1"/>
    <col min="7" max="7" width="10.5703125" style="87" bestFit="1" customWidth="1"/>
    <col min="8" max="10" width="9.42578125" style="87" bestFit="1" customWidth="1"/>
    <col min="11" max="11" width="2.7109375" style="187" customWidth="1"/>
    <col min="12" max="12" width="23.28515625" style="87" bestFit="1" customWidth="1"/>
    <col min="13" max="13" width="12.28515625" style="87" bestFit="1" customWidth="1"/>
    <col min="14" max="239" width="9.28515625" style="87" customWidth="1"/>
    <col min="240" max="240" width="31.7109375" style="87" customWidth="1"/>
    <col min="241" max="16384" width="0" style="87" hidden="1"/>
  </cols>
  <sheetData>
    <row r="1" spans="2:19" x14ac:dyDescent="0.2">
      <c r="B1" s="457" t="s">
        <v>156</v>
      </c>
      <c r="C1" s="457"/>
      <c r="D1" s="457"/>
      <c r="E1" s="457"/>
      <c r="F1" s="457"/>
      <c r="G1" s="457"/>
      <c r="H1" s="457"/>
      <c r="I1" s="457"/>
      <c r="J1" s="457"/>
    </row>
    <row r="2" spans="2:19" ht="15" customHeight="1" x14ac:dyDescent="0.2">
      <c r="B2" s="458" t="str">
        <f>BS!A2</f>
        <v xml:space="preserve"> village sandoli post office makri markand Teh sadar district bilaspur</v>
      </c>
      <c r="C2" s="458"/>
      <c r="D2" s="458"/>
      <c r="E2" s="458"/>
      <c r="F2" s="458"/>
      <c r="G2" s="458"/>
      <c r="H2" s="458"/>
      <c r="I2" s="458"/>
      <c r="J2" s="458"/>
      <c r="K2" s="188"/>
      <c r="L2" s="87" t="s">
        <v>157</v>
      </c>
    </row>
    <row r="3" spans="2:19" ht="15" customHeight="1" x14ac:dyDescent="0.2">
      <c r="B3" s="457" t="s">
        <v>125</v>
      </c>
      <c r="C3" s="457"/>
      <c r="D3" s="457"/>
      <c r="E3" s="457"/>
      <c r="F3" s="457"/>
      <c r="G3" s="457"/>
      <c r="H3" s="457"/>
      <c r="I3" s="457"/>
      <c r="J3" s="457"/>
      <c r="K3" s="189"/>
      <c r="L3" s="48" t="s">
        <v>68</v>
      </c>
      <c r="M3" s="49"/>
      <c r="N3" s="49"/>
      <c r="O3" s="49"/>
      <c r="P3" s="49"/>
      <c r="Q3" s="49"/>
      <c r="R3" s="49"/>
      <c r="S3" s="49"/>
    </row>
    <row r="4" spans="2:19" ht="15" customHeight="1" thickBot="1" x14ac:dyDescent="0.25">
      <c r="B4" s="306" t="s">
        <v>115</v>
      </c>
      <c r="C4" s="306"/>
      <c r="D4" s="306"/>
      <c r="E4" s="306"/>
      <c r="F4" s="306"/>
      <c r="G4" s="306"/>
      <c r="H4" s="306"/>
      <c r="I4" s="306"/>
      <c r="J4" s="306"/>
      <c r="K4" s="190"/>
      <c r="L4" s="49"/>
      <c r="M4" s="49"/>
      <c r="N4" s="49"/>
      <c r="O4" s="49"/>
      <c r="P4" s="49"/>
      <c r="Q4" s="49"/>
      <c r="R4" s="49"/>
      <c r="S4" s="49"/>
    </row>
    <row r="5" spans="2:19" ht="13.5" thickBot="1" x14ac:dyDescent="0.25">
      <c r="B5" s="379" t="s">
        <v>1</v>
      </c>
      <c r="C5" s="380">
        <f>BS!B5</f>
        <v>45717</v>
      </c>
      <c r="D5" s="380">
        <f>BS!C5</f>
        <v>46082</v>
      </c>
      <c r="E5" s="380">
        <f>BS!D5</f>
        <v>46447</v>
      </c>
      <c r="F5" s="380">
        <f>BS!E5</f>
        <v>46813</v>
      </c>
      <c r="G5" s="380">
        <f>BS!F5</f>
        <v>47178</v>
      </c>
      <c r="H5" s="380">
        <f>BS!G5</f>
        <v>47543</v>
      </c>
      <c r="I5" s="380">
        <f>BS!H5</f>
        <v>47908</v>
      </c>
      <c r="J5" s="380">
        <v>11749</v>
      </c>
      <c r="K5" s="191"/>
      <c r="L5" s="312" t="s">
        <v>1</v>
      </c>
      <c r="M5" s="115">
        <v>46447</v>
      </c>
      <c r="N5" s="115">
        <v>46813</v>
      </c>
      <c r="O5" s="115">
        <v>47178</v>
      </c>
      <c r="P5" s="115">
        <v>47543</v>
      </c>
      <c r="Q5" s="115">
        <v>47908</v>
      </c>
      <c r="R5" s="115">
        <v>48274</v>
      </c>
      <c r="S5" s="115">
        <v>48639</v>
      </c>
    </row>
    <row r="6" spans="2:19" x14ac:dyDescent="0.2">
      <c r="B6" s="381"/>
      <c r="C6" s="382"/>
      <c r="D6" s="428"/>
      <c r="E6" s="428"/>
      <c r="F6" s="428"/>
      <c r="G6" s="428"/>
      <c r="H6" s="428"/>
      <c r="I6" s="428"/>
      <c r="J6" s="428"/>
      <c r="K6" s="192"/>
      <c r="L6" s="313" t="s">
        <v>69</v>
      </c>
      <c r="M6" s="113">
        <v>0</v>
      </c>
      <c r="N6" s="113">
        <f t="shared" ref="N6:S6" si="0">E17/E9</f>
        <v>0.11672179511820092</v>
      </c>
      <c r="O6" s="113">
        <f t="shared" si="0"/>
        <v>0.11931892478052557</v>
      </c>
      <c r="P6" s="113">
        <f t="shared" si="0"/>
        <v>0.11847761620907259</v>
      </c>
      <c r="Q6" s="113">
        <f t="shared" si="0"/>
        <v>0.11483626829352785</v>
      </c>
      <c r="R6" s="113">
        <f t="shared" si="0"/>
        <v>0.12855295406150843</v>
      </c>
      <c r="S6" s="113">
        <f t="shared" si="0"/>
        <v>0.11383214239297182</v>
      </c>
    </row>
    <row r="7" spans="2:19" x14ac:dyDescent="0.2">
      <c r="B7" s="383" t="s">
        <v>43</v>
      </c>
      <c r="C7" s="384">
        <f>'Sale &amp; Exp Schedule'!B12</f>
        <v>121.5</v>
      </c>
      <c r="D7" s="415">
        <f>'Sale &amp; Exp Schedule'!C12</f>
        <v>825</v>
      </c>
      <c r="E7" s="415">
        <f>'Sale &amp; Exp Schedule'!D12</f>
        <v>975.5625</v>
      </c>
      <c r="F7" s="415">
        <f>'Sale &amp; Exp Schedule'!E12</f>
        <v>1144.0687500000001</v>
      </c>
      <c r="G7" s="415">
        <f>'Sale &amp; Exp Schedule'!F12</f>
        <v>1332.3633984375003</v>
      </c>
      <c r="H7" s="415">
        <f>'Sale &amp; Exp Schedule'!G12</f>
        <v>1542.4668574218754</v>
      </c>
      <c r="I7" s="415">
        <f>'Sale &amp; Exp Schedule'!H12</f>
        <v>2131.9095493652339</v>
      </c>
      <c r="J7" s="415">
        <f>'Sale &amp; Exp Schedule'!I12</f>
        <v>2419.1251414324947</v>
      </c>
      <c r="K7" s="193"/>
      <c r="L7" s="313" t="s">
        <v>85</v>
      </c>
      <c r="M7" s="200">
        <f t="shared" ref="M7:S7" si="1">D9-D12+D13-D14</f>
        <v>117.19750000000002</v>
      </c>
      <c r="N7" s="200">
        <f t="shared" si="1"/>
        <v>160.94659374999986</v>
      </c>
      <c r="O7" s="200">
        <f t="shared" si="1"/>
        <v>183.83207187499997</v>
      </c>
      <c r="P7" s="200">
        <f t="shared" si="1"/>
        <v>205.35002712890616</v>
      </c>
      <c r="Q7" s="200">
        <f t="shared" si="1"/>
        <v>224.71440801660137</v>
      </c>
      <c r="R7" s="200">
        <f t="shared" si="1"/>
        <v>300.91471861799215</v>
      </c>
      <c r="S7" s="200">
        <f t="shared" si="1"/>
        <v>321.28860270807303</v>
      </c>
    </row>
    <row r="8" spans="2:19" ht="13.5" thickBot="1" x14ac:dyDescent="0.25">
      <c r="B8" s="385" t="s">
        <v>2</v>
      </c>
      <c r="C8" s="386">
        <v>0</v>
      </c>
      <c r="D8" s="416">
        <v>0</v>
      </c>
      <c r="E8" s="416">
        <v>0</v>
      </c>
      <c r="F8" s="416">
        <v>0</v>
      </c>
      <c r="G8" s="416">
        <v>0</v>
      </c>
      <c r="H8" s="416">
        <v>0</v>
      </c>
      <c r="I8" s="416">
        <v>0</v>
      </c>
      <c r="J8" s="416">
        <v>0</v>
      </c>
      <c r="K8" s="194"/>
      <c r="L8" s="313" t="s">
        <v>70</v>
      </c>
      <c r="M8" s="201">
        <f t="shared" ref="M8:S8" si="2">D9-D16</f>
        <v>110.72249999999997</v>
      </c>
      <c r="N8" s="201">
        <f t="shared" si="2"/>
        <v>113.86940624999988</v>
      </c>
      <c r="O8" s="201">
        <f t="shared" si="2"/>
        <v>136.50905312499992</v>
      </c>
      <c r="P8" s="201">
        <f t="shared" si="2"/>
        <v>157.85523937109383</v>
      </c>
      <c r="Q8" s="201">
        <f t="shared" si="2"/>
        <v>177.13113787277325</v>
      </c>
      <c r="R8" s="201">
        <f t="shared" si="2"/>
        <v>274.06327036284006</v>
      </c>
      <c r="S8" s="201">
        <f t="shared" si="2"/>
        <v>275.37419756596182</v>
      </c>
    </row>
    <row r="9" spans="2:19" ht="13.5" thickBot="1" x14ac:dyDescent="0.25">
      <c r="B9" s="387" t="s">
        <v>44</v>
      </c>
      <c r="C9" s="388">
        <f>C7+C8</f>
        <v>121.5</v>
      </c>
      <c r="D9" s="417">
        <f t="shared" ref="D9:H9" si="3">D7+D8</f>
        <v>825</v>
      </c>
      <c r="E9" s="417">
        <f t="shared" si="3"/>
        <v>975.5625</v>
      </c>
      <c r="F9" s="417">
        <f t="shared" si="3"/>
        <v>1144.0687500000001</v>
      </c>
      <c r="G9" s="417">
        <f t="shared" si="3"/>
        <v>1332.3633984375003</v>
      </c>
      <c r="H9" s="417">
        <f t="shared" si="3"/>
        <v>1542.4668574218754</v>
      </c>
      <c r="I9" s="417">
        <f t="shared" ref="I9:J9" si="4">I7+I8</f>
        <v>2131.9095493652339</v>
      </c>
      <c r="J9" s="417">
        <f t="shared" si="4"/>
        <v>2419.1251414324947</v>
      </c>
      <c r="K9" s="195"/>
      <c r="L9" s="313" t="s">
        <v>71</v>
      </c>
      <c r="M9" s="113">
        <v>0</v>
      </c>
      <c r="N9" s="113">
        <f t="shared" ref="N9:S9" si="5">E23/E9</f>
        <v>5.8650410876599272E-2</v>
      </c>
      <c r="O9" s="113">
        <f t="shared" si="5"/>
        <v>6.693532247116446E-2</v>
      </c>
      <c r="P9" s="113">
        <f t="shared" si="5"/>
        <v>7.1025701103527794E-2</v>
      </c>
      <c r="Q9" s="113">
        <f t="shared" si="5"/>
        <v>7.1893963403063324E-2</v>
      </c>
      <c r="R9" s="113">
        <f t="shared" si="5"/>
        <v>8.5005737243973353E-2</v>
      </c>
      <c r="S9" s="113">
        <f t="shared" si="5"/>
        <v>7.6217095966281012E-2</v>
      </c>
    </row>
    <row r="10" spans="2:19" ht="13.5" thickBot="1" x14ac:dyDescent="0.25">
      <c r="B10" s="389"/>
      <c r="C10" s="389"/>
      <c r="D10" s="418"/>
      <c r="E10" s="418"/>
      <c r="F10" s="418"/>
      <c r="G10" s="418"/>
      <c r="H10" s="418"/>
      <c r="I10" s="418"/>
      <c r="J10" s="418"/>
      <c r="K10" s="186"/>
      <c r="L10" s="314" t="s">
        <v>72</v>
      </c>
      <c r="M10" s="114">
        <v>0</v>
      </c>
      <c r="N10" s="114">
        <f t="shared" ref="N10:S10" si="6">N8/E20</f>
        <v>17.337259222274419</v>
      </c>
      <c r="O10" s="114">
        <f t="shared" si="6"/>
        <v>25.360626842029799</v>
      </c>
      <c r="P10" s="114">
        <f t="shared" si="6"/>
        <v>37.606689379584118</v>
      </c>
      <c r="Q10" s="114">
        <f t="shared" si="6"/>
        <v>58.801730195469808</v>
      </c>
      <c r="R10" s="114">
        <f t="shared" si="6"/>
        <v>149.99408715804086</v>
      </c>
      <c r="S10" s="114">
        <f t="shared" si="6"/>
        <v>434.5190260294072</v>
      </c>
    </row>
    <row r="11" spans="2:19" ht="13.5" thickBot="1" x14ac:dyDescent="0.25">
      <c r="B11" s="390" t="s">
        <v>45</v>
      </c>
      <c r="C11" s="391"/>
      <c r="D11" s="419"/>
      <c r="E11" s="419"/>
      <c r="F11" s="419"/>
      <c r="G11" s="419"/>
      <c r="H11" s="419"/>
      <c r="I11" s="419"/>
      <c r="J11" s="419"/>
      <c r="K11" s="195"/>
      <c r="L11" s="89"/>
      <c r="M11" s="89"/>
    </row>
    <row r="12" spans="2:19" x14ac:dyDescent="0.2">
      <c r="B12" s="392" t="s">
        <v>130</v>
      </c>
      <c r="C12" s="393">
        <f>'Sale &amp; Exp Schedule'!B25</f>
        <v>98.633333333333354</v>
      </c>
      <c r="D12" s="420">
        <f>'Sale &amp; Exp Schedule'!C25</f>
        <v>639.64</v>
      </c>
      <c r="E12" s="420">
        <f>'Sale &amp; Exp Schedule'!D25</f>
        <v>765.02200000000016</v>
      </c>
      <c r="F12" s="420">
        <f>'Sale &amp; Exp Schedule'!E25</f>
        <v>908.98935000000017</v>
      </c>
      <c r="G12" s="420">
        <f>'Sale &amp; Exp Schedule'!F25</f>
        <v>1074.0305675000004</v>
      </c>
      <c r="H12" s="420">
        <f>'Sale &amp; Exp Schedule'!G25</f>
        <v>1262.9462833750006</v>
      </c>
      <c r="I12" s="420">
        <f>'Sale &amp; Exp Schedule'!H25</f>
        <v>1763.9076500437507</v>
      </c>
      <c r="J12" s="420">
        <f>'Sale &amp; Exp Schedule'!I25</f>
        <v>2038.3169375459381</v>
      </c>
      <c r="K12" s="195"/>
      <c r="L12" s="89"/>
      <c r="M12" s="89"/>
    </row>
    <row r="13" spans="2:19" x14ac:dyDescent="0.2">
      <c r="B13" s="394" t="s">
        <v>126</v>
      </c>
      <c r="C13" s="395">
        <f>-BS!B34</f>
        <v>-23.287499999999998</v>
      </c>
      <c r="D13" s="421">
        <f>-BS!C34</f>
        <v>-24.0625</v>
      </c>
      <c r="E13" s="421">
        <f>BS!C34-BS!D34</f>
        <v>-4.3914062499999993</v>
      </c>
      <c r="F13" s="421">
        <f>BS!D34-BS!E34</f>
        <v>-4.9147656250000047</v>
      </c>
      <c r="G13" s="421">
        <f>BS!E34-BS!F34</f>
        <v>-5.491927246093752</v>
      </c>
      <c r="H13" s="421">
        <f>BS!F34-BS!G34</f>
        <v>-6.12801755371094</v>
      </c>
      <c r="I13" s="421">
        <f>BS!G34-BS!H34</f>
        <v>-17.192078515014622</v>
      </c>
      <c r="J13" s="421">
        <f>BS!H34-BS!I34</f>
        <v>-8.3771214352951091</v>
      </c>
      <c r="K13" s="195"/>
      <c r="L13" s="89"/>
      <c r="M13" s="89"/>
      <c r="P13" s="90"/>
      <c r="Q13" s="90"/>
      <c r="R13" s="90"/>
      <c r="S13" s="90"/>
    </row>
    <row r="14" spans="2:19" x14ac:dyDescent="0.2">
      <c r="B14" s="394" t="s">
        <v>127</v>
      </c>
      <c r="C14" s="395">
        <f>3.5*1</f>
        <v>3.5</v>
      </c>
      <c r="D14" s="421">
        <f>3.5*1.05*12</f>
        <v>44.1</v>
      </c>
      <c r="E14" s="421">
        <f>D14*1.025</f>
        <v>45.202500000000001</v>
      </c>
      <c r="F14" s="421">
        <f t="shared" ref="F14:J14" si="7">E14*1.025</f>
        <v>46.332562499999995</v>
      </c>
      <c r="G14" s="421">
        <f t="shared" si="7"/>
        <v>47.490876562499992</v>
      </c>
      <c r="H14" s="421">
        <f t="shared" si="7"/>
        <v>48.678148476562484</v>
      </c>
      <c r="I14" s="421">
        <f t="shared" si="7"/>
        <v>49.895102188476542</v>
      </c>
      <c r="J14" s="421">
        <f t="shared" si="7"/>
        <v>51.142479743188453</v>
      </c>
      <c r="K14" s="195"/>
      <c r="L14" s="89"/>
      <c r="M14" s="92"/>
      <c r="N14" s="93"/>
      <c r="O14" s="93"/>
      <c r="P14" s="91"/>
      <c r="Q14" s="91"/>
      <c r="R14" s="91"/>
      <c r="S14" s="91"/>
    </row>
    <row r="15" spans="2:19" ht="13.5" thickBot="1" x14ac:dyDescent="0.25">
      <c r="B15" s="394" t="s">
        <v>128</v>
      </c>
      <c r="C15" s="396">
        <f>'Sale &amp; Exp Schedule'!B33</f>
        <v>8.4</v>
      </c>
      <c r="D15" s="422">
        <f>'Sale &amp; Exp Schedule'!C33</f>
        <v>54.6</v>
      </c>
      <c r="E15" s="422">
        <f>'Sale &amp; Exp Schedule'!D33</f>
        <v>55.86</v>
      </c>
      <c r="F15" s="422">
        <f>'Sale &amp; Exp Schedule'!E33</f>
        <v>57.152549999999998</v>
      </c>
      <c r="G15" s="422">
        <f>'Sale &amp; Exp Schedule'!F33</f>
        <v>58.478642249999993</v>
      </c>
      <c r="H15" s="422">
        <f>'Sale &amp; Exp Schedule'!G33</f>
        <v>59.839305251249989</v>
      </c>
      <c r="I15" s="422">
        <f>'Sale &amp; Exp Schedule'!H33</f>
        <v>61.235605285181244</v>
      </c>
      <c r="J15" s="422">
        <f>'Sale &amp; Exp Schedule'!I33</f>
        <v>62.668648012701283</v>
      </c>
      <c r="K15" s="271"/>
      <c r="L15" s="89"/>
      <c r="M15" s="92"/>
      <c r="N15" s="93"/>
      <c r="O15" s="93"/>
      <c r="P15" s="91"/>
      <c r="Q15" s="91"/>
      <c r="R15" s="91"/>
      <c r="S15" s="91"/>
    </row>
    <row r="16" spans="2:19" ht="13.5" thickBot="1" x14ac:dyDescent="0.25">
      <c r="B16" s="381" t="s">
        <v>47</v>
      </c>
      <c r="C16" s="388">
        <f t="shared" ref="C16:I16" si="8">SUM(C12:C15)</f>
        <v>87.245833333333366</v>
      </c>
      <c r="D16" s="417">
        <f t="shared" si="8"/>
        <v>714.27750000000003</v>
      </c>
      <c r="E16" s="417">
        <f t="shared" si="8"/>
        <v>861.69309375000012</v>
      </c>
      <c r="F16" s="417">
        <f t="shared" si="8"/>
        <v>1007.5596968750002</v>
      </c>
      <c r="G16" s="417">
        <f t="shared" si="8"/>
        <v>1174.5081590664065</v>
      </c>
      <c r="H16" s="417">
        <f t="shared" si="8"/>
        <v>1365.3357195491021</v>
      </c>
      <c r="I16" s="417">
        <f t="shared" si="8"/>
        <v>1857.8462790023939</v>
      </c>
      <c r="J16" s="417">
        <f t="shared" ref="J16" si="9">SUM(J12:J15)</f>
        <v>2143.7509438665329</v>
      </c>
      <c r="K16" s="195"/>
      <c r="L16" s="89">
        <f>G9-G16</f>
        <v>157.85523937109383</v>
      </c>
      <c r="M16" s="89"/>
      <c r="N16" s="94"/>
      <c r="O16" s="94"/>
      <c r="P16" s="94"/>
      <c r="Q16" s="94"/>
      <c r="R16" s="94"/>
      <c r="S16" s="94"/>
    </row>
    <row r="17" spans="2:19" ht="13.5" thickBot="1" x14ac:dyDescent="0.25">
      <c r="B17" s="397" t="s">
        <v>4</v>
      </c>
      <c r="C17" s="398">
        <f>C9-C16</f>
        <v>34.254166666666634</v>
      </c>
      <c r="D17" s="423">
        <f t="shared" ref="D17:H17" si="10">D9-D16</f>
        <v>110.72249999999997</v>
      </c>
      <c r="E17" s="423">
        <f t="shared" si="10"/>
        <v>113.86940624999988</v>
      </c>
      <c r="F17" s="423">
        <f t="shared" si="10"/>
        <v>136.50905312499992</v>
      </c>
      <c r="G17" s="423">
        <f t="shared" si="10"/>
        <v>157.85523937109383</v>
      </c>
      <c r="H17" s="423">
        <f t="shared" si="10"/>
        <v>177.13113787277325</v>
      </c>
      <c r="I17" s="423">
        <f t="shared" ref="I17:J17" si="11">I9-I16</f>
        <v>274.06327036284006</v>
      </c>
      <c r="J17" s="423">
        <f t="shared" si="11"/>
        <v>275.37419756596182</v>
      </c>
      <c r="K17" s="186"/>
      <c r="L17" s="89"/>
      <c r="M17" s="89"/>
      <c r="N17" s="96"/>
      <c r="O17" s="96"/>
      <c r="P17" s="95"/>
      <c r="Q17" s="95"/>
      <c r="R17" s="95"/>
      <c r="S17" s="95"/>
    </row>
    <row r="18" spans="2:19" ht="13.5" thickBot="1" x14ac:dyDescent="0.25">
      <c r="B18" s="383" t="s">
        <v>46</v>
      </c>
      <c r="C18" s="399">
        <f>Depriciation!F9</f>
        <v>26.54439</v>
      </c>
      <c r="D18" s="424">
        <f>Depriciation!F9</f>
        <v>26.54439</v>
      </c>
      <c r="E18" s="424">
        <f>Depriciation!G9-Depriciation!H9</f>
        <v>25.562731500000012</v>
      </c>
      <c r="F18" s="424">
        <f>Depriciation!H9-Depriciation!I9</f>
        <v>21.728321774999998</v>
      </c>
      <c r="G18" s="424">
        <f>Depriciation!I9-Depriciation!J9</f>
        <v>18.46907350875</v>
      </c>
      <c r="H18" s="424">
        <f>Depriciation!J9-Depriciation!K9</f>
        <v>15.6987124824375</v>
      </c>
      <c r="I18" s="424">
        <f>Depriciation!K9-Depriciation!L9</f>
        <v>13.343905610071886</v>
      </c>
      <c r="J18" s="424">
        <f>Depriciation!L9-Depriciation!M9</f>
        <v>11.342319768561083</v>
      </c>
      <c r="K18" s="186"/>
      <c r="M18" s="97"/>
      <c r="N18" s="98"/>
      <c r="O18" s="99"/>
      <c r="P18" s="100"/>
      <c r="Q18" s="100"/>
      <c r="R18" s="100"/>
      <c r="S18" s="100"/>
    </row>
    <row r="19" spans="2:19" ht="13.5" thickBot="1" x14ac:dyDescent="0.25">
      <c r="B19" s="400" t="s">
        <v>6</v>
      </c>
      <c r="C19" s="401">
        <f>C17-C18</f>
        <v>7.7097766666666345</v>
      </c>
      <c r="D19" s="425">
        <f t="shared" ref="D19:F19" si="12">D17-D18</f>
        <v>84.178109999999975</v>
      </c>
      <c r="E19" s="425">
        <f t="shared" si="12"/>
        <v>88.306674749999871</v>
      </c>
      <c r="F19" s="425">
        <f t="shared" si="12"/>
        <v>114.78073134999993</v>
      </c>
      <c r="G19" s="425">
        <f>G17-G18</f>
        <v>139.38616586234383</v>
      </c>
      <c r="H19" s="425">
        <f t="shared" ref="H19:I19" si="13">H17-H18</f>
        <v>161.43242539033577</v>
      </c>
      <c r="I19" s="425">
        <f t="shared" si="13"/>
        <v>260.71936475276817</v>
      </c>
      <c r="J19" s="425">
        <f t="shared" ref="J19" si="14">J17-J18</f>
        <v>264.03187779740074</v>
      </c>
      <c r="K19" s="196"/>
      <c r="L19" s="98">
        <f>G17-G18</f>
        <v>139.38616586234383</v>
      </c>
      <c r="M19" s="98"/>
      <c r="N19" s="102"/>
      <c r="O19" s="102"/>
      <c r="P19" s="101"/>
      <c r="Q19" s="101"/>
      <c r="R19" s="101"/>
      <c r="S19" s="101"/>
    </row>
    <row r="20" spans="2:19" ht="13.5" thickBot="1" x14ac:dyDescent="0.25">
      <c r="B20" s="402" t="s">
        <v>48</v>
      </c>
      <c r="C20" s="403">
        <f>'Finance Cost'!D6</f>
        <v>0</v>
      </c>
      <c r="D20" s="426">
        <f>'Finance Cost'!E6</f>
        <v>5.7037037037037042</v>
      </c>
      <c r="E20" s="426">
        <f>'Finance Cost'!F6</f>
        <v>6.5679012345679011</v>
      </c>
      <c r="F20" s="426">
        <f>'Finance Cost'!G6</f>
        <v>5.3827160493827169</v>
      </c>
      <c r="G20" s="426">
        <f>'Finance Cost'!H6</f>
        <v>4.1975308641975309</v>
      </c>
      <c r="H20" s="426">
        <f>'Finance Cost'!I6</f>
        <v>3.0123456790123457</v>
      </c>
      <c r="I20" s="426">
        <f>'Finance Cost'!J6</f>
        <v>1.8271604938271604</v>
      </c>
      <c r="J20" s="426">
        <f>'Finance Cost'!K6</f>
        <v>0.6337448559670783</v>
      </c>
      <c r="K20" s="186"/>
      <c r="L20" s="98"/>
      <c r="M20" s="98"/>
      <c r="P20" s="100"/>
      <c r="Q20" s="100"/>
      <c r="R20" s="100"/>
      <c r="S20" s="100"/>
    </row>
    <row r="21" spans="2:19" ht="13.5" thickBot="1" x14ac:dyDescent="0.25">
      <c r="B21" s="400" t="s">
        <v>7</v>
      </c>
      <c r="C21" s="401">
        <f>C19-C20</f>
        <v>7.7097766666666345</v>
      </c>
      <c r="D21" s="425">
        <f t="shared" ref="D21:H21" si="15">D19-D20</f>
        <v>78.474406296296266</v>
      </c>
      <c r="E21" s="425">
        <f t="shared" si="15"/>
        <v>81.738773515431973</v>
      </c>
      <c r="F21" s="425">
        <f t="shared" si="15"/>
        <v>109.3980153006172</v>
      </c>
      <c r="G21" s="425">
        <f t="shared" si="15"/>
        <v>135.18863499814631</v>
      </c>
      <c r="H21" s="425">
        <f t="shared" si="15"/>
        <v>158.42007971132341</v>
      </c>
      <c r="I21" s="425">
        <f t="shared" ref="I21:J21" si="16">I19-I20</f>
        <v>258.89220425894104</v>
      </c>
      <c r="J21" s="425">
        <f t="shared" si="16"/>
        <v>263.39813294143369</v>
      </c>
      <c r="K21" s="197"/>
      <c r="L21" s="98"/>
      <c r="M21" s="98"/>
      <c r="N21" s="102"/>
      <c r="O21" s="102"/>
      <c r="P21" s="101"/>
      <c r="Q21" s="101"/>
      <c r="R21" s="101"/>
      <c r="S21" s="101"/>
    </row>
    <row r="22" spans="2:19" ht="13.5" thickBot="1" x14ac:dyDescent="0.25">
      <c r="B22" s="404" t="s">
        <v>36</v>
      </c>
      <c r="C22" s="405">
        <f>C21*0.3</f>
        <v>2.3129329999999904</v>
      </c>
      <c r="D22" s="427">
        <f t="shared" ref="D22:J22" si="17">D21*0.3</f>
        <v>23.542321888888878</v>
      </c>
      <c r="E22" s="427">
        <f t="shared" si="17"/>
        <v>24.521632054629592</v>
      </c>
      <c r="F22" s="427">
        <f t="shared" si="17"/>
        <v>32.819404590185158</v>
      </c>
      <c r="G22" s="427">
        <f t="shared" si="17"/>
        <v>40.556590499443892</v>
      </c>
      <c r="H22" s="427">
        <f t="shared" si="17"/>
        <v>47.526023913397019</v>
      </c>
      <c r="I22" s="427">
        <f t="shared" si="17"/>
        <v>77.667661277682313</v>
      </c>
      <c r="J22" s="427">
        <f t="shared" si="17"/>
        <v>79.019439882430106</v>
      </c>
      <c r="K22" s="186"/>
      <c r="L22" s="98"/>
      <c r="M22" s="98"/>
      <c r="N22" s="132">
        <f>M22*4%</f>
        <v>0</v>
      </c>
      <c r="O22" s="132">
        <f>M22+N22</f>
        <v>0</v>
      </c>
      <c r="P22" s="100"/>
      <c r="Q22" s="100"/>
      <c r="R22" s="100"/>
      <c r="S22" s="100"/>
    </row>
    <row r="23" spans="2:19" ht="13.5" thickBot="1" x14ac:dyDescent="0.25">
      <c r="B23" s="400" t="s">
        <v>8</v>
      </c>
      <c r="C23" s="401">
        <f>C21-SUM(C22:C22)</f>
        <v>5.3968436666666442</v>
      </c>
      <c r="D23" s="425">
        <f t="shared" ref="D23:H23" si="18">D21-SUM(D22:D22)</f>
        <v>54.932084407407388</v>
      </c>
      <c r="E23" s="425">
        <f t="shared" si="18"/>
        <v>57.217141460802381</v>
      </c>
      <c r="F23" s="425">
        <f t="shared" si="18"/>
        <v>76.578610710432045</v>
      </c>
      <c r="G23" s="425">
        <f t="shared" si="18"/>
        <v>94.632044498702413</v>
      </c>
      <c r="H23" s="425">
        <f t="shared" si="18"/>
        <v>110.8940557979264</v>
      </c>
      <c r="I23" s="425">
        <f t="shared" ref="I23:J23" si="19">I21-SUM(I22:I22)</f>
        <v>181.22454298125871</v>
      </c>
      <c r="J23" s="425">
        <f t="shared" si="19"/>
        <v>184.37869305900358</v>
      </c>
      <c r="K23" s="195"/>
      <c r="L23" s="98"/>
      <c r="M23" s="98"/>
      <c r="N23" s="102"/>
      <c r="O23" s="102"/>
      <c r="P23" s="104"/>
      <c r="Q23" s="104"/>
      <c r="R23" s="104"/>
      <c r="S23" s="104"/>
    </row>
    <row r="24" spans="2:19" ht="13.5" thickBot="1" x14ac:dyDescent="0.25">
      <c r="B24" s="406"/>
      <c r="C24" s="407"/>
      <c r="D24" s="430"/>
      <c r="E24" s="430"/>
      <c r="F24" s="430"/>
      <c r="G24" s="430"/>
      <c r="H24" s="430"/>
      <c r="I24" s="430"/>
      <c r="J24" s="430"/>
      <c r="K24" s="186"/>
      <c r="L24" s="98"/>
      <c r="M24" s="98"/>
      <c r="P24" s="100"/>
      <c r="Q24" s="100"/>
      <c r="R24" s="100"/>
      <c r="S24" s="100"/>
    </row>
    <row r="25" spans="2:19" x14ac:dyDescent="0.2">
      <c r="B25" s="408" t="s">
        <v>87</v>
      </c>
      <c r="C25" s="409">
        <f t="shared" ref="C25:D25" si="20">(C7-C12-SUM(C14:C15))/C7</f>
        <v>9.0260631001371563E-2</v>
      </c>
      <c r="D25" s="431">
        <f t="shared" si="20"/>
        <v>0.10504242424242426</v>
      </c>
      <c r="E25" s="431">
        <f t="shared" ref="E25:H25" si="21">(E7-E12-SUM(E14:E15))/E7</f>
        <v>0.11222038567493096</v>
      </c>
      <c r="F25" s="431">
        <f t="shared" si="21"/>
        <v>0.11502305914745067</v>
      </c>
      <c r="G25" s="431">
        <f t="shared" si="21"/>
        <v>0.11435567226154714</v>
      </c>
      <c r="H25" s="431">
        <f t="shared" si="21"/>
        <v>0.11086340007647361</v>
      </c>
      <c r="I25" s="431">
        <f t="shared" ref="I25:J25" si="22">(I7-I12-SUM(I14:I15))/I7</f>
        <v>0.12048878524152568</v>
      </c>
      <c r="J25" s="431">
        <f t="shared" si="22"/>
        <v>0.11036927009595025</v>
      </c>
      <c r="K25" s="198"/>
      <c r="L25" s="98"/>
      <c r="M25" s="98"/>
      <c r="P25" s="100"/>
      <c r="Q25" s="100"/>
      <c r="R25" s="100"/>
      <c r="S25" s="100"/>
    </row>
    <row r="26" spans="2:19" x14ac:dyDescent="0.2">
      <c r="B26" s="410" t="s">
        <v>9</v>
      </c>
      <c r="C26" s="411">
        <f t="shared" ref="C26:D26" si="23">C17/C9</f>
        <v>0.28192729766803815</v>
      </c>
      <c r="D26" s="432">
        <f t="shared" si="23"/>
        <v>0.13420909090909086</v>
      </c>
      <c r="E26" s="432">
        <f t="shared" ref="E26:H26" si="24">E17/E9</f>
        <v>0.11672179511820092</v>
      </c>
      <c r="F26" s="432">
        <f t="shared" si="24"/>
        <v>0.11931892478052557</v>
      </c>
      <c r="G26" s="432">
        <f t="shared" si="24"/>
        <v>0.11847761620907259</v>
      </c>
      <c r="H26" s="432">
        <f t="shared" si="24"/>
        <v>0.11483626829352785</v>
      </c>
      <c r="I26" s="432">
        <f t="shared" ref="I26:J26" si="25">I17/I9</f>
        <v>0.12855295406150843</v>
      </c>
      <c r="J26" s="432">
        <f t="shared" si="25"/>
        <v>0.11383214239297182</v>
      </c>
      <c r="K26" s="199"/>
    </row>
    <row r="27" spans="2:19" x14ac:dyDescent="0.2">
      <c r="B27" s="410" t="s">
        <v>10</v>
      </c>
      <c r="C27" s="411">
        <f t="shared" ref="C27:D27" si="26">C19/C9</f>
        <v>6.3454951989025801E-2</v>
      </c>
      <c r="D27" s="432">
        <f t="shared" si="26"/>
        <v>0.1020340727272727</v>
      </c>
      <c r="E27" s="432">
        <f t="shared" ref="E27:H27" si="27">E19/E9</f>
        <v>9.0518726119546283E-2</v>
      </c>
      <c r="F27" s="432">
        <f t="shared" si="27"/>
        <v>0.10032677787064799</v>
      </c>
      <c r="G27" s="432">
        <f t="shared" si="27"/>
        <v>0.10461572723012796</v>
      </c>
      <c r="H27" s="432">
        <f t="shared" si="27"/>
        <v>0.10465860229902034</v>
      </c>
      <c r="I27" s="432">
        <f t="shared" ref="I27:J27" si="28">I19/I9</f>
        <v>0.12229382096927899</v>
      </c>
      <c r="J27" s="432">
        <f t="shared" si="28"/>
        <v>0.1091435384120117</v>
      </c>
      <c r="K27" s="199"/>
    </row>
    <row r="28" spans="2:19" x14ac:dyDescent="0.2">
      <c r="B28" s="410" t="s">
        <v>11</v>
      </c>
      <c r="C28" s="411">
        <f t="shared" ref="C28:D28" si="29">C21/C9</f>
        <v>6.3454951989025801E-2</v>
      </c>
      <c r="D28" s="432">
        <f t="shared" si="29"/>
        <v>9.5120492480359115E-2</v>
      </c>
      <c r="E28" s="432">
        <f t="shared" ref="E28:H28" si="30">E21/E9</f>
        <v>8.3786301252284673E-2</v>
      </c>
      <c r="F28" s="432">
        <f t="shared" si="30"/>
        <v>9.5621889244520655E-2</v>
      </c>
      <c r="G28" s="432">
        <f t="shared" si="30"/>
        <v>0.10146528729075401</v>
      </c>
      <c r="H28" s="432">
        <f t="shared" si="30"/>
        <v>0.10270566200437617</v>
      </c>
      <c r="I28" s="432">
        <f t="shared" ref="I28:J28" si="31">I21/I9</f>
        <v>0.12143676749139051</v>
      </c>
      <c r="J28" s="432">
        <f t="shared" si="31"/>
        <v>0.10888156566611573</v>
      </c>
      <c r="K28" s="199"/>
    </row>
    <row r="29" spans="2:19" ht="13.5" thickBot="1" x14ac:dyDescent="0.25">
      <c r="B29" s="412" t="s">
        <v>12</v>
      </c>
      <c r="C29" s="413">
        <f t="shared" ref="C29:D29" si="32">C23/C9</f>
        <v>4.4418466392318057E-2</v>
      </c>
      <c r="D29" s="433">
        <f t="shared" si="32"/>
        <v>6.6584344736251383E-2</v>
      </c>
      <c r="E29" s="433">
        <f t="shared" ref="E29:H29" si="33">E23/E9</f>
        <v>5.8650410876599272E-2</v>
      </c>
      <c r="F29" s="433">
        <f t="shared" si="33"/>
        <v>6.693532247116446E-2</v>
      </c>
      <c r="G29" s="433">
        <f t="shared" si="33"/>
        <v>7.1025701103527794E-2</v>
      </c>
      <c r="H29" s="433">
        <f t="shared" si="33"/>
        <v>7.1893963403063324E-2</v>
      </c>
      <c r="I29" s="433">
        <f t="shared" ref="I29:J29" si="34">I23/I9</f>
        <v>8.5005737243973353E-2</v>
      </c>
      <c r="J29" s="433">
        <f t="shared" si="34"/>
        <v>7.6217095966281012E-2</v>
      </c>
      <c r="K29" s="199"/>
    </row>
    <row r="30" spans="2:19" x14ac:dyDescent="0.2">
      <c r="B30" s="389"/>
      <c r="C30" s="389"/>
      <c r="D30" s="429"/>
      <c r="E30" s="429"/>
      <c r="F30" s="429"/>
      <c r="G30" s="429"/>
      <c r="H30" s="429"/>
      <c r="I30" s="429"/>
      <c r="J30" s="429"/>
      <c r="K30" s="199"/>
    </row>
    <row r="31" spans="2:19" x14ac:dyDescent="0.2">
      <c r="D31" s="103"/>
      <c r="E31" s="103"/>
      <c r="F31" s="103"/>
      <c r="G31" s="103"/>
      <c r="H31" s="103"/>
      <c r="I31" s="103"/>
      <c r="J31" s="103"/>
      <c r="K31" s="195"/>
    </row>
  </sheetData>
  <mergeCells count="3">
    <mergeCell ref="B3:J3"/>
    <mergeCell ref="B1:J1"/>
    <mergeCell ref="B2:J2"/>
  </mergeCells>
  <printOptions horizontalCentered="1"/>
  <pageMargins left="0.4" right="0.4" top="0.4" bottom="0.4" header="0.4" footer="0.4"/>
  <pageSetup paperSize="9"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F6F5-46C5-46D8-8320-53AB41F3B62E}">
  <sheetPr>
    <tabColor rgb="FF92D050"/>
  </sheetPr>
  <dimension ref="A1:M33"/>
  <sheetViews>
    <sheetView view="pageBreakPreview" zoomScaleNormal="100" zoomScaleSheetLayoutView="100" workbookViewId="0">
      <selection activeCell="C7" sqref="C7"/>
    </sheetView>
  </sheetViews>
  <sheetFormatPr defaultRowHeight="15" x14ac:dyDescent="0.25"/>
  <cols>
    <col min="1" max="1" width="31.28515625" customWidth="1"/>
    <col min="2" max="2" width="18.42578125" hidden="1" customWidth="1"/>
    <col min="3" max="6" width="19.5703125" bestFit="1" customWidth="1"/>
    <col min="7" max="7" width="19" bestFit="1" customWidth="1"/>
    <col min="8" max="10" width="19.5703125" bestFit="1" customWidth="1"/>
  </cols>
  <sheetData>
    <row r="1" spans="1:13" x14ac:dyDescent="0.25">
      <c r="A1" s="24" t="s">
        <v>156</v>
      </c>
      <c r="B1" s="24"/>
      <c r="C1" s="24"/>
      <c r="D1" s="24"/>
      <c r="E1" s="24"/>
      <c r="F1" s="24"/>
      <c r="G1" s="24"/>
      <c r="H1" s="24"/>
      <c r="I1" s="24"/>
      <c r="J1" s="24"/>
    </row>
    <row r="2" spans="1:13" x14ac:dyDescent="0.25">
      <c r="A2" s="316" t="str">
        <f>'P&amp;L'!B2:B2</f>
        <v xml:space="preserve"> village sandoli post office makri markand Teh sadar district bilaspur</v>
      </c>
      <c r="B2" s="316"/>
      <c r="C2" s="316"/>
      <c r="D2" s="316"/>
      <c r="E2" s="316"/>
      <c r="F2" s="316"/>
      <c r="G2" s="316"/>
      <c r="H2" s="316"/>
      <c r="I2" s="316"/>
      <c r="J2" s="316"/>
    </row>
    <row r="3" spans="1:13" x14ac:dyDescent="0.25">
      <c r="A3" s="24" t="s">
        <v>170</v>
      </c>
      <c r="B3" s="24"/>
      <c r="C3" s="24"/>
      <c r="D3" s="24"/>
      <c r="E3" s="24"/>
      <c r="F3" s="24"/>
      <c r="G3" s="24"/>
      <c r="H3" s="24"/>
      <c r="I3" s="24"/>
      <c r="J3" s="24"/>
    </row>
    <row r="4" spans="1:13" x14ac:dyDescent="0.25">
      <c r="A4" s="321" t="s">
        <v>115</v>
      </c>
      <c r="B4" s="315"/>
      <c r="C4" s="315"/>
      <c r="D4" s="315"/>
      <c r="E4" s="315"/>
      <c r="F4" s="315"/>
      <c r="G4" s="315"/>
      <c r="H4" s="315"/>
      <c r="I4" s="315"/>
      <c r="J4" s="315"/>
    </row>
    <row r="5" spans="1:13" x14ac:dyDescent="0.25">
      <c r="A5" s="322" t="s">
        <v>35</v>
      </c>
      <c r="B5" s="323">
        <v>45717</v>
      </c>
      <c r="C5" s="323">
        <f>BS!C5</f>
        <v>46082</v>
      </c>
      <c r="D5" s="323">
        <f>BS!D5</f>
        <v>46447</v>
      </c>
      <c r="E5" s="323">
        <f>BS!E5</f>
        <v>46813</v>
      </c>
      <c r="F5" s="323">
        <f>BS!F5</f>
        <v>47178</v>
      </c>
      <c r="G5" s="323">
        <f>BS!G5</f>
        <v>47543</v>
      </c>
      <c r="H5" s="323">
        <v>11383</v>
      </c>
      <c r="I5" s="323">
        <v>11749</v>
      </c>
      <c r="J5" s="323">
        <v>12114</v>
      </c>
    </row>
    <row r="6" spans="1:13" x14ac:dyDescent="0.25">
      <c r="A6" s="168" t="s">
        <v>163</v>
      </c>
      <c r="B6" s="324">
        <v>0.6</v>
      </c>
      <c r="C6" s="325">
        <v>0.5</v>
      </c>
      <c r="D6" s="325">
        <f t="shared" ref="D6:G6" si="0">C6+5%</f>
        <v>0.55000000000000004</v>
      </c>
      <c r="E6" s="325">
        <f t="shared" si="0"/>
        <v>0.60000000000000009</v>
      </c>
      <c r="F6" s="325">
        <f t="shared" si="0"/>
        <v>0.65000000000000013</v>
      </c>
      <c r="G6" s="325">
        <f t="shared" si="0"/>
        <v>0.70000000000000018</v>
      </c>
      <c r="H6" s="325">
        <v>0.9</v>
      </c>
      <c r="I6" s="325">
        <v>0.95</v>
      </c>
      <c r="J6" s="325">
        <v>1</v>
      </c>
    </row>
    <row r="7" spans="1:13" x14ac:dyDescent="0.25">
      <c r="A7" s="168" t="s">
        <v>164</v>
      </c>
      <c r="B7" s="168">
        <v>25000</v>
      </c>
      <c r="C7" s="168">
        <v>22000</v>
      </c>
      <c r="D7" s="168">
        <f>C7</f>
        <v>22000</v>
      </c>
      <c r="E7" s="168">
        <f t="shared" ref="E7:J7" si="1">D7</f>
        <v>22000</v>
      </c>
      <c r="F7" s="168">
        <f t="shared" si="1"/>
        <v>22000</v>
      </c>
      <c r="G7" s="168">
        <f t="shared" si="1"/>
        <v>22000</v>
      </c>
      <c r="H7" s="168">
        <f t="shared" si="1"/>
        <v>22000</v>
      </c>
      <c r="I7" s="168">
        <f t="shared" si="1"/>
        <v>22000</v>
      </c>
      <c r="J7" s="168">
        <f t="shared" si="1"/>
        <v>22000</v>
      </c>
    </row>
    <row r="8" spans="1:13" x14ac:dyDescent="0.25">
      <c r="A8" s="168" t="s">
        <v>165</v>
      </c>
      <c r="B8" s="168">
        <v>27</v>
      </c>
      <c r="C8" s="168">
        <v>25</v>
      </c>
      <c r="D8" s="326">
        <f>C8*1.075</f>
        <v>26.875</v>
      </c>
      <c r="E8" s="326">
        <f t="shared" ref="E8:J8" si="2">D8*1.075</f>
        <v>28.890625</v>
      </c>
      <c r="F8" s="326">
        <f t="shared" si="2"/>
        <v>31.057421874999999</v>
      </c>
      <c r="G8" s="326">
        <f t="shared" si="2"/>
        <v>33.386728515624995</v>
      </c>
      <c r="H8" s="326">
        <f t="shared" si="2"/>
        <v>35.890733154296868</v>
      </c>
      <c r="I8" s="326">
        <f t="shared" si="2"/>
        <v>38.582538140869133</v>
      </c>
      <c r="J8" s="326">
        <f t="shared" si="2"/>
        <v>41.476228501434314</v>
      </c>
    </row>
    <row r="9" spans="1:13" x14ac:dyDescent="0.25">
      <c r="A9" s="168" t="s">
        <v>166</v>
      </c>
      <c r="B9" s="326">
        <f>B8*B7*B6</f>
        <v>405000</v>
      </c>
      <c r="C9" s="326">
        <f t="shared" ref="C9:J9" si="3">C8*C7*C6</f>
        <v>275000</v>
      </c>
      <c r="D9" s="326">
        <f>D8*D7*D6</f>
        <v>325187.5</v>
      </c>
      <c r="E9" s="326">
        <f>E8*E7*E6</f>
        <v>381356.25000000006</v>
      </c>
      <c r="F9" s="326">
        <f t="shared" si="3"/>
        <v>444121.13281250012</v>
      </c>
      <c r="G9" s="326">
        <f t="shared" si="3"/>
        <v>514155.61914062506</v>
      </c>
      <c r="H9" s="326">
        <f t="shared" si="3"/>
        <v>710636.51645507803</v>
      </c>
      <c r="I9" s="326">
        <f t="shared" si="3"/>
        <v>806375.0471441648</v>
      </c>
      <c r="J9" s="326">
        <f t="shared" si="3"/>
        <v>912477.02703155484</v>
      </c>
      <c r="M9" t="s">
        <v>172</v>
      </c>
    </row>
    <row r="10" spans="1:13" x14ac:dyDescent="0.25">
      <c r="A10" s="168" t="s">
        <v>167</v>
      </c>
      <c r="B10" s="327">
        <v>30</v>
      </c>
      <c r="C10" s="327">
        <v>300</v>
      </c>
      <c r="D10" s="327">
        <v>300</v>
      </c>
      <c r="E10" s="327">
        <v>300</v>
      </c>
      <c r="F10" s="327">
        <v>300</v>
      </c>
      <c r="G10" s="327">
        <v>300</v>
      </c>
      <c r="H10" s="327">
        <v>300</v>
      </c>
      <c r="I10" s="327">
        <v>300</v>
      </c>
      <c r="J10" s="327">
        <v>300</v>
      </c>
      <c r="M10" t="s">
        <v>173</v>
      </c>
    </row>
    <row r="11" spans="1:13" x14ac:dyDescent="0.25">
      <c r="A11" s="169" t="s">
        <v>168</v>
      </c>
      <c r="B11" s="328">
        <f>B9*B10</f>
        <v>12150000</v>
      </c>
      <c r="C11" s="328">
        <f t="shared" ref="C11:J11" si="4">C9*C10</f>
        <v>82500000</v>
      </c>
      <c r="D11" s="328">
        <f t="shared" si="4"/>
        <v>97556250</v>
      </c>
      <c r="E11" s="328">
        <f t="shared" si="4"/>
        <v>114406875.00000001</v>
      </c>
      <c r="F11" s="328">
        <f t="shared" si="4"/>
        <v>133236339.84375003</v>
      </c>
      <c r="G11" s="328">
        <f t="shared" si="4"/>
        <v>154246685.74218753</v>
      </c>
      <c r="H11" s="328">
        <f t="shared" si="4"/>
        <v>213190954.93652341</v>
      </c>
      <c r="I11" s="328">
        <f t="shared" si="4"/>
        <v>241912514.14324945</v>
      </c>
      <c r="J11" s="328">
        <f t="shared" si="4"/>
        <v>273743108.10946643</v>
      </c>
    </row>
    <row r="12" spans="1:13" x14ac:dyDescent="0.25">
      <c r="A12" s="169" t="s">
        <v>169</v>
      </c>
      <c r="B12" s="329">
        <f>B11/100000</f>
        <v>121.5</v>
      </c>
      <c r="C12" s="329">
        <f t="shared" ref="C12:J12" si="5">C11/100000</f>
        <v>825</v>
      </c>
      <c r="D12" s="329">
        <f t="shared" si="5"/>
        <v>975.5625</v>
      </c>
      <c r="E12" s="329">
        <f t="shared" si="5"/>
        <v>1144.0687500000001</v>
      </c>
      <c r="F12" s="329">
        <f t="shared" si="5"/>
        <v>1332.3633984375003</v>
      </c>
      <c r="G12" s="329">
        <f t="shared" si="5"/>
        <v>1542.4668574218754</v>
      </c>
      <c r="H12" s="329">
        <f t="shared" si="5"/>
        <v>2131.9095493652339</v>
      </c>
      <c r="I12" s="329">
        <f t="shared" si="5"/>
        <v>2419.1251414324947</v>
      </c>
      <c r="J12" s="329">
        <f t="shared" si="5"/>
        <v>2737.4310810946645</v>
      </c>
      <c r="M12" t="s">
        <v>174</v>
      </c>
    </row>
    <row r="13" spans="1:13" x14ac:dyDescent="0.25">
      <c r="M13" t="s">
        <v>175</v>
      </c>
    </row>
    <row r="14" spans="1:13" x14ac:dyDescent="0.25">
      <c r="A14" s="459" t="s">
        <v>183</v>
      </c>
      <c r="B14" s="459"/>
      <c r="C14" s="459"/>
      <c r="D14" s="459"/>
      <c r="E14" s="459"/>
      <c r="F14" s="459"/>
      <c r="G14" s="459"/>
      <c r="H14" s="459"/>
      <c r="I14" s="459"/>
      <c r="M14" t="s">
        <v>176</v>
      </c>
    </row>
    <row r="15" spans="1:13" x14ac:dyDescent="0.25">
      <c r="A15" s="322" t="s">
        <v>35</v>
      </c>
      <c r="B15" s="323">
        <v>45717</v>
      </c>
      <c r="C15" s="323">
        <f>C5</f>
        <v>46082</v>
      </c>
      <c r="D15" s="323">
        <f t="shared" ref="D15:H15" si="6">D5</f>
        <v>46447</v>
      </c>
      <c r="E15" s="323">
        <f t="shared" si="6"/>
        <v>46813</v>
      </c>
      <c r="F15" s="323">
        <f t="shared" si="6"/>
        <v>47178</v>
      </c>
      <c r="G15" s="323">
        <f t="shared" si="6"/>
        <v>47543</v>
      </c>
      <c r="H15" s="323">
        <f t="shared" si="6"/>
        <v>11383</v>
      </c>
      <c r="I15" s="323">
        <f t="shared" ref="I15:J15" si="7">I5</f>
        <v>11749</v>
      </c>
      <c r="J15" s="323">
        <f t="shared" si="7"/>
        <v>12114</v>
      </c>
      <c r="M15" t="s">
        <v>177</v>
      </c>
    </row>
    <row r="16" spans="1:13" x14ac:dyDescent="0.25">
      <c r="A16" s="168" t="s">
        <v>163</v>
      </c>
      <c r="B16" s="324">
        <v>0.6</v>
      </c>
      <c r="C16" s="325">
        <v>0.5</v>
      </c>
      <c r="D16" s="325">
        <f t="shared" ref="D16:G16" si="8">C16+5%</f>
        <v>0.55000000000000004</v>
      </c>
      <c r="E16" s="325">
        <f t="shared" si="8"/>
        <v>0.60000000000000009</v>
      </c>
      <c r="F16" s="325">
        <f t="shared" si="8"/>
        <v>0.65000000000000013</v>
      </c>
      <c r="G16" s="325">
        <f t="shared" si="8"/>
        <v>0.70000000000000018</v>
      </c>
      <c r="H16" s="325">
        <v>0.9</v>
      </c>
      <c r="I16" s="325">
        <v>0.95</v>
      </c>
      <c r="J16" s="325">
        <v>1</v>
      </c>
      <c r="M16" t="s">
        <v>178</v>
      </c>
    </row>
    <row r="17" spans="1:10" x14ac:dyDescent="0.25">
      <c r="A17" s="168" t="s">
        <v>164</v>
      </c>
      <c r="B17" s="168">
        <v>25000</v>
      </c>
      <c r="C17" s="414">
        <v>22000</v>
      </c>
      <c r="D17" s="414">
        <f>C17</f>
        <v>22000</v>
      </c>
      <c r="E17" s="414">
        <f t="shared" ref="E17:J17" si="9">D17</f>
        <v>22000</v>
      </c>
      <c r="F17" s="414">
        <f t="shared" si="9"/>
        <v>22000</v>
      </c>
      <c r="G17" s="414">
        <f t="shared" si="9"/>
        <v>22000</v>
      </c>
      <c r="H17" s="414">
        <f t="shared" si="9"/>
        <v>22000</v>
      </c>
      <c r="I17" s="414">
        <f t="shared" si="9"/>
        <v>22000</v>
      </c>
      <c r="J17" s="414">
        <f t="shared" si="9"/>
        <v>22000</v>
      </c>
    </row>
    <row r="18" spans="1:10" x14ac:dyDescent="0.25">
      <c r="A18" s="168" t="s">
        <v>181</v>
      </c>
      <c r="B18" s="168">
        <v>16</v>
      </c>
      <c r="C18" s="414">
        <v>17.5</v>
      </c>
      <c r="D18" s="414">
        <f>C18*1.1</f>
        <v>19.25</v>
      </c>
      <c r="E18" s="414">
        <f t="shared" ref="E18:J18" si="10">D18*1.1</f>
        <v>21.175000000000001</v>
      </c>
      <c r="F18" s="414">
        <f t="shared" si="10"/>
        <v>23.292500000000004</v>
      </c>
      <c r="G18" s="414">
        <f t="shared" si="10"/>
        <v>25.621750000000006</v>
      </c>
      <c r="H18" s="414">
        <f t="shared" si="10"/>
        <v>28.183925000000009</v>
      </c>
      <c r="I18" s="414">
        <f t="shared" si="10"/>
        <v>31.002317500000014</v>
      </c>
      <c r="J18" s="414">
        <f t="shared" si="10"/>
        <v>34.102549250000017</v>
      </c>
    </row>
    <row r="19" spans="1:10" x14ac:dyDescent="0.25">
      <c r="A19" s="168" t="s">
        <v>180</v>
      </c>
      <c r="B19" s="326">
        <f t="shared" ref="B19:J19" si="11">B18*B17*B16</f>
        <v>240000</v>
      </c>
      <c r="C19" s="414">
        <f t="shared" si="11"/>
        <v>192500</v>
      </c>
      <c r="D19" s="414">
        <f>D18*D17*D16</f>
        <v>232925.00000000003</v>
      </c>
      <c r="E19" s="414">
        <f>E18*E17*E16</f>
        <v>279510.00000000006</v>
      </c>
      <c r="F19" s="414">
        <f t="shared" si="11"/>
        <v>333082.75000000012</v>
      </c>
      <c r="G19" s="414">
        <f t="shared" si="11"/>
        <v>394574.95000000019</v>
      </c>
      <c r="H19" s="414">
        <f t="shared" si="11"/>
        <v>558041.7150000002</v>
      </c>
      <c r="I19" s="414">
        <f t="shared" si="11"/>
        <v>647948.4357500003</v>
      </c>
      <c r="J19" s="414">
        <f t="shared" si="11"/>
        <v>750256.08350000042</v>
      </c>
    </row>
    <row r="20" spans="1:10" x14ac:dyDescent="0.25">
      <c r="A20" s="168" t="s">
        <v>179</v>
      </c>
      <c r="B20" s="326">
        <f>400000/30</f>
        <v>13333.333333333334</v>
      </c>
      <c r="C20" s="414">
        <f>B20*1.05</f>
        <v>14000.000000000002</v>
      </c>
      <c r="D20" s="414">
        <f t="shared" ref="D20:H20" si="12">C20*1.05</f>
        <v>14700.000000000002</v>
      </c>
      <c r="E20" s="414">
        <f t="shared" si="12"/>
        <v>15435.000000000002</v>
      </c>
      <c r="F20" s="414">
        <f t="shared" si="12"/>
        <v>16206.750000000002</v>
      </c>
      <c r="G20" s="414">
        <f t="shared" si="12"/>
        <v>17017.087500000001</v>
      </c>
      <c r="H20" s="414">
        <f t="shared" si="12"/>
        <v>17867.941875000004</v>
      </c>
      <c r="I20" s="414">
        <f t="shared" ref="I20:J20" si="13">H20*1.05</f>
        <v>18761.338968750006</v>
      </c>
      <c r="J20" s="414">
        <f t="shared" si="13"/>
        <v>19699.405917187505</v>
      </c>
    </row>
    <row r="21" spans="1:10" x14ac:dyDescent="0.25">
      <c r="A21" s="168" t="s">
        <v>185</v>
      </c>
      <c r="B21" s="326">
        <f>B17*5*B16</f>
        <v>75000</v>
      </c>
      <c r="C21" s="414">
        <f>200000/30</f>
        <v>6666.666666666667</v>
      </c>
      <c r="D21" s="414">
        <f>C21/C16*D16</f>
        <v>7333.3333333333339</v>
      </c>
      <c r="E21" s="414">
        <f t="shared" ref="E21:J21" si="14">D21/D16*E16</f>
        <v>8000.0000000000018</v>
      </c>
      <c r="F21" s="414">
        <f t="shared" si="14"/>
        <v>8666.6666666666697</v>
      </c>
      <c r="G21" s="414">
        <f t="shared" si="14"/>
        <v>9333.3333333333376</v>
      </c>
      <c r="H21" s="414">
        <f t="shared" si="14"/>
        <v>12000.000000000002</v>
      </c>
      <c r="I21" s="414">
        <f t="shared" si="14"/>
        <v>12666.666666666668</v>
      </c>
      <c r="J21" s="414">
        <f t="shared" si="14"/>
        <v>13333.333333333336</v>
      </c>
    </row>
    <row r="22" spans="1:10" x14ac:dyDescent="0.25">
      <c r="A22" s="168" t="s">
        <v>182</v>
      </c>
      <c r="B22" s="326">
        <f>SUM(B19:B21)</f>
        <v>328333.33333333337</v>
      </c>
      <c r="C22" s="414">
        <f t="shared" ref="C22:J22" si="15">SUM(C19:C21)</f>
        <v>213166.66666666666</v>
      </c>
      <c r="D22" s="414">
        <f t="shared" si="15"/>
        <v>254958.33333333337</v>
      </c>
      <c r="E22" s="414">
        <f t="shared" si="15"/>
        <v>302945.00000000006</v>
      </c>
      <c r="F22" s="414">
        <f t="shared" si="15"/>
        <v>357956.1666666668</v>
      </c>
      <c r="G22" s="414">
        <f t="shared" si="15"/>
        <v>420925.37083333352</v>
      </c>
      <c r="H22" s="414">
        <f t="shared" si="15"/>
        <v>587909.65687500022</v>
      </c>
      <c r="I22" s="414">
        <f t="shared" si="15"/>
        <v>679376.4413854169</v>
      </c>
      <c r="J22" s="414">
        <f t="shared" si="15"/>
        <v>783288.82275052124</v>
      </c>
    </row>
    <row r="23" spans="1:10" x14ac:dyDescent="0.25">
      <c r="A23" s="168" t="s">
        <v>167</v>
      </c>
      <c r="B23" s="327">
        <v>30</v>
      </c>
      <c r="C23" s="327">
        <v>300</v>
      </c>
      <c r="D23" s="327">
        <v>300</v>
      </c>
      <c r="E23" s="327">
        <v>300</v>
      </c>
      <c r="F23" s="327">
        <v>300</v>
      </c>
      <c r="G23" s="327">
        <v>300</v>
      </c>
      <c r="H23" s="327">
        <v>300</v>
      </c>
      <c r="I23" s="327">
        <v>300</v>
      </c>
      <c r="J23" s="327">
        <v>300</v>
      </c>
    </row>
    <row r="24" spans="1:10" x14ac:dyDescent="0.25">
      <c r="A24" s="169" t="s">
        <v>171</v>
      </c>
      <c r="B24" s="328">
        <f t="shared" ref="B24:J24" si="16">B20+B22*B23</f>
        <v>9863333.3333333358</v>
      </c>
      <c r="C24" s="328">
        <f t="shared" si="16"/>
        <v>63964000</v>
      </c>
      <c r="D24" s="328">
        <f t="shared" si="16"/>
        <v>76502200.000000015</v>
      </c>
      <c r="E24" s="328">
        <f t="shared" si="16"/>
        <v>90898935.000000015</v>
      </c>
      <c r="F24" s="328">
        <f t="shared" si="16"/>
        <v>107403056.75000004</v>
      </c>
      <c r="G24" s="328">
        <f t="shared" si="16"/>
        <v>126294628.33750007</v>
      </c>
      <c r="H24" s="328">
        <f t="shared" si="16"/>
        <v>176390765.00437507</v>
      </c>
      <c r="I24" s="328">
        <f t="shared" si="16"/>
        <v>203831693.75459382</v>
      </c>
      <c r="J24" s="328">
        <f t="shared" si="16"/>
        <v>235006346.23107356</v>
      </c>
    </row>
    <row r="25" spans="1:10" x14ac:dyDescent="0.25">
      <c r="A25" s="169" t="s">
        <v>169</v>
      </c>
      <c r="B25" s="329">
        <f>B24/100000</f>
        <v>98.633333333333354</v>
      </c>
      <c r="C25" s="329">
        <f t="shared" ref="C25" si="17">C24/100000</f>
        <v>639.64</v>
      </c>
      <c r="D25" s="329">
        <f t="shared" ref="D25" si="18">D24/100000</f>
        <v>765.02200000000016</v>
      </c>
      <c r="E25" s="329">
        <f t="shared" ref="E25" si="19">E24/100000</f>
        <v>908.98935000000017</v>
      </c>
      <c r="F25" s="329">
        <f t="shared" ref="F25" si="20">F24/100000</f>
        <v>1074.0305675000004</v>
      </c>
      <c r="G25" s="329">
        <f t="shared" ref="G25" si="21">G24/100000</f>
        <v>1262.9462833750006</v>
      </c>
      <c r="H25" s="329">
        <f t="shared" ref="H25:J25" si="22">H24/100000</f>
        <v>1763.9076500437507</v>
      </c>
      <c r="I25" s="329">
        <f t="shared" si="22"/>
        <v>2038.3169375459381</v>
      </c>
      <c r="J25" s="329">
        <f t="shared" si="22"/>
        <v>2350.0634623107358</v>
      </c>
    </row>
    <row r="27" spans="1:10" x14ac:dyDescent="0.25">
      <c r="A27" s="460" t="s">
        <v>186</v>
      </c>
      <c r="B27" s="460"/>
      <c r="C27" s="460"/>
      <c r="D27" s="460"/>
      <c r="E27" s="460"/>
      <c r="F27" s="460"/>
      <c r="G27" s="460"/>
      <c r="H27" s="460"/>
      <c r="I27" s="460"/>
    </row>
    <row r="28" spans="1:10" x14ac:dyDescent="0.25">
      <c r="A28" s="322" t="s">
        <v>35</v>
      </c>
      <c r="B28" s="323">
        <f>B15</f>
        <v>45717</v>
      </c>
      <c r="C28" s="323">
        <f t="shared" ref="C28:I28" si="23">C15</f>
        <v>46082</v>
      </c>
      <c r="D28" s="323">
        <f t="shared" si="23"/>
        <v>46447</v>
      </c>
      <c r="E28" s="323">
        <f t="shared" si="23"/>
        <v>46813</v>
      </c>
      <c r="F28" s="323">
        <f t="shared" si="23"/>
        <v>47178</v>
      </c>
      <c r="G28" s="323">
        <f t="shared" si="23"/>
        <v>47543</v>
      </c>
      <c r="H28" s="323">
        <f t="shared" si="23"/>
        <v>11383</v>
      </c>
      <c r="I28" s="323">
        <f t="shared" si="23"/>
        <v>11749</v>
      </c>
      <c r="J28" s="323">
        <f t="shared" ref="J28" si="24">J15</f>
        <v>12114</v>
      </c>
    </row>
    <row r="29" spans="1:10" x14ac:dyDescent="0.25">
      <c r="A29" s="168" t="s">
        <v>187</v>
      </c>
      <c r="B29" s="168">
        <f>35000*1</f>
        <v>35000</v>
      </c>
      <c r="C29" s="414">
        <f>35000*12</f>
        <v>420000</v>
      </c>
      <c r="D29" s="414">
        <f>C29*1.05</f>
        <v>441000</v>
      </c>
      <c r="E29" s="414">
        <f t="shared" ref="E29:J29" si="25">D29*1.05</f>
        <v>463050</v>
      </c>
      <c r="F29" s="414">
        <f t="shared" si="25"/>
        <v>486202.5</v>
      </c>
      <c r="G29" s="414">
        <f t="shared" si="25"/>
        <v>510512.625</v>
      </c>
      <c r="H29" s="414">
        <f t="shared" si="25"/>
        <v>536038.25624999998</v>
      </c>
      <c r="I29" s="414">
        <f t="shared" si="25"/>
        <v>562840.1690625</v>
      </c>
      <c r="J29" s="414">
        <f t="shared" si="25"/>
        <v>590982.17751562502</v>
      </c>
    </row>
    <row r="30" spans="1:10" ht="26.45" customHeight="1" x14ac:dyDescent="0.25">
      <c r="A30" s="342" t="s">
        <v>235</v>
      </c>
      <c r="B30" s="168">
        <f>350000*30%*1</f>
        <v>105000</v>
      </c>
      <c r="C30" s="414">
        <f>350000*20%*12</f>
        <v>840000</v>
      </c>
      <c r="D30" s="414">
        <f>C30*1.025</f>
        <v>860999.99999999988</v>
      </c>
      <c r="E30" s="414">
        <f t="shared" ref="E30:J30" si="26">D30*1.025</f>
        <v>882524.99999999977</v>
      </c>
      <c r="F30" s="414">
        <f t="shared" si="26"/>
        <v>904588.12499999965</v>
      </c>
      <c r="G30" s="414">
        <f t="shared" si="26"/>
        <v>927202.82812499953</v>
      </c>
      <c r="H30" s="414">
        <f t="shared" si="26"/>
        <v>950382.89882812439</v>
      </c>
      <c r="I30" s="414">
        <f t="shared" si="26"/>
        <v>974142.47129882744</v>
      </c>
      <c r="J30" s="414">
        <f t="shared" si="26"/>
        <v>998496.033081298</v>
      </c>
    </row>
    <row r="31" spans="1:10" x14ac:dyDescent="0.25">
      <c r="A31" s="168" t="s">
        <v>186</v>
      </c>
      <c r="B31" s="168">
        <f>700000</f>
        <v>700000</v>
      </c>
      <c r="C31" s="414">
        <f>350000*12</f>
        <v>4200000</v>
      </c>
      <c r="D31" s="414">
        <f>C31*1.02</f>
        <v>4284000</v>
      </c>
      <c r="E31" s="414">
        <f t="shared" ref="E31:I31" si="27">D31*1.02</f>
        <v>4369680</v>
      </c>
      <c r="F31" s="414">
        <f t="shared" si="27"/>
        <v>4457073.5999999996</v>
      </c>
      <c r="G31" s="414">
        <f t="shared" si="27"/>
        <v>4546215.0719999997</v>
      </c>
      <c r="H31" s="414">
        <f t="shared" si="27"/>
        <v>4637139.3734400002</v>
      </c>
      <c r="I31" s="414">
        <f t="shared" si="27"/>
        <v>4729882.1609088005</v>
      </c>
      <c r="J31" s="414">
        <f t="shared" ref="J31" si="28">I31*1.02</f>
        <v>4824479.804126977</v>
      </c>
    </row>
    <row r="32" spans="1:10" x14ac:dyDescent="0.25">
      <c r="A32" s="169" t="s">
        <v>188</v>
      </c>
      <c r="B32" s="169">
        <f>SUM(B29:B31)</f>
        <v>840000</v>
      </c>
      <c r="C32" s="414">
        <f t="shared" ref="C32:J32" si="29">SUM(C29:C31)</f>
        <v>5460000</v>
      </c>
      <c r="D32" s="414">
        <f t="shared" si="29"/>
        <v>5586000</v>
      </c>
      <c r="E32" s="414">
        <f t="shared" si="29"/>
        <v>5715255</v>
      </c>
      <c r="F32" s="414">
        <f t="shared" si="29"/>
        <v>5847864.2249999996</v>
      </c>
      <c r="G32" s="414">
        <f t="shared" si="29"/>
        <v>5983930.5251249988</v>
      </c>
      <c r="H32" s="414">
        <f t="shared" si="29"/>
        <v>6123560.5285181245</v>
      </c>
      <c r="I32" s="414">
        <f t="shared" si="29"/>
        <v>6266864.8012701282</v>
      </c>
      <c r="J32" s="414">
        <f t="shared" si="29"/>
        <v>6413958.0147238998</v>
      </c>
    </row>
    <row r="33" spans="1:10" x14ac:dyDescent="0.25">
      <c r="A33" s="169" t="s">
        <v>189</v>
      </c>
      <c r="B33" s="169">
        <f>B32/100000</f>
        <v>8.4</v>
      </c>
      <c r="C33" s="341">
        <f t="shared" ref="C33:J33" si="30">C32/100000</f>
        <v>54.6</v>
      </c>
      <c r="D33" s="341">
        <f t="shared" si="30"/>
        <v>55.86</v>
      </c>
      <c r="E33" s="341">
        <f t="shared" si="30"/>
        <v>57.152549999999998</v>
      </c>
      <c r="F33" s="341">
        <f t="shared" si="30"/>
        <v>58.478642249999993</v>
      </c>
      <c r="G33" s="341">
        <f t="shared" si="30"/>
        <v>59.839305251249989</v>
      </c>
      <c r="H33" s="341">
        <f t="shared" si="30"/>
        <v>61.235605285181244</v>
      </c>
      <c r="I33" s="341">
        <f t="shared" si="30"/>
        <v>62.668648012701283</v>
      </c>
      <c r="J33" s="341">
        <f t="shared" si="30"/>
        <v>64.139580147239002</v>
      </c>
    </row>
  </sheetData>
  <mergeCells count="2">
    <mergeCell ref="A14:I14"/>
    <mergeCell ref="A27:I27"/>
  </mergeCells>
  <pageMargins left="0.7" right="0.7" top="0.75" bottom="0.75" header="0.3" footer="0.3"/>
  <pageSetup paperSize="9" scale="6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EC9D5-6A8D-45F2-80B6-530911D15867}">
  <sheetPr>
    <tabColor rgb="FF92D050"/>
  </sheetPr>
  <dimension ref="A1:IT76"/>
  <sheetViews>
    <sheetView showGridLines="0" view="pageBreakPreview" zoomScale="67" zoomScaleNormal="100" zoomScaleSheetLayoutView="94" workbookViewId="0">
      <selection activeCell="A2" sqref="A2"/>
    </sheetView>
  </sheetViews>
  <sheetFormatPr defaultColWidth="0" defaultRowHeight="12.75" x14ac:dyDescent="0.2"/>
  <cols>
    <col min="1" max="1" width="33.7109375" style="8" customWidth="1"/>
    <col min="2" max="2" width="9.28515625" style="8" hidden="1" customWidth="1"/>
    <col min="3" max="3" width="15.140625" style="8" bestFit="1" customWidth="1"/>
    <col min="4" max="9" width="12.28515625" style="4" bestFit="1" customWidth="1"/>
    <col min="10" max="10" width="11.85546875" style="4" customWidth="1"/>
    <col min="11" max="241" width="9.28515625" style="4" customWidth="1"/>
    <col min="242" max="242" width="31.5703125" style="4" customWidth="1"/>
    <col min="243" max="243" width="9.28515625" style="4" hidden="1" customWidth="1"/>
    <col min="244" max="244" width="11.5703125" style="4" customWidth="1"/>
    <col min="245" max="246" width="9.28515625" style="4" customWidth="1"/>
    <col min="247" max="247" width="38.28515625" style="4" bestFit="1" customWidth="1"/>
    <col min="248" max="254" width="0" style="4" hidden="1" customWidth="1"/>
    <col min="255" max="16384" width="9.28515625" style="4" hidden="1"/>
  </cols>
  <sheetData>
    <row r="1" spans="1:11" s="22" customFormat="1" ht="15.75" customHeight="1" x14ac:dyDescent="0.25">
      <c r="A1" s="24" t="s">
        <v>156</v>
      </c>
      <c r="B1" s="24"/>
      <c r="C1" s="24"/>
      <c r="D1" s="24"/>
      <c r="E1" s="24"/>
      <c r="F1" s="24"/>
      <c r="G1" s="24"/>
      <c r="H1" s="24"/>
      <c r="I1" s="24"/>
      <c r="J1" s="24"/>
      <c r="K1" s="22" t="s">
        <v>156</v>
      </c>
    </row>
    <row r="2" spans="1:11" ht="15" customHeight="1" x14ac:dyDescent="0.2">
      <c r="A2" s="283" t="str">
        <f>'Sale &amp; Exp Schedule'!A2</f>
        <v xml:space="preserve"> village sandoli post office makri markand Teh sadar district bilaspur</v>
      </c>
      <c r="B2" s="316"/>
      <c r="C2" s="316"/>
      <c r="D2" s="316"/>
      <c r="E2" s="316"/>
      <c r="F2" s="316"/>
      <c r="G2" s="316"/>
      <c r="H2" s="316"/>
      <c r="I2" s="316"/>
      <c r="J2" s="316"/>
    </row>
    <row r="3" spans="1:11" ht="15.75" hidden="1" customHeight="1" x14ac:dyDescent="0.2">
      <c r="A3" s="24" t="s">
        <v>82</v>
      </c>
      <c r="B3" s="24"/>
      <c r="C3" s="24"/>
      <c r="D3" s="24"/>
      <c r="E3" s="24"/>
      <c r="F3" s="24"/>
      <c r="G3" s="24"/>
      <c r="H3" s="24"/>
      <c r="I3" s="24"/>
      <c r="J3" s="24"/>
    </row>
    <row r="4" spans="1:11" ht="14.65" hidden="1" customHeight="1" thickBot="1" x14ac:dyDescent="0.25">
      <c r="A4" s="315" t="s">
        <v>115</v>
      </c>
      <c r="B4" s="315"/>
      <c r="C4" s="315"/>
      <c r="D4" s="315"/>
      <c r="E4" s="315"/>
      <c r="F4" s="315"/>
      <c r="G4" s="315"/>
      <c r="H4" s="315"/>
      <c r="I4" s="315"/>
      <c r="J4" s="315"/>
    </row>
    <row r="5" spans="1:11" ht="14.65" hidden="1" customHeight="1" thickBot="1" x14ac:dyDescent="0.25">
      <c r="A5" s="142" t="s">
        <v>1</v>
      </c>
      <c r="B5" s="263">
        <f>'Sale &amp; Exp Schedule'!B5</f>
        <v>45717</v>
      </c>
      <c r="C5" s="263">
        <f>'Sale &amp; Exp Schedule'!C5</f>
        <v>46082</v>
      </c>
      <c r="D5" s="263">
        <f>'Sale &amp; Exp Schedule'!D5</f>
        <v>46447</v>
      </c>
      <c r="E5" s="263">
        <f>'Sale &amp; Exp Schedule'!E5</f>
        <v>46813</v>
      </c>
      <c r="F5" s="263">
        <f>'Sale &amp; Exp Schedule'!F5</f>
        <v>47178</v>
      </c>
      <c r="G5" s="263">
        <f>'Sale &amp; Exp Schedule'!G5</f>
        <v>47543</v>
      </c>
      <c r="H5" s="263">
        <f>'Sale &amp; Exp Schedule'!H5</f>
        <v>11383</v>
      </c>
      <c r="I5" s="263">
        <f>'Sale &amp; Exp Schedule'!I5</f>
        <v>11749</v>
      </c>
    </row>
    <row r="6" spans="1:11" ht="14.65" hidden="1" customHeight="1" thickBot="1" x14ac:dyDescent="0.25">
      <c r="A6" s="205" t="s">
        <v>25</v>
      </c>
      <c r="B6" s="211"/>
      <c r="C6" s="211"/>
    </row>
    <row r="7" spans="1:11" ht="14.65" hidden="1" customHeight="1" x14ac:dyDescent="0.2">
      <c r="A7" s="20"/>
      <c r="B7" s="214"/>
      <c r="C7" s="214"/>
    </row>
    <row r="8" spans="1:11" ht="14.65" hidden="1" customHeight="1" x14ac:dyDescent="0.2">
      <c r="A8" s="20" t="s">
        <v>76</v>
      </c>
      <c r="B8" s="206">
        <f>'P&amp;L'!C23</f>
        <v>5.3968436666666442</v>
      </c>
      <c r="C8" s="206">
        <f>'P&amp;L'!D23</f>
        <v>54.932084407407388</v>
      </c>
      <c r="D8" s="206">
        <f>'P&amp;L'!E23</f>
        <v>57.217141460802381</v>
      </c>
      <c r="E8" s="206">
        <f>'P&amp;L'!F23</f>
        <v>76.578610710432045</v>
      </c>
      <c r="F8" s="206">
        <f>'P&amp;L'!G23</f>
        <v>94.632044498702413</v>
      </c>
      <c r="G8" s="206">
        <f>'P&amp;L'!H23</f>
        <v>110.8940557979264</v>
      </c>
      <c r="H8" s="206">
        <f>'P&amp;L'!I23</f>
        <v>181.22454298125871</v>
      </c>
      <c r="I8" s="206">
        <f>'P&amp;L'!J23</f>
        <v>184.37869305900358</v>
      </c>
    </row>
    <row r="9" spans="1:11" ht="14.65" hidden="1" customHeight="1" x14ac:dyDescent="0.2">
      <c r="A9" s="20" t="s">
        <v>26</v>
      </c>
      <c r="B9" s="206">
        <f>'P&amp;L'!C18</f>
        <v>26.54439</v>
      </c>
      <c r="C9" s="206">
        <f>'P&amp;L'!D18</f>
        <v>26.54439</v>
      </c>
      <c r="D9" s="206">
        <f>'P&amp;L'!E18</f>
        <v>25.562731500000012</v>
      </c>
      <c r="E9" s="206">
        <f>'P&amp;L'!F18</f>
        <v>21.728321774999998</v>
      </c>
      <c r="F9" s="206">
        <f>'P&amp;L'!G18</f>
        <v>18.46907350875</v>
      </c>
      <c r="G9" s="206">
        <f>'P&amp;L'!H18</f>
        <v>15.6987124824375</v>
      </c>
      <c r="H9" s="206">
        <f>'P&amp;L'!I18</f>
        <v>13.343905610071886</v>
      </c>
      <c r="I9" s="206">
        <f>'P&amp;L'!J18</f>
        <v>11.342319768561083</v>
      </c>
    </row>
    <row r="10" spans="1:11" ht="14.65" hidden="1" customHeight="1" x14ac:dyDescent="0.2">
      <c r="A10" s="20" t="s">
        <v>92</v>
      </c>
      <c r="B10" s="206">
        <f>BS!B7-B8</f>
        <v>-60</v>
      </c>
      <c r="C10" s="206">
        <v>0</v>
      </c>
      <c r="D10" s="206">
        <v>0</v>
      </c>
      <c r="E10" s="206">
        <v>0</v>
      </c>
      <c r="F10" s="206">
        <v>0</v>
      </c>
      <c r="G10" s="206">
        <v>0</v>
      </c>
      <c r="H10" s="206">
        <v>0</v>
      </c>
      <c r="I10" s="206">
        <v>0</v>
      </c>
    </row>
    <row r="11" spans="1:11" ht="14.65" hidden="1" customHeight="1" x14ac:dyDescent="0.2">
      <c r="A11" s="20" t="s">
        <v>133</v>
      </c>
      <c r="B11" s="302" t="e">
        <f>BS!B10</f>
        <v>#REF!</v>
      </c>
      <c r="C11" s="206" t="e">
        <f>BS!C10+BS!C13-BS!B10-BS!B13</f>
        <v>#REF!</v>
      </c>
      <c r="D11" s="206">
        <f>BS!D10+BS!D13-BS!C10-BS!C13</f>
        <v>-11.851851851851848</v>
      </c>
      <c r="E11" s="206">
        <f>BS!E10+BS!E13-BS!D10-BS!D13+D19</f>
        <v>-9.8765432098765391</v>
      </c>
      <c r="F11" s="206">
        <f>BS!F10+BS!F13-BS!E10-BS!E13</f>
        <v>-11.851851851851851</v>
      </c>
      <c r="G11" s="206">
        <f>BS!G10+BS!G13-BS!F10-BS!F13</f>
        <v>-11.851851851851844</v>
      </c>
      <c r="H11" s="206">
        <f>BS!H10+BS!H13-BS!G10-BS!G13</f>
        <v>-11.851851851851855</v>
      </c>
      <c r="I11" s="206">
        <f>BS!I10+BS!I13-BS!H10-BS!H13</f>
        <v>-11.851851851851851</v>
      </c>
    </row>
    <row r="12" spans="1:11" ht="14.65" hidden="1" customHeight="1" thickBot="1" x14ac:dyDescent="0.25">
      <c r="A12" s="3" t="s">
        <v>27</v>
      </c>
      <c r="B12" s="8">
        <f>BS!B18</f>
        <v>42.141666666666666</v>
      </c>
      <c r="C12" s="206">
        <f>BS!C18-BS!B18</f>
        <v>117.06351851851853</v>
      </c>
      <c r="D12" s="206">
        <f>BS!D18-BS!C18</f>
        <v>31.463166666666666</v>
      </c>
      <c r="E12" s="206">
        <f>BS!E18-BS!D18</f>
        <v>28.214006249999983</v>
      </c>
      <c r="F12" s="206">
        <f>BS!F18-BS!E18</f>
        <v>32.038338781250076</v>
      </c>
      <c r="G12" s="206">
        <f>BS!G18-BS!F18</f>
        <v>36.334060606875028</v>
      </c>
      <c r="H12" s="206">
        <f>BS!H18-BS!G18</f>
        <v>98.103090686356211</v>
      </c>
      <c r="I12" s="206">
        <f>BS!I18-BS!H18</f>
        <v>39.801664837250541</v>
      </c>
    </row>
    <row r="13" spans="1:11" ht="14.65" hidden="1" customHeight="1" thickBot="1" x14ac:dyDescent="0.25">
      <c r="A13" s="143" t="s">
        <v>28</v>
      </c>
      <c r="B13" s="12" t="e">
        <f>SUM(B8:B12)</f>
        <v>#REF!</v>
      </c>
      <c r="C13" s="12" t="e">
        <f>SUM(C8:C12)</f>
        <v>#REF!</v>
      </c>
      <c r="D13" s="12">
        <f t="shared" ref="D13:G13" si="0">SUM(D8:D12)</f>
        <v>102.39118777561721</v>
      </c>
      <c r="E13" s="12">
        <f t="shared" si="0"/>
        <v>116.64439552555548</v>
      </c>
      <c r="F13" s="12">
        <f t="shared" si="0"/>
        <v>133.28760493685064</v>
      </c>
      <c r="G13" s="12">
        <f t="shared" si="0"/>
        <v>151.07497703538706</v>
      </c>
      <c r="H13" s="12">
        <f t="shared" ref="H13:I13" si="1">SUM(H8:H12)</f>
        <v>280.81968742583496</v>
      </c>
      <c r="I13" s="12">
        <f t="shared" si="1"/>
        <v>223.67082581296336</v>
      </c>
      <c r="J13" s="250"/>
    </row>
    <row r="14" spans="1:11" ht="14.65" hidden="1" customHeight="1" thickBot="1" x14ac:dyDescent="0.25">
      <c r="A14" s="144"/>
      <c r="B14" s="213"/>
      <c r="C14" s="213"/>
      <c r="D14" s="13"/>
      <c r="E14" s="13"/>
      <c r="F14" s="13"/>
      <c r="G14" s="13"/>
      <c r="H14" s="13"/>
      <c r="I14" s="13"/>
    </row>
    <row r="15" spans="1:11" ht="14.65" hidden="1" customHeight="1" thickBot="1" x14ac:dyDescent="0.25">
      <c r="A15" s="205" t="s">
        <v>29</v>
      </c>
      <c r="B15" s="211"/>
      <c r="C15" s="211"/>
      <c r="D15" s="13"/>
      <c r="E15" s="13"/>
      <c r="F15" s="13"/>
      <c r="G15" s="13"/>
      <c r="H15" s="13"/>
      <c r="I15" s="13"/>
      <c r="J15" s="292"/>
    </row>
    <row r="16" spans="1:11" ht="14.65" hidden="1" customHeight="1" x14ac:dyDescent="0.2">
      <c r="A16" s="20"/>
      <c r="B16" s="214"/>
      <c r="C16" s="214"/>
      <c r="D16" s="13"/>
      <c r="E16" s="13"/>
      <c r="F16" s="13"/>
      <c r="G16" s="13"/>
      <c r="H16" s="13"/>
      <c r="I16" s="13"/>
      <c r="J16" s="293"/>
    </row>
    <row r="17" spans="1:10" ht="14.65" hidden="1" customHeight="1" x14ac:dyDescent="0.2">
      <c r="A17" s="20" t="s">
        <v>90</v>
      </c>
      <c r="B17" s="209">
        <v>0</v>
      </c>
      <c r="C17" s="209">
        <v>0</v>
      </c>
      <c r="D17" s="88">
        <v>0</v>
      </c>
      <c r="E17" s="88">
        <v>0</v>
      </c>
      <c r="F17" s="88">
        <v>0</v>
      </c>
      <c r="G17" s="88">
        <v>0</v>
      </c>
      <c r="H17" s="88">
        <v>0</v>
      </c>
      <c r="I17" s="88">
        <v>0</v>
      </c>
      <c r="J17" s="293"/>
    </row>
    <row r="18" spans="1:10" ht="14.65" hidden="1" customHeight="1" x14ac:dyDescent="0.2">
      <c r="A18" s="20" t="s">
        <v>39</v>
      </c>
      <c r="B18" s="11">
        <f>BS!B24</f>
        <v>1.9696259999999999E-3</v>
      </c>
      <c r="C18" s="11">
        <f>BS!D27-BS!C27</f>
        <v>-25.562731500000012</v>
      </c>
      <c r="D18" s="11">
        <f>BS!E27+'P&amp;L'!E18-BS!D27</f>
        <v>3.8344097250000004</v>
      </c>
      <c r="E18" s="11">
        <f>BS!F27+'P&amp;L'!F18-BS!E27</f>
        <v>3.2592482662499975</v>
      </c>
      <c r="F18" s="11">
        <f>BS!G27+'P&amp;L'!G18-BS!F27</f>
        <v>2.7703610263125</v>
      </c>
      <c r="G18" s="11" t="e">
        <f>BS!#REF!+'P&amp;L'!H18-BS!G27</f>
        <v>#REF!</v>
      </c>
      <c r="H18" s="11" t="e">
        <f>BS!#REF!+'P&amp;L'!I18-BS!H27</f>
        <v>#REF!</v>
      </c>
      <c r="I18" s="11" t="e">
        <f>BS!#REF!+'P&amp;L'!J18-BS!I27</f>
        <v>#REF!</v>
      </c>
      <c r="J18" s="293"/>
    </row>
    <row r="19" spans="1:10" ht="14.65" hidden="1" customHeight="1" x14ac:dyDescent="0.2">
      <c r="A19" s="145" t="s">
        <v>30</v>
      </c>
      <c r="B19" s="208">
        <f>'PNB Bank TL (New)'!K23</f>
        <v>0</v>
      </c>
      <c r="C19" s="11">
        <f>'PNB Bank TL (New)'!E44+'PNB Bank TL (New)'!E45</f>
        <v>0.81481481481481477</v>
      </c>
      <c r="D19" s="11">
        <f>'PNB Bank TL (New)'!F44+'PNB Bank TL (New)'!F45</f>
        <v>1.9753086419753085</v>
      </c>
      <c r="E19" s="11">
        <f>'PNB Bank TL (New)'!G44+'PNB Bank TL (New)'!G45</f>
        <v>95.802469135802454</v>
      </c>
      <c r="F19" s="11">
        <f>'PNB Bank TL (New)'!H44+'PNB Bank TL (New)'!H45</f>
        <v>0</v>
      </c>
      <c r="G19" s="11">
        <f>'PNB Bank TL (New)'!I44+'PNB Bank TL (New)'!I45</f>
        <v>0</v>
      </c>
      <c r="H19" s="11">
        <f>'PNB Bank TL (New)'!J44+'PNB Bank TL (New)'!J45</f>
        <v>5.3827160493827169</v>
      </c>
      <c r="I19" s="11">
        <f>'PNB Bank TL (New)'!K44+'PNB Bank TL (New)'!K45</f>
        <v>0</v>
      </c>
    </row>
    <row r="20" spans="1:10" ht="14.65" hidden="1" customHeight="1" x14ac:dyDescent="0.2">
      <c r="A20" s="145" t="s">
        <v>88</v>
      </c>
      <c r="B20" s="207">
        <f>BS!B37-BS!B33</f>
        <v>56.068749999999994</v>
      </c>
      <c r="C20" s="207" t="e">
        <f>BS!B32+BS!#REF!+BS!B36+BS!D35-BS!C32-BS!#REF!-BS!C35-BS!C36</f>
        <v>#REF!</v>
      </c>
      <c r="D20" s="11" t="e">
        <f>BS!E32+BS!#REF!+BS!E35+BS!E36-BS!B32-BS!#REF!-BS!D35-BS!B36</f>
        <v>#REF!</v>
      </c>
      <c r="E20" s="11" t="e">
        <f>BS!F32+BS!#REF!+BS!F35+BS!F36-BS!E32-BS!#REF!-BS!E35-BS!E36</f>
        <v>#REF!</v>
      </c>
      <c r="F20" s="11" t="e">
        <f>BS!G32+BS!#REF!+BS!G35+BS!G36-BS!F32-BS!#REF!-BS!F35-BS!F36</f>
        <v>#REF!</v>
      </c>
      <c r="G20" s="11" t="e">
        <f>BS!#REF!+BS!#REF!+BS!#REF!+BS!#REF!-BS!G32-BS!#REF!-BS!G35-BS!G36</f>
        <v>#REF!</v>
      </c>
      <c r="H20" s="11" t="e">
        <f>BS!#REF!+BS!#REF!+BS!#REF!+BS!#REF!-BS!H32-BS!#REF!-BS!H35-BS!H36</f>
        <v>#REF!</v>
      </c>
      <c r="I20" s="11" t="e">
        <f>BS!#REF!+BS!#REF!+BS!#REF!+BS!#REF!-BS!I32-BS!#REF!-BS!I35-BS!I36</f>
        <v>#REF!</v>
      </c>
    </row>
    <row r="21" spans="1:10" ht="14.65" hidden="1" customHeight="1" thickBot="1" x14ac:dyDescent="0.25">
      <c r="A21" s="20" t="s">
        <v>89</v>
      </c>
      <c r="B21" s="210">
        <f>BS!C29</f>
        <v>0</v>
      </c>
      <c r="C21" s="210">
        <f>BS!D29</f>
        <v>0</v>
      </c>
      <c r="D21" s="11">
        <f>BS!E29-BS!D29</f>
        <v>0</v>
      </c>
      <c r="E21" s="11">
        <f>BS!F29-BS!E29</f>
        <v>0</v>
      </c>
      <c r="F21" s="11">
        <f>BS!G29-BS!F29</f>
        <v>0</v>
      </c>
      <c r="G21" s="11" t="e">
        <f>BS!#REF!-BS!G29</f>
        <v>#REF!</v>
      </c>
      <c r="H21" s="11" t="e">
        <f>BS!#REF!-BS!H29</f>
        <v>#REF!</v>
      </c>
      <c r="I21" s="11" t="e">
        <f>BS!#REF!-BS!I29</f>
        <v>#REF!</v>
      </c>
    </row>
    <row r="22" spans="1:10" ht="14.65" hidden="1" customHeight="1" thickBot="1" x14ac:dyDescent="0.25">
      <c r="A22" s="143" t="s">
        <v>28</v>
      </c>
      <c r="B22" s="12">
        <f>SUM(B17:B21)</f>
        <v>56.070719625999992</v>
      </c>
      <c r="C22" s="12" t="e">
        <f>SUM(C17:C21)</f>
        <v>#REF!</v>
      </c>
      <c r="D22" s="12" t="e">
        <f t="shared" ref="D22:G22" si="2">SUM(D17:D21)</f>
        <v>#REF!</v>
      </c>
      <c r="E22" s="12" t="e">
        <f t="shared" si="2"/>
        <v>#REF!</v>
      </c>
      <c r="F22" s="12" t="e">
        <f>SUM(F17:F21)</f>
        <v>#REF!</v>
      </c>
      <c r="G22" s="12" t="e">
        <f t="shared" si="2"/>
        <v>#REF!</v>
      </c>
      <c r="H22" s="12" t="e">
        <f t="shared" ref="H22:I22" si="3">SUM(H17:H21)</f>
        <v>#REF!</v>
      </c>
      <c r="I22" s="12" t="e">
        <f t="shared" si="3"/>
        <v>#REF!</v>
      </c>
    </row>
    <row r="23" spans="1:10" ht="14.65" hidden="1" customHeight="1" x14ac:dyDescent="0.2">
      <c r="A23" s="20"/>
      <c r="B23" s="214"/>
      <c r="C23" s="214"/>
      <c r="D23" s="14"/>
      <c r="E23" s="14"/>
      <c r="F23" s="14"/>
      <c r="G23" s="14"/>
      <c r="H23" s="14"/>
      <c r="I23" s="14"/>
    </row>
    <row r="24" spans="1:10" ht="14.65" hidden="1" customHeight="1" x14ac:dyDescent="0.2">
      <c r="A24" s="20" t="s">
        <v>31</v>
      </c>
      <c r="B24" s="209">
        <v>0</v>
      </c>
      <c r="C24" s="209" t="e">
        <f>B26</f>
        <v>#REF!</v>
      </c>
      <c r="D24" s="11">
        <f>BS!D34</f>
        <v>28.453906249999999</v>
      </c>
      <c r="E24" s="11" t="e">
        <f t="shared" ref="E24:I24" si="4">+D26</f>
        <v>#REF!</v>
      </c>
      <c r="F24" s="11" t="e">
        <f t="shared" si="4"/>
        <v>#REF!</v>
      </c>
      <c r="G24" s="11" t="e">
        <f t="shared" si="4"/>
        <v>#REF!</v>
      </c>
      <c r="H24" s="11" t="e">
        <f t="shared" si="4"/>
        <v>#REF!</v>
      </c>
      <c r="I24" s="11" t="e">
        <f t="shared" si="4"/>
        <v>#REF!</v>
      </c>
    </row>
    <row r="25" spans="1:10" ht="14.65" hidden="1" customHeight="1" thickBot="1" x14ac:dyDescent="0.25">
      <c r="A25" s="20" t="s">
        <v>32</v>
      </c>
      <c r="B25" s="11" t="e">
        <f>B13-B22</f>
        <v>#REF!</v>
      </c>
      <c r="C25" s="11" t="e">
        <f t="shared" ref="C25:G25" si="5">+C13-C22</f>
        <v>#REF!</v>
      </c>
      <c r="D25" s="11" t="e">
        <f t="shared" si="5"/>
        <v>#REF!</v>
      </c>
      <c r="E25" s="11" t="e">
        <f t="shared" si="5"/>
        <v>#REF!</v>
      </c>
      <c r="F25" s="11" t="e">
        <f t="shared" si="5"/>
        <v>#REF!</v>
      </c>
      <c r="G25" s="11" t="e">
        <f t="shared" si="5"/>
        <v>#REF!</v>
      </c>
      <c r="H25" s="11" t="e">
        <f t="shared" ref="H25:I25" si="6">+H13-H22</f>
        <v>#REF!</v>
      </c>
      <c r="I25" s="11" t="e">
        <f t="shared" si="6"/>
        <v>#REF!</v>
      </c>
    </row>
    <row r="26" spans="1:10" ht="14.65" hidden="1" customHeight="1" thickBot="1" x14ac:dyDescent="0.25">
      <c r="A26" s="143" t="s">
        <v>91</v>
      </c>
      <c r="B26" s="12" t="e">
        <f>+B24+B25</f>
        <v>#REF!</v>
      </c>
      <c r="C26" s="12" t="e">
        <f t="shared" ref="C26:G26" si="7">+C24+C25</f>
        <v>#REF!</v>
      </c>
      <c r="D26" s="12" t="e">
        <f t="shared" si="7"/>
        <v>#REF!</v>
      </c>
      <c r="E26" s="12" t="e">
        <f t="shared" si="7"/>
        <v>#REF!</v>
      </c>
      <c r="F26" s="12" t="e">
        <f t="shared" si="7"/>
        <v>#REF!</v>
      </c>
      <c r="G26" s="12" t="e">
        <f t="shared" si="7"/>
        <v>#REF!</v>
      </c>
      <c r="H26" s="12" t="e">
        <f t="shared" ref="H26:I26" si="8">+H24+H25</f>
        <v>#REF!</v>
      </c>
      <c r="I26" s="12" t="e">
        <f t="shared" si="8"/>
        <v>#REF!</v>
      </c>
    </row>
    <row r="27" spans="1:10" ht="14.65" hidden="1" customHeight="1" x14ac:dyDescent="0.2">
      <c r="A27" s="10" t="s">
        <v>142</v>
      </c>
      <c r="B27" s="254">
        <f>BS!C34</f>
        <v>24.0625</v>
      </c>
      <c r="C27" s="254">
        <f>BS!D34</f>
        <v>28.453906249999999</v>
      </c>
      <c r="D27" s="254">
        <f>BS!E34</f>
        <v>33.368671875000004</v>
      </c>
      <c r="E27" s="254">
        <f>BS!F34</f>
        <v>38.860599121093756</v>
      </c>
      <c r="F27" s="254">
        <f>BS!G34</f>
        <v>44.988616674804696</v>
      </c>
      <c r="G27" s="254" t="e">
        <f>BS!#REF!</f>
        <v>#REF!</v>
      </c>
      <c r="H27" s="254" t="e">
        <f>BS!#REF!</f>
        <v>#REF!</v>
      </c>
      <c r="I27" s="254" t="e">
        <f>BS!#REF!</f>
        <v>#REF!</v>
      </c>
    </row>
    <row r="28" spans="1:10" hidden="1" x14ac:dyDescent="0.2">
      <c r="A28" s="10" t="s">
        <v>139</v>
      </c>
      <c r="B28" s="254" t="e">
        <f>B25-B26</f>
        <v>#REF!</v>
      </c>
      <c r="C28" s="254" t="e">
        <f t="shared" ref="C28:G28" si="9">C26-C27</f>
        <v>#REF!</v>
      </c>
      <c r="D28" s="254" t="e">
        <f t="shared" si="9"/>
        <v>#REF!</v>
      </c>
      <c r="E28" s="254" t="e">
        <f t="shared" si="9"/>
        <v>#REF!</v>
      </c>
      <c r="F28" s="254" t="e">
        <f t="shared" si="9"/>
        <v>#REF!</v>
      </c>
      <c r="G28" s="254" t="e">
        <f t="shared" si="9"/>
        <v>#REF!</v>
      </c>
      <c r="H28" s="254" t="e">
        <f t="shared" ref="H28:I28" si="10">H26-H27</f>
        <v>#REF!</v>
      </c>
      <c r="I28" s="254" t="e">
        <f t="shared" si="10"/>
        <v>#REF!</v>
      </c>
    </row>
    <row r="29" spans="1:10" ht="14.65" customHeight="1" thickBot="1" x14ac:dyDescent="0.25">
      <c r="A29" s="10"/>
      <c r="B29" s="252"/>
      <c r="C29" s="252"/>
      <c r="D29" s="253"/>
      <c r="E29" s="253"/>
      <c r="F29" s="253"/>
      <c r="G29" s="253"/>
      <c r="H29" s="253"/>
      <c r="I29" s="253"/>
    </row>
    <row r="30" spans="1:10" ht="14.65" customHeight="1" thickBot="1" x14ac:dyDescent="0.25">
      <c r="A30" s="238" t="s">
        <v>24</v>
      </c>
      <c r="B30" s="1">
        <f>'Sale &amp; Exp Schedule'!B5</f>
        <v>45717</v>
      </c>
      <c r="C30" s="1">
        <f>'Sale &amp; Exp Schedule'!C5</f>
        <v>46082</v>
      </c>
      <c r="D30" s="1">
        <f>'Sale &amp; Exp Schedule'!D5</f>
        <v>46447</v>
      </c>
      <c r="E30" s="1">
        <f>'Sale &amp; Exp Schedule'!E5</f>
        <v>46813</v>
      </c>
      <c r="F30" s="1">
        <f>'Sale &amp; Exp Schedule'!F5</f>
        <v>47178</v>
      </c>
      <c r="G30" s="1">
        <f>'Sale &amp; Exp Schedule'!G5</f>
        <v>47543</v>
      </c>
      <c r="H30" s="1">
        <f>'Sale &amp; Exp Schedule'!H5</f>
        <v>11383</v>
      </c>
      <c r="I30" s="1">
        <f>'Sale &amp; Exp Schedule'!I5</f>
        <v>11749</v>
      </c>
      <c r="J30" s="297" t="s">
        <v>0</v>
      </c>
    </row>
    <row r="31" spans="1:10" ht="14.65" customHeight="1" x14ac:dyDescent="0.2">
      <c r="A31" s="17" t="s">
        <v>8</v>
      </c>
      <c r="B31" s="255">
        <f>'P&amp;L'!C23</f>
        <v>5.3968436666666442</v>
      </c>
      <c r="C31" s="255">
        <f>'P&amp;L'!D23</f>
        <v>54.932084407407388</v>
      </c>
      <c r="D31" s="255">
        <f>'P&amp;L'!E23</f>
        <v>57.217141460802381</v>
      </c>
      <c r="E31" s="255">
        <f>'P&amp;L'!F23</f>
        <v>76.578610710432045</v>
      </c>
      <c r="F31" s="255">
        <f>'P&amp;L'!G23</f>
        <v>94.632044498702413</v>
      </c>
      <c r="G31" s="255">
        <f>'P&amp;L'!H23</f>
        <v>110.8940557979264</v>
      </c>
      <c r="H31" s="255">
        <f>'P&amp;L'!I23</f>
        <v>181.22454298125871</v>
      </c>
      <c r="I31" s="255">
        <f>'P&amp;L'!J23*10/12</f>
        <v>153.64891088250297</v>
      </c>
    </row>
    <row r="32" spans="1:10" ht="14.65" customHeight="1" x14ac:dyDescent="0.2">
      <c r="A32" s="17" t="s">
        <v>5</v>
      </c>
      <c r="B32" s="255">
        <f>'P&amp;L'!C18</f>
        <v>26.54439</v>
      </c>
      <c r="C32" s="255">
        <f>'P&amp;L'!D18</f>
        <v>26.54439</v>
      </c>
      <c r="D32" s="255">
        <f>'P&amp;L'!E18</f>
        <v>25.562731500000012</v>
      </c>
      <c r="E32" s="255">
        <f>'P&amp;L'!F18</f>
        <v>21.728321774999998</v>
      </c>
      <c r="F32" s="255">
        <f>'P&amp;L'!G18</f>
        <v>18.46907350875</v>
      </c>
      <c r="G32" s="255">
        <f>'P&amp;L'!H18</f>
        <v>15.6987124824375</v>
      </c>
      <c r="H32" s="255">
        <f>'P&amp;L'!I18</f>
        <v>13.343905610071886</v>
      </c>
      <c r="I32" s="255">
        <f>'P&amp;L'!J18*10/12</f>
        <v>9.4519331404675686</v>
      </c>
      <c r="J32" s="14"/>
    </row>
    <row r="33" spans="1:10" ht="14.65" customHeight="1" thickBot="1" x14ac:dyDescent="0.25">
      <c r="A33" s="18" t="s">
        <v>81</v>
      </c>
      <c r="B33" s="255">
        <f>'P&amp;L'!C20</f>
        <v>0</v>
      </c>
      <c r="C33" s="255">
        <f>'P&amp;L'!D20</f>
        <v>5.7037037037037042</v>
      </c>
      <c r="D33" s="255">
        <f>'P&amp;L'!E20</f>
        <v>6.5679012345679011</v>
      </c>
      <c r="E33" s="255">
        <f>'P&amp;L'!F20</f>
        <v>5.3827160493827169</v>
      </c>
      <c r="F33" s="255">
        <f>'P&amp;L'!G20</f>
        <v>4.1975308641975309</v>
      </c>
      <c r="G33" s="255">
        <f>'P&amp;L'!H20</f>
        <v>3.0123456790123457</v>
      </c>
      <c r="H33" s="255">
        <f>'P&amp;L'!I20</f>
        <v>1.8271604938271604</v>
      </c>
      <c r="I33" s="255">
        <f>'P&amp;L'!J20*10/12</f>
        <v>0.5281207133058986</v>
      </c>
    </row>
    <row r="34" spans="1:10" ht="14.65" customHeight="1" thickBot="1" x14ac:dyDescent="0.25">
      <c r="A34" s="19"/>
      <c r="B34" s="256">
        <f>SUM(B31:B33)</f>
        <v>31.941233666666644</v>
      </c>
      <c r="C34" s="146">
        <f>SUM(C31:C33)</f>
        <v>87.18017811111109</v>
      </c>
      <c r="D34" s="146">
        <f t="shared" ref="D34:G34" si="11">IF(D36&gt;1,SUM(D31:D33),0)</f>
        <v>89.347774195370292</v>
      </c>
      <c r="E34" s="146">
        <f t="shared" si="11"/>
        <v>103.68964853481476</v>
      </c>
      <c r="F34" s="146">
        <f t="shared" si="11"/>
        <v>117.29864887164995</v>
      </c>
      <c r="G34" s="146">
        <f t="shared" si="11"/>
        <v>129.60511395937624</v>
      </c>
      <c r="H34" s="146">
        <f t="shared" ref="H34" si="12">IF(H36&gt;1,SUM(H31:H33),0)</f>
        <v>196.39560908515776</v>
      </c>
      <c r="I34" s="146">
        <f>SUM(I31:I33)</f>
        <v>163.62896473627643</v>
      </c>
      <c r="J34" s="294">
        <f>SUM(D34:I34)</f>
        <v>799.96575938264539</v>
      </c>
    </row>
    <row r="35" spans="1:10" ht="14.65" customHeight="1" thickBot="1" x14ac:dyDescent="0.25">
      <c r="A35" s="17"/>
      <c r="B35" s="212"/>
      <c r="C35" s="212"/>
      <c r="D35" s="2"/>
      <c r="E35" s="2"/>
      <c r="F35" s="2"/>
      <c r="G35" s="2"/>
      <c r="H35" s="2"/>
      <c r="I35" s="2"/>
      <c r="J35" s="260"/>
    </row>
    <row r="36" spans="1:10" ht="14.65" customHeight="1" x14ac:dyDescent="0.2">
      <c r="A36" s="16" t="s">
        <v>33</v>
      </c>
      <c r="B36" s="257">
        <f>B33</f>
        <v>0</v>
      </c>
      <c r="C36" s="15">
        <f>'P&amp;L'!D20</f>
        <v>5.7037037037037042</v>
      </c>
      <c r="D36" s="15">
        <f t="shared" ref="D36:G36" si="13">D33</f>
        <v>6.5679012345679011</v>
      </c>
      <c r="E36" s="15">
        <f t="shared" si="13"/>
        <v>5.3827160493827169</v>
      </c>
      <c r="F36" s="15">
        <f t="shared" si="13"/>
        <v>4.1975308641975309</v>
      </c>
      <c r="G36" s="15">
        <f t="shared" si="13"/>
        <v>3.0123456790123457</v>
      </c>
      <c r="H36" s="15">
        <f t="shared" ref="H36:I36" si="14">H33</f>
        <v>1.8271604938271604</v>
      </c>
      <c r="I36" s="15">
        <f t="shared" si="14"/>
        <v>0.5281207133058986</v>
      </c>
      <c r="J36" s="15" t="s">
        <v>66</v>
      </c>
    </row>
    <row r="37" spans="1:10" ht="14.65" customHeight="1" thickBot="1" x14ac:dyDescent="0.25">
      <c r="A37" s="18" t="s">
        <v>34</v>
      </c>
      <c r="B37" s="255">
        <v>0</v>
      </c>
      <c r="C37" s="2">
        <f>SUM('PNB Bank TL (New)'!F13:F21)</f>
        <v>8.8888888888888893</v>
      </c>
      <c r="D37" s="2">
        <f>BS!C13</f>
        <v>11.851851851851848</v>
      </c>
      <c r="E37" s="2">
        <f>BS!D13</f>
        <v>11.851851851851848</v>
      </c>
      <c r="F37" s="2">
        <f>BS!E13</f>
        <v>11.851851851851844</v>
      </c>
      <c r="G37" s="2">
        <f>BS!F13</f>
        <v>11.851851851851855</v>
      </c>
      <c r="H37" s="2">
        <f>BS!G13</f>
        <v>11.851851851851855</v>
      </c>
      <c r="I37" s="2">
        <f>BS!H13</f>
        <v>11.851851851851851</v>
      </c>
    </row>
    <row r="38" spans="1:10" ht="14.65" customHeight="1" thickBot="1" x14ac:dyDescent="0.25">
      <c r="A38" s="19"/>
      <c r="B38" s="256">
        <f>SUM(B36:B37)</f>
        <v>0</v>
      </c>
      <c r="C38" s="146">
        <f>SUM(C36:C37)</f>
        <v>14.592592592592593</v>
      </c>
      <c r="D38" s="146">
        <f t="shared" ref="D38:G38" si="15">SUM(D36:D37)</f>
        <v>18.41975308641975</v>
      </c>
      <c r="E38" s="146">
        <f t="shared" si="15"/>
        <v>17.234567901234563</v>
      </c>
      <c r="F38" s="146">
        <f t="shared" si="15"/>
        <v>16.049382716049376</v>
      </c>
      <c r="G38" s="146">
        <f t="shared" si="15"/>
        <v>14.8641975308642</v>
      </c>
      <c r="H38" s="146">
        <f t="shared" ref="H38:I38" si="16">SUM(H36:H37)</f>
        <v>13.679012345679014</v>
      </c>
      <c r="I38" s="146">
        <f t="shared" si="16"/>
        <v>12.37997256515775</v>
      </c>
      <c r="J38" s="294">
        <f>SUM(D38:I38)</f>
        <v>92.626886145404654</v>
      </c>
    </row>
    <row r="39" spans="1:10" s="219" customFormat="1" ht="14.65" customHeight="1" x14ac:dyDescent="0.2">
      <c r="A39" s="216"/>
      <c r="B39" s="237"/>
      <c r="C39" s="217"/>
      <c r="D39" s="218"/>
      <c r="E39" s="218"/>
      <c r="F39" s="218"/>
      <c r="G39" s="218"/>
      <c r="H39" s="218"/>
      <c r="I39" s="218"/>
      <c r="J39" s="295" t="s">
        <v>66</v>
      </c>
    </row>
    <row r="40" spans="1:10" ht="14.65" customHeight="1" thickBot="1" x14ac:dyDescent="0.25">
      <c r="A40" s="17"/>
      <c r="B40" s="212"/>
      <c r="C40" s="212"/>
      <c r="D40" s="2"/>
      <c r="E40" s="2"/>
      <c r="F40" s="2"/>
      <c r="G40" s="2"/>
      <c r="H40" s="2"/>
      <c r="I40" s="2"/>
    </row>
    <row r="41" spans="1:10" ht="14.65" customHeight="1" thickBot="1" x14ac:dyDescent="0.25">
      <c r="A41" s="21" t="s">
        <v>24</v>
      </c>
      <c r="B41" s="5" t="e">
        <f>IF(B34&gt;1,B34/B38,0)</f>
        <v>#DIV/0!</v>
      </c>
      <c r="C41" s="5">
        <f>IF(C34&gt;1,C34/C38,0)</f>
        <v>5.9742761649746177</v>
      </c>
      <c r="D41" s="5">
        <f t="shared" ref="D41:G41" si="17">IF(D34&gt;1,D34/D38,0)</f>
        <v>4.8506499395609888</v>
      </c>
      <c r="E41" s="5">
        <f>IF(E34&gt;1,E34/E38,0)</f>
        <v>6.0163764551002856</v>
      </c>
      <c r="F41" s="5">
        <f t="shared" si="17"/>
        <v>7.3086081220028074</v>
      </c>
      <c r="G41" s="5">
        <f t="shared" si="17"/>
        <v>8.7192809225161749</v>
      </c>
      <c r="H41" s="5">
        <f t="shared" ref="H41:I41" si="18">IF(H34&gt;1,H34/H38,0)</f>
        <v>14.357440736369833</v>
      </c>
      <c r="I41" s="5">
        <f t="shared" si="18"/>
        <v>13.217231611384545</v>
      </c>
      <c r="J41" s="296">
        <f>J34/J38</f>
        <v>8.6364315229907227</v>
      </c>
    </row>
    <row r="42" spans="1:10" ht="15" customHeight="1" thickBot="1" x14ac:dyDescent="0.25">
      <c r="A42" s="318"/>
      <c r="B42" s="319"/>
      <c r="C42" s="319"/>
      <c r="D42" s="319"/>
      <c r="E42" s="319"/>
      <c r="F42" s="319"/>
      <c r="G42" s="319"/>
      <c r="H42" s="319"/>
      <c r="I42" s="319"/>
      <c r="J42" s="320"/>
    </row>
    <row r="43" spans="1:10" ht="15" customHeight="1" thickBot="1" x14ac:dyDescent="0.25">
      <c r="A43" s="261" t="s">
        <v>40</v>
      </c>
      <c r="B43" s="262"/>
      <c r="C43" s="317">
        <f>J34/J38</f>
        <v>8.6364315229907227</v>
      </c>
      <c r="D43" s="317"/>
      <c r="E43" s="317"/>
      <c r="F43" s="317"/>
      <c r="G43" s="317"/>
      <c r="H43" s="317"/>
      <c r="I43" s="317"/>
      <c r="J43" s="260"/>
    </row>
    <row r="44" spans="1:10" ht="14.65" customHeight="1" x14ac:dyDescent="0.2">
      <c r="D44" s="6"/>
      <c r="E44" s="6"/>
      <c r="F44" s="6"/>
      <c r="G44" s="6"/>
      <c r="H44" s="6"/>
      <c r="I44" s="6"/>
    </row>
    <row r="45" spans="1:10" ht="14.65" customHeight="1" x14ac:dyDescent="0.2">
      <c r="C45" s="302"/>
      <c r="D45" s="302"/>
      <c r="E45" s="302"/>
      <c r="F45" s="302"/>
      <c r="G45" s="302"/>
      <c r="H45" s="302"/>
      <c r="I45" s="302"/>
      <c r="J45" s="302"/>
    </row>
    <row r="46" spans="1:10" ht="14.65" customHeight="1" x14ac:dyDescent="0.2">
      <c r="C46" s="303"/>
      <c r="D46" s="303"/>
      <c r="E46" s="303"/>
      <c r="F46" s="303"/>
      <c r="G46" s="303"/>
      <c r="H46" s="303"/>
      <c r="I46" s="303"/>
      <c r="J46" s="303"/>
    </row>
    <row r="47" spans="1:10" ht="14.65" customHeight="1" x14ac:dyDescent="0.2">
      <c r="C47" s="303"/>
      <c r="D47" s="303"/>
      <c r="E47" s="303"/>
      <c r="F47" s="303"/>
      <c r="G47" s="303"/>
      <c r="H47" s="303"/>
      <c r="I47" s="303"/>
      <c r="J47" s="304"/>
    </row>
    <row r="48" spans="1:10" ht="14.65" customHeight="1" x14ac:dyDescent="0.2">
      <c r="C48" s="305"/>
      <c r="D48" s="305"/>
      <c r="E48" s="305"/>
      <c r="F48" s="305"/>
      <c r="G48" s="305"/>
      <c r="H48" s="305"/>
      <c r="I48" s="305"/>
      <c r="J48" s="305"/>
    </row>
    <row r="49" spans="1:10" ht="14.65" customHeight="1" x14ac:dyDescent="0.2">
      <c r="D49" s="9"/>
      <c r="E49" s="9"/>
      <c r="F49" s="9"/>
    </row>
    <row r="50" spans="1:10" ht="14.65" customHeight="1" x14ac:dyDescent="0.2">
      <c r="C50" s="305"/>
      <c r="D50" s="305"/>
      <c r="E50" s="305"/>
      <c r="F50" s="305"/>
      <c r="G50" s="305"/>
      <c r="H50" s="305"/>
      <c r="I50" s="305"/>
      <c r="J50" s="250"/>
    </row>
    <row r="51" spans="1:10" ht="14.65" customHeight="1" x14ac:dyDescent="0.2">
      <c r="C51" s="302"/>
      <c r="D51" s="302"/>
      <c r="E51" s="302"/>
      <c r="F51" s="302"/>
      <c r="G51" s="302"/>
      <c r="H51" s="302"/>
      <c r="I51" s="302"/>
      <c r="J51" s="250"/>
    </row>
    <row r="52" spans="1:10" ht="14.65" customHeight="1" x14ac:dyDescent="0.2">
      <c r="D52" s="9"/>
      <c r="E52" s="9"/>
      <c r="F52" s="9"/>
    </row>
    <row r="53" spans="1:10" x14ac:dyDescent="0.2">
      <c r="C53" s="303"/>
      <c r="D53" s="303"/>
      <c r="E53" s="303"/>
      <c r="F53" s="303"/>
      <c r="G53" s="303"/>
      <c r="H53" s="303"/>
      <c r="I53" s="303"/>
      <c r="J53" s="303"/>
    </row>
    <row r="56" spans="1:10" x14ac:dyDescent="0.2">
      <c r="A56" s="306"/>
    </row>
    <row r="57" spans="1:10" x14ac:dyDescent="0.2">
      <c r="C57" s="303"/>
      <c r="D57" s="303"/>
      <c r="E57" s="303"/>
      <c r="F57" s="303"/>
      <c r="G57" s="303"/>
      <c r="H57" s="303"/>
      <c r="I57" s="303"/>
    </row>
    <row r="58" spans="1:10" x14ac:dyDescent="0.2">
      <c r="C58" s="303"/>
      <c r="D58" s="303"/>
      <c r="E58" s="303"/>
      <c r="F58" s="303"/>
      <c r="G58" s="303"/>
      <c r="H58" s="303"/>
      <c r="I58" s="303"/>
    </row>
    <row r="59" spans="1:10" x14ac:dyDescent="0.2">
      <c r="C59" s="303"/>
      <c r="D59" s="303"/>
      <c r="E59" s="303"/>
      <c r="F59" s="303"/>
      <c r="G59" s="303"/>
      <c r="H59" s="303"/>
      <c r="I59" s="303"/>
    </row>
    <row r="60" spans="1:10" x14ac:dyDescent="0.2">
      <c r="C60" s="303"/>
      <c r="D60" s="303"/>
      <c r="E60" s="303"/>
      <c r="F60" s="303"/>
      <c r="G60" s="303"/>
      <c r="H60" s="303"/>
      <c r="I60" s="303"/>
    </row>
    <row r="62" spans="1:10" x14ac:dyDescent="0.2">
      <c r="C62" s="305"/>
      <c r="D62" s="305"/>
      <c r="E62" s="305"/>
      <c r="F62" s="305"/>
      <c r="G62" s="305"/>
      <c r="H62" s="305"/>
      <c r="I62" s="305"/>
      <c r="J62" s="250"/>
    </row>
    <row r="63" spans="1:10" x14ac:dyDescent="0.2">
      <c r="C63" s="302"/>
      <c r="D63" s="302"/>
      <c r="E63" s="302"/>
      <c r="F63" s="302"/>
      <c r="G63" s="302"/>
      <c r="H63" s="302"/>
      <c r="I63" s="302"/>
      <c r="J63" s="250"/>
    </row>
    <row r="65" spans="1:10" x14ac:dyDescent="0.2">
      <c r="C65" s="303"/>
      <c r="D65" s="303"/>
      <c r="E65" s="303"/>
      <c r="F65" s="303"/>
      <c r="G65" s="303"/>
      <c r="H65" s="303"/>
      <c r="I65" s="303"/>
      <c r="J65" s="303"/>
    </row>
    <row r="67" spans="1:10" x14ac:dyDescent="0.2">
      <c r="A67" s="306"/>
    </row>
    <row r="68" spans="1:10" x14ac:dyDescent="0.2">
      <c r="C68" s="303"/>
      <c r="D68" s="303"/>
      <c r="E68" s="303"/>
      <c r="F68" s="303"/>
      <c r="G68" s="303"/>
      <c r="H68" s="303"/>
      <c r="I68" s="303"/>
      <c r="J68" s="303"/>
    </row>
    <row r="69" spans="1:10" x14ac:dyDescent="0.2">
      <c r="C69" s="303"/>
      <c r="D69" s="303"/>
      <c r="E69" s="303"/>
      <c r="F69" s="303"/>
      <c r="G69" s="303"/>
      <c r="H69" s="303"/>
      <c r="I69" s="303"/>
      <c r="J69" s="303"/>
    </row>
    <row r="70" spans="1:10" x14ac:dyDescent="0.2">
      <c r="C70" s="308"/>
      <c r="D70" s="308"/>
      <c r="E70" s="308"/>
      <c r="F70" s="308"/>
      <c r="G70" s="308"/>
      <c r="H70" s="308"/>
      <c r="I70" s="308"/>
      <c r="J70" s="308"/>
    </row>
    <row r="71" spans="1:10" x14ac:dyDescent="0.2">
      <c r="C71" s="305"/>
      <c r="D71" s="305"/>
      <c r="E71" s="305"/>
      <c r="F71" s="305"/>
      <c r="G71" s="305"/>
      <c r="H71" s="305"/>
      <c r="I71" s="305"/>
    </row>
    <row r="73" spans="1:10" x14ac:dyDescent="0.2">
      <c r="C73" s="305"/>
      <c r="D73" s="305"/>
      <c r="E73" s="305"/>
      <c r="F73" s="305"/>
      <c r="G73" s="305"/>
      <c r="H73" s="305"/>
      <c r="I73" s="305"/>
      <c r="J73" s="250"/>
    </row>
    <row r="74" spans="1:10" x14ac:dyDescent="0.2">
      <c r="C74" s="302"/>
      <c r="D74" s="302"/>
      <c r="E74" s="302"/>
      <c r="F74" s="302"/>
      <c r="G74" s="302"/>
      <c r="H74" s="302"/>
      <c r="I74" s="302"/>
      <c r="J74" s="250"/>
    </row>
    <row r="76" spans="1:10" x14ac:dyDescent="0.2">
      <c r="C76" s="303"/>
      <c r="D76" s="303"/>
      <c r="E76" s="303"/>
      <c r="F76" s="303"/>
      <c r="G76" s="303"/>
      <c r="H76" s="303"/>
      <c r="I76" s="303"/>
      <c r="J76" s="303"/>
    </row>
  </sheetData>
  <printOptions horizontalCentered="1"/>
  <pageMargins left="0.23622047244094491" right="0.23622047244094491" top="0.35433070866141736" bottom="0.35433070866141736" header="0.19685039370078741" footer="0.11811023622047245"/>
  <pageSetup paperSize="9" scale="6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93CCE-ABE5-4979-8C5E-DB15FBF3E9D5}">
  <sheetPr>
    <tabColor rgb="FF92D050"/>
    <pageSetUpPr fitToPage="1"/>
  </sheetPr>
  <dimension ref="A1:P11"/>
  <sheetViews>
    <sheetView view="pageBreakPreview" zoomScaleNormal="100" zoomScaleSheetLayoutView="160" workbookViewId="0">
      <selection activeCell="A6" sqref="A6:C6"/>
    </sheetView>
  </sheetViews>
  <sheetFormatPr defaultColWidth="8.7109375" defaultRowHeight="14.25" x14ac:dyDescent="0.2"/>
  <cols>
    <col min="1" max="1" width="30.28515625" style="50" bestFit="1" customWidth="1"/>
    <col min="2" max="2" width="8.7109375" style="50"/>
    <col min="3" max="3" width="14.28515625" style="50" customWidth="1"/>
    <col min="4" max="4" width="12.28515625" style="50" hidden="1" customWidth="1"/>
    <col min="5" max="6" width="8.7109375" style="50" bestFit="1" customWidth="1"/>
    <col min="7" max="8" width="8.7109375" style="50"/>
    <col min="9" max="9" width="9.5703125" style="50" bestFit="1" customWidth="1"/>
    <col min="10" max="10" width="8.7109375" style="50"/>
    <col min="11" max="11" width="8.28515625" style="50" customWidth="1"/>
    <col min="12" max="16384" width="8.7109375" style="50"/>
  </cols>
  <sheetData>
    <row r="1" spans="1:16" x14ac:dyDescent="0.2">
      <c r="L1" s="50">
        <v>100000</v>
      </c>
    </row>
    <row r="2" spans="1:16" ht="15" x14ac:dyDescent="0.2">
      <c r="A2" s="464" t="s">
        <v>60</v>
      </c>
      <c r="B2" s="464"/>
      <c r="C2" s="464"/>
      <c r="D2" s="464"/>
      <c r="E2" s="464"/>
      <c r="F2" s="464"/>
      <c r="G2" s="464"/>
      <c r="H2" s="151"/>
      <c r="I2" s="151"/>
      <c r="J2" s="151"/>
      <c r="K2" s="151"/>
      <c r="L2" s="151"/>
      <c r="M2" s="151"/>
      <c r="N2" s="151"/>
      <c r="O2" s="151"/>
      <c r="P2" s="151"/>
    </row>
    <row r="3" spans="1:16" ht="15.75" thickBot="1" x14ac:dyDescent="0.25">
      <c r="A3" s="43"/>
      <c r="B3" s="44"/>
      <c r="C3" s="44"/>
      <c r="D3" s="110"/>
      <c r="E3" s="110"/>
      <c r="F3" s="110"/>
      <c r="G3" s="110"/>
      <c r="I3" s="153"/>
      <c r="J3" s="75"/>
      <c r="K3" s="75" t="s">
        <v>115</v>
      </c>
    </row>
    <row r="4" spans="1:16" ht="15.75" thickBot="1" x14ac:dyDescent="0.25">
      <c r="A4" s="108" t="s">
        <v>35</v>
      </c>
      <c r="B4" s="109"/>
      <c r="C4" s="47"/>
      <c r="D4" s="86">
        <f>'P&amp;L'!C5</f>
        <v>45717</v>
      </c>
      <c r="E4" s="86">
        <f>'P&amp;L'!D5</f>
        <v>46082</v>
      </c>
      <c r="F4" s="86">
        <f>'P&amp;L'!E5</f>
        <v>46447</v>
      </c>
      <c r="G4" s="86">
        <f>'P&amp;L'!F5</f>
        <v>46813</v>
      </c>
      <c r="H4" s="86">
        <f>'P&amp;L'!G5</f>
        <v>47178</v>
      </c>
      <c r="I4" s="86">
        <f>'P&amp;L'!H5</f>
        <v>47543</v>
      </c>
      <c r="J4" s="86">
        <f>'P&amp;L'!I5</f>
        <v>47908</v>
      </c>
      <c r="K4" s="86">
        <v>11749</v>
      </c>
    </row>
    <row r="5" spans="1:16" ht="15" x14ac:dyDescent="0.25">
      <c r="A5" s="461" t="s">
        <v>93</v>
      </c>
      <c r="B5" s="462"/>
      <c r="C5" s="463"/>
      <c r="D5" s="64"/>
      <c r="E5" s="64"/>
      <c r="F5" s="64"/>
      <c r="G5" s="64"/>
      <c r="H5" s="64"/>
      <c r="I5" s="64"/>
      <c r="J5" s="64"/>
      <c r="K5" s="64"/>
    </row>
    <row r="6" spans="1:16" x14ac:dyDescent="0.2">
      <c r="A6" s="465" t="s">
        <v>210</v>
      </c>
      <c r="B6" s="466"/>
      <c r="C6" s="467"/>
      <c r="D6" s="58">
        <f>'PNB Bank TL (New)'!J11</f>
        <v>0</v>
      </c>
      <c r="E6" s="310">
        <f>'PNB Bank TL (New)'!J21</f>
        <v>5.7037037037037042</v>
      </c>
      <c r="F6" s="310">
        <f>'PNB Bank TL (New)'!J33</f>
        <v>6.5679012345679011</v>
      </c>
      <c r="G6" s="310">
        <f>'PNB Bank TL (New)'!J45</f>
        <v>5.3827160493827169</v>
      </c>
      <c r="H6" s="331">
        <f>'PNB Bank TL (New)'!J57</f>
        <v>4.1975308641975309</v>
      </c>
      <c r="I6" s="310">
        <f>'PNB Bank TL (New)'!J69</f>
        <v>3.0123456790123457</v>
      </c>
      <c r="J6" s="310">
        <f>'PNB Bank TL (New)'!J81</f>
        <v>1.8271604938271604</v>
      </c>
      <c r="K6" s="310">
        <f>'PNB Bank TL (New)'!J92</f>
        <v>0.6337448559670783</v>
      </c>
    </row>
    <row r="7" spans="1:16" ht="15" thickBot="1" x14ac:dyDescent="0.25">
      <c r="A7" s="359" t="s">
        <v>211</v>
      </c>
      <c r="B7" s="360"/>
      <c r="C7" s="361"/>
      <c r="D7" s="58">
        <f>(2000000*10%/12)/$L$1</f>
        <v>0.16666666666666669</v>
      </c>
      <c r="E7" s="310">
        <f>D7*12</f>
        <v>2</v>
      </c>
      <c r="F7" s="310">
        <f>E7</f>
        <v>2</v>
      </c>
      <c r="G7" s="310">
        <f t="shared" ref="G7:K7" si="0">F7</f>
        <v>2</v>
      </c>
      <c r="H7" s="310">
        <f t="shared" si="0"/>
        <v>2</v>
      </c>
      <c r="I7" s="310">
        <f t="shared" si="0"/>
        <v>2</v>
      </c>
      <c r="J7" s="310">
        <f t="shared" si="0"/>
        <v>2</v>
      </c>
      <c r="K7" s="310">
        <f t="shared" si="0"/>
        <v>2</v>
      </c>
    </row>
    <row r="8" spans="1:16" ht="15.75" thickBot="1" x14ac:dyDescent="0.3">
      <c r="A8" s="65" t="s">
        <v>0</v>
      </c>
      <c r="B8" s="66"/>
      <c r="C8" s="67"/>
      <c r="D8" s="68">
        <f>SUM(D6:D7)</f>
        <v>0.16666666666666669</v>
      </c>
      <c r="E8" s="68">
        <f t="shared" ref="E8:K8" si="1">SUM(E6:E7)</f>
        <v>7.7037037037037042</v>
      </c>
      <c r="F8" s="68">
        <f t="shared" si="1"/>
        <v>8.567901234567902</v>
      </c>
      <c r="G8" s="68">
        <f t="shared" si="1"/>
        <v>7.3827160493827169</v>
      </c>
      <c r="H8" s="68">
        <f t="shared" si="1"/>
        <v>6.1975308641975309</v>
      </c>
      <c r="I8" s="68">
        <f t="shared" si="1"/>
        <v>5.0123456790123457</v>
      </c>
      <c r="J8" s="68">
        <f t="shared" si="1"/>
        <v>3.8271604938271606</v>
      </c>
      <c r="K8" s="68">
        <f t="shared" si="1"/>
        <v>2.6337448559670782</v>
      </c>
    </row>
    <row r="11" spans="1:16" x14ac:dyDescent="0.2">
      <c r="I11" s="152"/>
    </row>
  </sheetData>
  <mergeCells count="3">
    <mergeCell ref="A5:C5"/>
    <mergeCell ref="A2:G2"/>
    <mergeCell ref="A6:C6"/>
  </mergeCells>
  <printOptions horizontalCentered="1"/>
  <pageMargins left="0.70866141732283472" right="0.70866141732283472" top="0.74803149606299213" bottom="0.74803149606299213" header="0.31496062992125984" footer="0.31496062992125984"/>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23F5-1D1A-48D1-831B-C7D2294DA556}">
  <sheetPr>
    <tabColor rgb="FF92D050"/>
  </sheetPr>
  <dimension ref="A1:R93"/>
  <sheetViews>
    <sheetView showGridLines="0" view="pageBreakPreview" zoomScale="73" zoomScaleNormal="100" zoomScaleSheetLayoutView="100" workbookViewId="0">
      <selection activeCell="A2" sqref="A2"/>
    </sheetView>
  </sheetViews>
  <sheetFormatPr defaultColWidth="8.7109375" defaultRowHeight="14.25" x14ac:dyDescent="0.25"/>
  <cols>
    <col min="1" max="1" width="37.7109375" style="70" customWidth="1"/>
    <col min="2" max="2" width="5.28515625" style="70" bestFit="1" customWidth="1"/>
    <col min="3" max="3" width="15.42578125" style="70" customWidth="1"/>
    <col min="4" max="6" width="13.85546875" style="70" bestFit="1" customWidth="1"/>
    <col min="7" max="7" width="15" style="70" bestFit="1" customWidth="1"/>
    <col min="8" max="8" width="15.28515625" style="70" bestFit="1" customWidth="1"/>
    <col min="9" max="9" width="25.140625" style="70" bestFit="1" customWidth="1"/>
    <col min="10" max="10" width="12.7109375" style="70" bestFit="1" customWidth="1"/>
    <col min="11" max="11" width="9.85546875" style="70" customWidth="1"/>
    <col min="12" max="12" width="9.28515625" style="70" bestFit="1" customWidth="1"/>
    <col min="13" max="14" width="8.7109375" style="70"/>
    <col min="15" max="15" width="46.5703125" style="70" customWidth="1"/>
    <col min="16" max="16384" width="8.7109375" style="70"/>
  </cols>
  <sheetData>
    <row r="1" spans="1:18" ht="15" x14ac:dyDescent="0.25">
      <c r="A1" s="69" t="s">
        <v>206</v>
      </c>
      <c r="B1" s="69"/>
      <c r="C1" s="69"/>
      <c r="D1" s="69"/>
      <c r="P1" s="70">
        <v>100000</v>
      </c>
    </row>
    <row r="3" spans="1:18" ht="15" x14ac:dyDescent="0.25">
      <c r="B3" s="76"/>
      <c r="C3" s="76"/>
      <c r="D3" s="76"/>
      <c r="G3" s="75" t="s">
        <v>115</v>
      </c>
    </row>
    <row r="4" spans="1:18" ht="15" x14ac:dyDescent="0.25">
      <c r="A4" s="76" t="s">
        <v>137</v>
      </c>
      <c r="B4" s="76"/>
      <c r="D4" s="76"/>
      <c r="E4" s="70" t="s">
        <v>66</v>
      </c>
      <c r="G4" s="150">
        <v>80</v>
      </c>
    </row>
    <row r="5" spans="1:18" ht="15" x14ac:dyDescent="0.25">
      <c r="A5" s="230" t="s">
        <v>154</v>
      </c>
      <c r="B5" s="76"/>
      <c r="D5" s="76"/>
      <c r="G5" s="150">
        <f>G4*(1.25+0.4)%*1.18</f>
        <v>1.5576000000000001</v>
      </c>
      <c r="R5" s="70" t="s">
        <v>158</v>
      </c>
    </row>
    <row r="6" spans="1:18" ht="15" x14ac:dyDescent="0.25">
      <c r="A6" s="76" t="s">
        <v>144</v>
      </c>
      <c r="B6" s="76"/>
      <c r="D6" s="76"/>
      <c r="G6" s="150">
        <f>O9</f>
        <v>0</v>
      </c>
      <c r="R6" s="70" t="s">
        <v>159</v>
      </c>
    </row>
    <row r="7" spans="1:18" ht="15" x14ac:dyDescent="0.25">
      <c r="A7" s="76"/>
      <c r="B7" s="76"/>
      <c r="D7" s="76"/>
    </row>
    <row r="8" spans="1:18" ht="17.45" customHeight="1" thickBot="1" x14ac:dyDescent="0.3">
      <c r="A8" s="76" t="s">
        <v>78</v>
      </c>
      <c r="G8" s="75" t="s">
        <v>115</v>
      </c>
      <c r="I8" s="230" t="s">
        <v>138</v>
      </c>
      <c r="J8" s="76" t="s">
        <v>124</v>
      </c>
      <c r="L8" s="76" t="s">
        <v>84</v>
      </c>
      <c r="O8" s="230" t="s">
        <v>140</v>
      </c>
      <c r="P8" s="76"/>
      <c r="R8" s="70" t="s">
        <v>160</v>
      </c>
    </row>
    <row r="9" spans="1:18" ht="30.75" thickBot="1" x14ac:dyDescent="0.3">
      <c r="A9" s="77" t="s">
        <v>61</v>
      </c>
      <c r="B9" s="77" t="s">
        <v>117</v>
      </c>
      <c r="C9" s="77" t="s">
        <v>121</v>
      </c>
      <c r="D9" s="77" t="s">
        <v>122</v>
      </c>
      <c r="E9" s="77" t="s">
        <v>123</v>
      </c>
      <c r="F9" s="77" t="s">
        <v>83</v>
      </c>
      <c r="G9" s="77" t="s">
        <v>91</v>
      </c>
      <c r="L9" s="84" t="s">
        <v>66</v>
      </c>
      <c r="O9" s="184">
        <v>0</v>
      </c>
      <c r="R9" s="70" t="s">
        <v>161</v>
      </c>
    </row>
    <row r="10" spans="1:18" ht="15" customHeight="1" x14ac:dyDescent="0.25">
      <c r="A10" s="473">
        <v>2026</v>
      </c>
      <c r="B10" s="173">
        <v>1</v>
      </c>
      <c r="C10" s="177">
        <v>45748</v>
      </c>
      <c r="D10" s="178">
        <f t="shared" ref="D10:D11" si="0">E10</f>
        <v>0.66666666666666663</v>
      </c>
      <c r="E10" s="78">
        <f>G10*'A &amp; B'!$I$8/12</f>
        <v>0.66666666666666663</v>
      </c>
      <c r="F10" s="78">
        <v>0</v>
      </c>
      <c r="G10" s="181">
        <v>80</v>
      </c>
      <c r="J10" s="84"/>
    </row>
    <row r="11" spans="1:18" ht="15" customHeight="1" x14ac:dyDescent="0.25">
      <c r="A11" s="474"/>
      <c r="B11" s="172">
        <f>B10+1</f>
        <v>2</v>
      </c>
      <c r="C11" s="175">
        <v>45778</v>
      </c>
      <c r="D11" s="176">
        <f t="shared" si="0"/>
        <v>0.66666666666666663</v>
      </c>
      <c r="E11" s="79">
        <f>G10*'A &amp; B'!$I$8/12</f>
        <v>0.66666666666666663</v>
      </c>
      <c r="F11" s="79">
        <v>0</v>
      </c>
      <c r="G11" s="179">
        <f t="shared" ref="G11:G74" si="1">G10+E11-D11</f>
        <v>80</v>
      </c>
      <c r="H11" s="184">
        <f>G10/81</f>
        <v>0.98765432098765427</v>
      </c>
      <c r="J11" s="184"/>
      <c r="L11" s="184"/>
    </row>
    <row r="12" spans="1:18" ht="15" customHeight="1" x14ac:dyDescent="0.25">
      <c r="A12" s="474"/>
      <c r="B12" s="172">
        <f t="shared" ref="B12:B93" si="2">B11+1</f>
        <v>3</v>
      </c>
      <c r="C12" s="175">
        <v>45809</v>
      </c>
      <c r="D12" s="176">
        <f t="shared" ref="D12:D13" si="3">E12+F12</f>
        <v>0.66666666666666663</v>
      </c>
      <c r="E12" s="79">
        <f>G11*'A &amp; B'!$I$8/12</f>
        <v>0.66666666666666663</v>
      </c>
      <c r="F12" s="79">
        <v>0</v>
      </c>
      <c r="G12" s="179">
        <f t="shared" si="1"/>
        <v>80</v>
      </c>
      <c r="H12" s="184"/>
      <c r="L12" s="84"/>
    </row>
    <row r="13" spans="1:18" ht="14.45" customHeight="1" x14ac:dyDescent="0.25">
      <c r="A13" s="474"/>
      <c r="B13" s="172">
        <f t="shared" si="2"/>
        <v>4</v>
      </c>
      <c r="C13" s="175">
        <v>45839</v>
      </c>
      <c r="D13" s="176">
        <f t="shared" si="3"/>
        <v>1.6543209876543208</v>
      </c>
      <c r="E13" s="79">
        <f>G12*'A &amp; B'!$I$8/12</f>
        <v>0.66666666666666663</v>
      </c>
      <c r="F13" s="79">
        <f>'A &amp; B'!$I$11</f>
        <v>0.98765432098765427</v>
      </c>
      <c r="G13" s="179">
        <f t="shared" si="1"/>
        <v>79.012345679012356</v>
      </c>
      <c r="H13" s="184"/>
    </row>
    <row r="14" spans="1:18" ht="14.45" customHeight="1" x14ac:dyDescent="0.25">
      <c r="A14" s="474"/>
      <c r="B14" s="172">
        <f t="shared" si="2"/>
        <v>5</v>
      </c>
      <c r="C14" s="175">
        <v>45870</v>
      </c>
      <c r="D14" s="176">
        <f>E14+F14</f>
        <v>1.6460905349794239</v>
      </c>
      <c r="E14" s="79">
        <f>G13*'A &amp; B'!$I$8/12</f>
        <v>0.65843621399176966</v>
      </c>
      <c r="F14" s="79">
        <f>'A &amp; B'!$I$11</f>
        <v>0.98765432098765427</v>
      </c>
      <c r="G14" s="179">
        <f t="shared" ref="G14" si="4">G13+E14-D14</f>
        <v>78.024691358024697</v>
      </c>
    </row>
    <row r="15" spans="1:18" ht="14.45" customHeight="1" x14ac:dyDescent="0.25">
      <c r="A15" s="474"/>
      <c r="B15" s="172">
        <f t="shared" si="2"/>
        <v>6</v>
      </c>
      <c r="C15" s="175">
        <v>45901</v>
      </c>
      <c r="D15" s="176">
        <f t="shared" ref="D15:D78" si="5">E15+F15</f>
        <v>1.6378600823045266</v>
      </c>
      <c r="E15" s="79">
        <f>G14*'A &amp; B'!$I$8/12</f>
        <v>0.65020576131687247</v>
      </c>
      <c r="F15" s="79">
        <f>'A &amp; B'!$I$11</f>
        <v>0.98765432098765427</v>
      </c>
      <c r="G15" s="179">
        <f t="shared" si="1"/>
        <v>77.037037037037038</v>
      </c>
    </row>
    <row r="16" spans="1:18" ht="14.45" customHeight="1" x14ac:dyDescent="0.25">
      <c r="A16" s="474"/>
      <c r="B16" s="172">
        <f t="shared" si="2"/>
        <v>7</v>
      </c>
      <c r="C16" s="175">
        <v>45931</v>
      </c>
      <c r="D16" s="176">
        <f t="shared" si="5"/>
        <v>1.6296296296296298</v>
      </c>
      <c r="E16" s="79">
        <f>G15*'A &amp; B'!$I$8/12</f>
        <v>0.64197530864197538</v>
      </c>
      <c r="F16" s="79">
        <f>'A &amp; B'!$I$11</f>
        <v>0.98765432098765427</v>
      </c>
      <c r="G16" s="179">
        <f t="shared" si="1"/>
        <v>76.049382716049379</v>
      </c>
    </row>
    <row r="17" spans="1:12" ht="14.45" customHeight="1" x14ac:dyDescent="0.25">
      <c r="A17" s="474"/>
      <c r="B17" s="172">
        <f t="shared" si="2"/>
        <v>8</v>
      </c>
      <c r="C17" s="175">
        <v>45962</v>
      </c>
      <c r="D17" s="176">
        <f t="shared" si="5"/>
        <v>1.6213991769547325</v>
      </c>
      <c r="E17" s="79">
        <f>G16*'A &amp; B'!$I$8/12</f>
        <v>0.63374485596707819</v>
      </c>
      <c r="F17" s="79">
        <f>'A &amp; B'!$I$11</f>
        <v>0.98765432098765427</v>
      </c>
      <c r="G17" s="179">
        <f t="shared" si="1"/>
        <v>75.061728395061721</v>
      </c>
    </row>
    <row r="18" spans="1:12" ht="14.45" customHeight="1" x14ac:dyDescent="0.25">
      <c r="A18" s="474"/>
      <c r="B18" s="172">
        <f t="shared" si="2"/>
        <v>9</v>
      </c>
      <c r="C18" s="175">
        <v>45992</v>
      </c>
      <c r="D18" s="176">
        <f t="shared" si="5"/>
        <v>1.6131687242798352</v>
      </c>
      <c r="E18" s="79">
        <f>G17*'A &amp; B'!$I$8/12</f>
        <v>0.625514403292181</v>
      </c>
      <c r="F18" s="79">
        <f>'A &amp; B'!$I$11</f>
        <v>0.98765432098765427</v>
      </c>
      <c r="G18" s="179">
        <f t="shared" si="1"/>
        <v>74.074074074074076</v>
      </c>
    </row>
    <row r="19" spans="1:12" ht="14.45" customHeight="1" x14ac:dyDescent="0.25">
      <c r="A19" s="474"/>
      <c r="B19" s="172">
        <f t="shared" si="2"/>
        <v>10</v>
      </c>
      <c r="C19" s="175">
        <v>46023</v>
      </c>
      <c r="D19" s="176">
        <f t="shared" si="5"/>
        <v>1.6049382716049383</v>
      </c>
      <c r="E19" s="79">
        <f>G18*'A &amp; B'!$I$8/12</f>
        <v>0.61728395061728403</v>
      </c>
      <c r="F19" s="79">
        <f>'A &amp; B'!$I$11</f>
        <v>0.98765432098765427</v>
      </c>
      <c r="G19" s="179">
        <f t="shared" si="1"/>
        <v>73.086419753086417</v>
      </c>
    </row>
    <row r="20" spans="1:12" ht="14.45" customHeight="1" x14ac:dyDescent="0.25">
      <c r="A20" s="474"/>
      <c r="B20" s="172">
        <f t="shared" si="2"/>
        <v>11</v>
      </c>
      <c r="C20" s="175">
        <v>46054</v>
      </c>
      <c r="D20" s="176">
        <f t="shared" si="5"/>
        <v>1.596707818930041</v>
      </c>
      <c r="E20" s="79">
        <f>G19*'A &amp; B'!$I$8/12</f>
        <v>0.60905349794238683</v>
      </c>
      <c r="F20" s="79">
        <f>'A &amp; B'!$I$11</f>
        <v>0.98765432098765427</v>
      </c>
      <c r="G20" s="179">
        <f t="shared" si="1"/>
        <v>72.098765432098759</v>
      </c>
    </row>
    <row r="21" spans="1:12" ht="14.45" customHeight="1" thickBot="1" x14ac:dyDescent="0.3">
      <c r="A21" s="475"/>
      <c r="B21" s="174">
        <f t="shared" si="2"/>
        <v>12</v>
      </c>
      <c r="C21" s="182">
        <v>46082</v>
      </c>
      <c r="D21" s="183">
        <f t="shared" si="5"/>
        <v>1.5884773662551441</v>
      </c>
      <c r="E21" s="80">
        <f>G20*'A &amp; B'!$I$8/12</f>
        <v>0.60082304526748975</v>
      </c>
      <c r="F21" s="80">
        <f>'A &amp; B'!$I$11</f>
        <v>0.98765432098765427</v>
      </c>
      <c r="G21" s="180">
        <f t="shared" si="1"/>
        <v>71.1111111111111</v>
      </c>
      <c r="I21" s="84" t="s">
        <v>66</v>
      </c>
      <c r="J21" s="184">
        <f>SUM(E13:E21)</f>
        <v>5.7037037037037042</v>
      </c>
      <c r="L21" s="184">
        <f>G21-G33</f>
        <v>11.851851851851848</v>
      </c>
    </row>
    <row r="22" spans="1:12" ht="14.45" customHeight="1" x14ac:dyDescent="0.25">
      <c r="A22" s="473">
        <v>2027</v>
      </c>
      <c r="B22" s="173">
        <f t="shared" si="2"/>
        <v>13</v>
      </c>
      <c r="C22" s="177">
        <v>46113</v>
      </c>
      <c r="D22" s="178">
        <f t="shared" si="5"/>
        <v>1.5802469135802468</v>
      </c>
      <c r="E22" s="78">
        <f>G21*'A &amp; B'!$I$8/12</f>
        <v>0.59259259259259256</v>
      </c>
      <c r="F22" s="78">
        <f>'A &amp; B'!$I$11</f>
        <v>0.98765432098765427</v>
      </c>
      <c r="G22" s="181">
        <f t="shared" si="1"/>
        <v>70.123456790123441</v>
      </c>
      <c r="L22" s="84" t="s">
        <v>66</v>
      </c>
    </row>
    <row r="23" spans="1:12" ht="15" customHeight="1" x14ac:dyDescent="0.25">
      <c r="A23" s="474"/>
      <c r="B23" s="172">
        <f t="shared" si="2"/>
        <v>14</v>
      </c>
      <c r="C23" s="175">
        <v>46143</v>
      </c>
      <c r="D23" s="176">
        <f t="shared" si="5"/>
        <v>1.5720164609053495</v>
      </c>
      <c r="E23" s="79">
        <f>G22*'A &amp; B'!$I$8/12</f>
        <v>0.58436213991769537</v>
      </c>
      <c r="F23" s="79">
        <f>'A &amp; B'!$I$11</f>
        <v>0.98765432098765427</v>
      </c>
      <c r="G23" s="179">
        <f t="shared" si="1"/>
        <v>69.135802469135797</v>
      </c>
      <c r="J23" s="70" t="s">
        <v>66</v>
      </c>
    </row>
    <row r="24" spans="1:12" ht="15" customHeight="1" x14ac:dyDescent="0.25">
      <c r="A24" s="474"/>
      <c r="B24" s="172">
        <f t="shared" si="2"/>
        <v>15</v>
      </c>
      <c r="C24" s="175">
        <v>46174</v>
      </c>
      <c r="D24" s="176">
        <f t="shared" si="5"/>
        <v>1.5637860082304527</v>
      </c>
      <c r="E24" s="79">
        <f>G23*'A &amp; B'!$I$8/12</f>
        <v>0.57613168724279828</v>
      </c>
      <c r="F24" s="79">
        <f>'A &amp; B'!$I$11</f>
        <v>0.98765432098765427</v>
      </c>
      <c r="G24" s="179">
        <f t="shared" si="1"/>
        <v>68.148148148148138</v>
      </c>
      <c r="J24" s="84" t="s">
        <v>66</v>
      </c>
      <c r="L24" s="84"/>
    </row>
    <row r="25" spans="1:12" ht="14.45" customHeight="1" x14ac:dyDescent="0.25">
      <c r="A25" s="474"/>
      <c r="B25" s="172">
        <f t="shared" si="2"/>
        <v>16</v>
      </c>
      <c r="C25" s="175">
        <v>46204</v>
      </c>
      <c r="D25" s="176">
        <f t="shared" si="5"/>
        <v>1.5555555555555554</v>
      </c>
      <c r="E25" s="79">
        <f>G24*'A &amp; B'!$I$8/12</f>
        <v>0.5679012345679012</v>
      </c>
      <c r="F25" s="79">
        <f>'A &amp; B'!$I$11</f>
        <v>0.98765432098765427</v>
      </c>
      <c r="G25" s="179">
        <f t="shared" si="1"/>
        <v>67.160493827160479</v>
      </c>
      <c r="J25" s="84" t="s">
        <v>66</v>
      </c>
    </row>
    <row r="26" spans="1:12" ht="14.45" customHeight="1" x14ac:dyDescent="0.25">
      <c r="A26" s="474"/>
      <c r="B26" s="172">
        <f t="shared" si="2"/>
        <v>17</v>
      </c>
      <c r="C26" s="175">
        <v>46235</v>
      </c>
      <c r="D26" s="176">
        <f t="shared" si="5"/>
        <v>1.5473251028806583</v>
      </c>
      <c r="E26" s="79">
        <f>G25*'A &amp; B'!$I$8/12</f>
        <v>0.55967078189300401</v>
      </c>
      <c r="F26" s="79">
        <f>'A &amp; B'!$I$11</f>
        <v>0.98765432098765427</v>
      </c>
      <c r="G26" s="179">
        <f t="shared" si="1"/>
        <v>66.172839506172821</v>
      </c>
    </row>
    <row r="27" spans="1:12" ht="14.45" customHeight="1" x14ac:dyDescent="0.25">
      <c r="A27" s="474"/>
      <c r="B27" s="172">
        <f t="shared" si="2"/>
        <v>18</v>
      </c>
      <c r="C27" s="175">
        <v>46266</v>
      </c>
      <c r="D27" s="176">
        <f t="shared" si="5"/>
        <v>1.5390946502057612</v>
      </c>
      <c r="E27" s="79">
        <f>G26*'A &amp; B'!$I$8/12</f>
        <v>0.55144032921810682</v>
      </c>
      <c r="F27" s="79">
        <f>'A &amp; B'!$I$11</f>
        <v>0.98765432098765427</v>
      </c>
      <c r="G27" s="179">
        <f t="shared" si="1"/>
        <v>65.185185185185176</v>
      </c>
    </row>
    <row r="28" spans="1:12" ht="14.45" customHeight="1" x14ac:dyDescent="0.25">
      <c r="A28" s="474"/>
      <c r="B28" s="172">
        <f t="shared" si="2"/>
        <v>19</v>
      </c>
      <c r="C28" s="175">
        <v>46296</v>
      </c>
      <c r="D28" s="176">
        <f t="shared" si="5"/>
        <v>1.5308641975308641</v>
      </c>
      <c r="E28" s="79">
        <f>G27*'A &amp; B'!$I$8/12</f>
        <v>0.54320987654320985</v>
      </c>
      <c r="F28" s="79">
        <f>'A &amp; B'!$I$11</f>
        <v>0.98765432098765427</v>
      </c>
      <c r="G28" s="179">
        <f t="shared" si="1"/>
        <v>64.197530864197532</v>
      </c>
      <c r="H28" s="84" t="s">
        <v>66</v>
      </c>
      <c r="I28" s="84"/>
      <c r="J28" s="84" t="s">
        <v>66</v>
      </c>
      <c r="K28" s="84"/>
    </row>
    <row r="29" spans="1:12" ht="14.45" customHeight="1" x14ac:dyDescent="0.25">
      <c r="A29" s="474"/>
      <c r="B29" s="172">
        <f t="shared" si="2"/>
        <v>20</v>
      </c>
      <c r="C29" s="175">
        <v>46327</v>
      </c>
      <c r="D29" s="176">
        <f t="shared" si="5"/>
        <v>1.522633744855967</v>
      </c>
      <c r="E29" s="79">
        <f>G28*'A &amp; B'!$I$8/12</f>
        <v>0.53497942386831276</v>
      </c>
      <c r="F29" s="79">
        <f>'A &amp; B'!$I$11</f>
        <v>0.98765432098765427</v>
      </c>
      <c r="G29" s="179">
        <f t="shared" si="1"/>
        <v>63.209876543209873</v>
      </c>
      <c r="H29" s="84"/>
      <c r="I29" s="84"/>
      <c r="J29" s="84"/>
      <c r="K29" s="84"/>
    </row>
    <row r="30" spans="1:12" ht="14.45" customHeight="1" x14ac:dyDescent="0.25">
      <c r="A30" s="474"/>
      <c r="B30" s="172">
        <f t="shared" si="2"/>
        <v>21</v>
      </c>
      <c r="C30" s="175">
        <v>46357</v>
      </c>
      <c r="D30" s="176">
        <f t="shared" si="5"/>
        <v>1.5144032921810697</v>
      </c>
      <c r="E30" s="79">
        <f>G29*'A &amp; B'!$I$8/12</f>
        <v>0.52674897119341557</v>
      </c>
      <c r="F30" s="79">
        <f>'A &amp; B'!$I$11</f>
        <v>0.98765432098765427</v>
      </c>
      <c r="G30" s="179">
        <f t="shared" si="1"/>
        <v>62.222222222222214</v>
      </c>
      <c r="H30" s="84"/>
      <c r="I30" s="84"/>
      <c r="J30" s="84"/>
      <c r="K30" s="84"/>
    </row>
    <row r="31" spans="1:12" ht="14.45" customHeight="1" x14ac:dyDescent="0.25">
      <c r="A31" s="474"/>
      <c r="B31" s="172">
        <f t="shared" si="2"/>
        <v>22</v>
      </c>
      <c r="C31" s="175">
        <v>46388</v>
      </c>
      <c r="D31" s="176">
        <f t="shared" si="5"/>
        <v>1.5061728395061729</v>
      </c>
      <c r="E31" s="79">
        <f>G30*'A &amp; B'!$I$8/12</f>
        <v>0.51851851851851849</v>
      </c>
      <c r="F31" s="79">
        <f>'A &amp; B'!$I$11</f>
        <v>0.98765432098765427</v>
      </c>
      <c r="G31" s="179">
        <f t="shared" si="1"/>
        <v>61.234567901234563</v>
      </c>
      <c r="H31" s="84"/>
      <c r="I31" s="84"/>
      <c r="J31" s="84"/>
      <c r="K31" s="84"/>
    </row>
    <row r="32" spans="1:12" ht="14.45" customHeight="1" x14ac:dyDescent="0.25">
      <c r="A32" s="474"/>
      <c r="B32" s="172">
        <f t="shared" si="2"/>
        <v>23</v>
      </c>
      <c r="C32" s="175">
        <v>46419</v>
      </c>
      <c r="D32" s="176">
        <f t="shared" si="5"/>
        <v>1.4979423868312756</v>
      </c>
      <c r="E32" s="79">
        <f>G31*'A &amp; B'!$I$8/12</f>
        <v>0.51028806584362141</v>
      </c>
      <c r="F32" s="79">
        <f>'A &amp; B'!$I$11</f>
        <v>0.98765432098765427</v>
      </c>
      <c r="G32" s="179">
        <f t="shared" si="1"/>
        <v>60.246913580246911</v>
      </c>
      <c r="H32" s="84" t="s">
        <v>66</v>
      </c>
      <c r="I32" s="84"/>
      <c r="J32" s="84"/>
      <c r="K32" s="84"/>
    </row>
    <row r="33" spans="1:16" ht="14.45" customHeight="1" thickBot="1" x14ac:dyDescent="0.3">
      <c r="A33" s="475"/>
      <c r="B33" s="174">
        <f t="shared" si="2"/>
        <v>24</v>
      </c>
      <c r="C33" s="182">
        <v>46447</v>
      </c>
      <c r="D33" s="183">
        <f t="shared" si="5"/>
        <v>1.4897119341563787</v>
      </c>
      <c r="E33" s="80">
        <f>G32*'A &amp; B'!$I$8/12</f>
        <v>0.50205761316872433</v>
      </c>
      <c r="F33" s="80">
        <f>'A &amp; B'!$I$11</f>
        <v>0.98765432098765427</v>
      </c>
      <c r="G33" s="180">
        <f t="shared" si="1"/>
        <v>59.259259259259252</v>
      </c>
      <c r="H33" s="84"/>
      <c r="I33" s="84" t="s">
        <v>66</v>
      </c>
      <c r="J33" s="184">
        <f>SUM(E22:E33)</f>
        <v>6.5679012345679011</v>
      </c>
      <c r="K33" s="84"/>
      <c r="L33" s="184">
        <f>G33-G45</f>
        <v>11.851851851851855</v>
      </c>
    </row>
    <row r="34" spans="1:16" ht="14.45" customHeight="1" x14ac:dyDescent="0.25">
      <c r="A34" s="473">
        <v>2028</v>
      </c>
      <c r="B34" s="173">
        <f t="shared" si="2"/>
        <v>25</v>
      </c>
      <c r="C34" s="177">
        <v>46478</v>
      </c>
      <c r="D34" s="178">
        <f t="shared" si="5"/>
        <v>1.4814814814814814</v>
      </c>
      <c r="E34" s="78">
        <f>G33*'A &amp; B'!$I$8/12</f>
        <v>0.49382716049382713</v>
      </c>
      <c r="F34" s="78">
        <f>'A &amp; B'!$I$11</f>
        <v>0.98765432098765427</v>
      </c>
      <c r="G34" s="181">
        <f t="shared" si="1"/>
        <v>58.271604938271601</v>
      </c>
      <c r="H34" s="84"/>
      <c r="I34" s="84"/>
      <c r="J34" s="84" t="s">
        <v>66</v>
      </c>
      <c r="K34" s="84"/>
      <c r="L34" s="84" t="s">
        <v>66</v>
      </c>
    </row>
    <row r="35" spans="1:16" ht="15" customHeight="1" x14ac:dyDescent="0.25">
      <c r="A35" s="474"/>
      <c r="B35" s="172">
        <f t="shared" si="2"/>
        <v>26</v>
      </c>
      <c r="C35" s="175">
        <v>46508</v>
      </c>
      <c r="D35" s="176">
        <f t="shared" si="5"/>
        <v>1.4732510288065843</v>
      </c>
      <c r="E35" s="79">
        <f>G34*'A &amp; B'!$I$8/12</f>
        <v>0.48559670781893005</v>
      </c>
      <c r="F35" s="79">
        <f>'A &amp; B'!$I$11</f>
        <v>0.98765432098765427</v>
      </c>
      <c r="G35" s="179">
        <f t="shared" si="1"/>
        <v>57.283950617283942</v>
      </c>
      <c r="H35" s="84"/>
      <c r="I35" s="84"/>
      <c r="K35" s="84"/>
      <c r="P35" s="84"/>
    </row>
    <row r="36" spans="1:16" ht="15" customHeight="1" x14ac:dyDescent="0.25">
      <c r="A36" s="474"/>
      <c r="B36" s="172">
        <f t="shared" si="2"/>
        <v>27</v>
      </c>
      <c r="C36" s="175">
        <v>46539</v>
      </c>
      <c r="D36" s="176">
        <f t="shared" si="5"/>
        <v>1.4650205761316872</v>
      </c>
      <c r="E36" s="79">
        <f>G35*'A &amp; B'!$I$8/12</f>
        <v>0.47736625514403291</v>
      </c>
      <c r="F36" s="79">
        <f>'A &amp; B'!$I$11</f>
        <v>0.98765432098765427</v>
      </c>
      <c r="G36" s="179">
        <f t="shared" si="1"/>
        <v>56.296296296296291</v>
      </c>
      <c r="H36" s="84"/>
      <c r="I36" s="84"/>
      <c r="J36" s="84"/>
      <c r="K36" s="84"/>
      <c r="L36" s="84"/>
    </row>
    <row r="37" spans="1:16" ht="14.45" customHeight="1" x14ac:dyDescent="0.25">
      <c r="A37" s="474"/>
      <c r="B37" s="172">
        <f t="shared" si="2"/>
        <v>28</v>
      </c>
      <c r="C37" s="175">
        <v>46569</v>
      </c>
      <c r="D37" s="176">
        <f t="shared" si="5"/>
        <v>1.4567901234567902</v>
      </c>
      <c r="E37" s="79">
        <f>G36*'A &amp; B'!$I$8/12</f>
        <v>0.46913580246913583</v>
      </c>
      <c r="F37" s="79">
        <f>'A &amp; B'!$I$11</f>
        <v>0.98765432098765427</v>
      </c>
      <c r="G37" s="179">
        <f t="shared" si="1"/>
        <v>55.308641975308632</v>
      </c>
      <c r="H37" s="84"/>
      <c r="I37" s="84"/>
      <c r="J37" s="84"/>
      <c r="K37" s="84"/>
    </row>
    <row r="38" spans="1:16" ht="14.45" customHeight="1" x14ac:dyDescent="0.25">
      <c r="A38" s="474"/>
      <c r="B38" s="172">
        <f t="shared" si="2"/>
        <v>29</v>
      </c>
      <c r="C38" s="175">
        <v>46600</v>
      </c>
      <c r="D38" s="176">
        <f t="shared" si="5"/>
        <v>1.4485596707818928</v>
      </c>
      <c r="E38" s="79">
        <f>G37*'A &amp; B'!$I$8/12</f>
        <v>0.46090534979423864</v>
      </c>
      <c r="F38" s="79">
        <f>'A &amp; B'!$I$11</f>
        <v>0.98765432098765427</v>
      </c>
      <c r="G38" s="179">
        <f t="shared" si="1"/>
        <v>54.32098765432098</v>
      </c>
      <c r="H38" s="84"/>
      <c r="I38" s="84"/>
      <c r="J38" s="84"/>
      <c r="K38" s="84"/>
    </row>
    <row r="39" spans="1:16" ht="14.45" customHeight="1" x14ac:dyDescent="0.25">
      <c r="A39" s="474"/>
      <c r="B39" s="172">
        <f t="shared" si="2"/>
        <v>30</v>
      </c>
      <c r="C39" s="175">
        <v>46631</v>
      </c>
      <c r="D39" s="176">
        <f t="shared" si="5"/>
        <v>1.4403292181069958</v>
      </c>
      <c r="E39" s="79">
        <f>G38*'A &amp; B'!$I$8/12</f>
        <v>0.4526748971193415</v>
      </c>
      <c r="F39" s="79">
        <f>'A &amp; B'!$I$11</f>
        <v>0.98765432098765427</v>
      </c>
      <c r="G39" s="179">
        <f t="shared" si="1"/>
        <v>53.333333333333329</v>
      </c>
      <c r="H39" s="84"/>
      <c r="I39" s="84"/>
      <c r="J39" s="84"/>
      <c r="K39" s="84"/>
    </row>
    <row r="40" spans="1:16" ht="14.45" customHeight="1" x14ac:dyDescent="0.25">
      <c r="A40" s="474"/>
      <c r="B40" s="172">
        <f t="shared" si="2"/>
        <v>31</v>
      </c>
      <c r="C40" s="175">
        <v>46661</v>
      </c>
      <c r="D40" s="176">
        <f t="shared" si="5"/>
        <v>1.4320987654320987</v>
      </c>
      <c r="E40" s="79">
        <f>G39*'A &amp; B'!$I$8/12</f>
        <v>0.44444444444444442</v>
      </c>
      <c r="F40" s="79">
        <f>'A &amp; B'!$I$11</f>
        <v>0.98765432098765427</v>
      </c>
      <c r="G40" s="179">
        <f t="shared" si="1"/>
        <v>52.34567901234567</v>
      </c>
      <c r="H40" s="84"/>
      <c r="I40" s="84"/>
      <c r="J40" s="84"/>
      <c r="K40" s="84"/>
    </row>
    <row r="41" spans="1:16" ht="14.45" customHeight="1" x14ac:dyDescent="0.25">
      <c r="A41" s="474"/>
      <c r="B41" s="172">
        <f t="shared" si="2"/>
        <v>32</v>
      </c>
      <c r="C41" s="175">
        <v>46692</v>
      </c>
      <c r="D41" s="176">
        <f t="shared" si="5"/>
        <v>1.4238683127572016</v>
      </c>
      <c r="E41" s="79">
        <f>G40*'A &amp; B'!$I$8/12</f>
        <v>0.43621399176954728</v>
      </c>
      <c r="F41" s="79">
        <f>'A &amp; B'!$I$11</f>
        <v>0.98765432098765427</v>
      </c>
      <c r="G41" s="179">
        <f t="shared" si="1"/>
        <v>51.358024691358018</v>
      </c>
      <c r="H41" s="84"/>
      <c r="I41" s="84"/>
      <c r="J41" s="84"/>
      <c r="K41" s="84"/>
    </row>
    <row r="42" spans="1:16" ht="14.45" customHeight="1" x14ac:dyDescent="0.25">
      <c r="A42" s="474"/>
      <c r="B42" s="172">
        <f t="shared" si="2"/>
        <v>33</v>
      </c>
      <c r="C42" s="175">
        <v>46722</v>
      </c>
      <c r="D42" s="176">
        <f t="shared" si="5"/>
        <v>1.4156378600823045</v>
      </c>
      <c r="E42" s="79">
        <f>G41*'A &amp; B'!$I$8/12</f>
        <v>0.4279835390946502</v>
      </c>
      <c r="F42" s="79">
        <f>'A &amp; B'!$I$11</f>
        <v>0.98765432098765427</v>
      </c>
      <c r="G42" s="179">
        <f t="shared" si="1"/>
        <v>50.37037037037036</v>
      </c>
      <c r="H42" s="84"/>
      <c r="I42" s="84"/>
      <c r="J42" s="84"/>
      <c r="K42" s="84"/>
    </row>
    <row r="43" spans="1:16" ht="14.45" customHeight="1" x14ac:dyDescent="0.25">
      <c r="A43" s="474"/>
      <c r="B43" s="172">
        <f t="shared" si="2"/>
        <v>34</v>
      </c>
      <c r="C43" s="175">
        <v>46753</v>
      </c>
      <c r="D43" s="176">
        <f t="shared" si="5"/>
        <v>1.4074074074074072</v>
      </c>
      <c r="E43" s="79">
        <f>G42*'A &amp; B'!$I$8/12</f>
        <v>0.41975308641975301</v>
      </c>
      <c r="F43" s="79">
        <f>'A &amp; B'!$I$11</f>
        <v>0.98765432098765427</v>
      </c>
      <c r="G43" s="179">
        <f t="shared" si="1"/>
        <v>49.382716049382708</v>
      </c>
      <c r="H43" s="84"/>
      <c r="I43" s="84"/>
      <c r="J43" s="84"/>
      <c r="K43" s="84"/>
    </row>
    <row r="44" spans="1:16" ht="14.45" customHeight="1" x14ac:dyDescent="0.25">
      <c r="A44" s="474"/>
      <c r="B44" s="172">
        <f t="shared" si="2"/>
        <v>35</v>
      </c>
      <c r="C44" s="175">
        <v>46784</v>
      </c>
      <c r="D44" s="176">
        <f t="shared" si="5"/>
        <v>1.3991769547325101</v>
      </c>
      <c r="E44" s="79">
        <f>G43*'A &amp; B'!$I$8/12</f>
        <v>0.41152263374485593</v>
      </c>
      <c r="F44" s="79">
        <f>'A &amp; B'!$I$11</f>
        <v>0.98765432098765427</v>
      </c>
      <c r="G44" s="179">
        <f t="shared" si="1"/>
        <v>48.395061728395056</v>
      </c>
      <c r="H44" s="84"/>
      <c r="I44" s="84"/>
      <c r="J44" s="84"/>
      <c r="K44" s="84"/>
    </row>
    <row r="45" spans="1:16" ht="14.45" customHeight="1" thickBot="1" x14ac:dyDescent="0.3">
      <c r="A45" s="475"/>
      <c r="B45" s="174">
        <f t="shared" si="2"/>
        <v>36</v>
      </c>
      <c r="C45" s="182">
        <v>46813</v>
      </c>
      <c r="D45" s="183">
        <f t="shared" si="5"/>
        <v>1.3909465020576131</v>
      </c>
      <c r="E45" s="80">
        <f>G44*'A &amp; B'!$I$8/12</f>
        <v>0.40329218106995884</v>
      </c>
      <c r="F45" s="80">
        <f>'A &amp; B'!$I$11</f>
        <v>0.98765432098765427</v>
      </c>
      <c r="G45" s="180">
        <f t="shared" si="1"/>
        <v>47.407407407407398</v>
      </c>
      <c r="H45" s="84"/>
      <c r="I45" s="84"/>
      <c r="J45" s="184">
        <f>SUM(E34:E45)</f>
        <v>5.3827160493827169</v>
      </c>
      <c r="K45" s="84"/>
      <c r="L45" s="184">
        <f>G45-G57</f>
        <v>11.851851851851848</v>
      </c>
    </row>
    <row r="46" spans="1:16" ht="14.45" customHeight="1" x14ac:dyDescent="0.25">
      <c r="A46" s="473">
        <v>2029</v>
      </c>
      <c r="B46" s="173">
        <f t="shared" si="2"/>
        <v>37</v>
      </c>
      <c r="C46" s="177">
        <v>46844</v>
      </c>
      <c r="D46" s="178">
        <f t="shared" si="5"/>
        <v>1.382716049382716</v>
      </c>
      <c r="E46" s="78">
        <f>G45*'A &amp; B'!$I$8/12</f>
        <v>0.39506172839506165</v>
      </c>
      <c r="F46" s="78">
        <f>'A &amp; B'!$I$11</f>
        <v>0.98765432098765427</v>
      </c>
      <c r="G46" s="181">
        <f t="shared" si="1"/>
        <v>46.419753086419746</v>
      </c>
      <c r="H46" s="84"/>
      <c r="I46" s="84"/>
      <c r="J46" s="84" t="s">
        <v>66</v>
      </c>
      <c r="K46" s="84"/>
      <c r="L46" s="84" t="s">
        <v>66</v>
      </c>
    </row>
    <row r="47" spans="1:16" ht="15" customHeight="1" x14ac:dyDescent="0.25">
      <c r="A47" s="474"/>
      <c r="B47" s="172">
        <f t="shared" si="2"/>
        <v>38</v>
      </c>
      <c r="C47" s="175">
        <v>46874</v>
      </c>
      <c r="D47" s="176">
        <f t="shared" si="5"/>
        <v>1.3744855967078189</v>
      </c>
      <c r="E47" s="79">
        <f>G46*'A &amp; B'!$I$8/12</f>
        <v>0.38683127572016457</v>
      </c>
      <c r="F47" s="79">
        <f>'A &amp; B'!$I$11</f>
        <v>0.98765432098765427</v>
      </c>
      <c r="G47" s="179">
        <f t="shared" si="1"/>
        <v>45.432098765432087</v>
      </c>
      <c r="H47" s="84"/>
      <c r="I47" s="84"/>
      <c r="J47" s="185" t="s">
        <v>66</v>
      </c>
      <c r="K47" s="84"/>
      <c r="L47" s="84" t="s">
        <v>66</v>
      </c>
      <c r="P47" s="84"/>
    </row>
    <row r="48" spans="1:16" ht="14.45" customHeight="1" x14ac:dyDescent="0.25">
      <c r="A48" s="474"/>
      <c r="B48" s="172">
        <f t="shared" si="2"/>
        <v>39</v>
      </c>
      <c r="C48" s="175">
        <v>46905</v>
      </c>
      <c r="D48" s="176">
        <f t="shared" si="5"/>
        <v>1.3662551440329216</v>
      </c>
      <c r="E48" s="79">
        <f>G47*'A &amp; B'!$I$8/12</f>
        <v>0.37860082304526738</v>
      </c>
      <c r="F48" s="79">
        <f>'A &amp; B'!$I$11</f>
        <v>0.98765432098765427</v>
      </c>
      <c r="G48" s="179">
        <f t="shared" si="1"/>
        <v>44.444444444444436</v>
      </c>
      <c r="H48" s="84"/>
      <c r="I48" s="84"/>
      <c r="J48" s="84"/>
      <c r="K48" s="84"/>
      <c r="L48" s="84"/>
    </row>
    <row r="49" spans="1:16" ht="14.45" customHeight="1" x14ac:dyDescent="0.25">
      <c r="A49" s="474"/>
      <c r="B49" s="172">
        <f t="shared" si="2"/>
        <v>40</v>
      </c>
      <c r="C49" s="175">
        <v>46935</v>
      </c>
      <c r="D49" s="176">
        <f t="shared" si="5"/>
        <v>1.3580246913580245</v>
      </c>
      <c r="E49" s="79">
        <f>G48*'A &amp; B'!$I$8/12</f>
        <v>0.37037037037037029</v>
      </c>
      <c r="F49" s="79">
        <f>'A &amp; B'!$I$11</f>
        <v>0.98765432098765427</v>
      </c>
      <c r="G49" s="179">
        <f t="shared" si="1"/>
        <v>43.456790123456784</v>
      </c>
      <c r="H49" s="84"/>
      <c r="I49" s="84"/>
      <c r="J49" s="84"/>
      <c r="K49" s="84"/>
      <c r="L49" s="84"/>
    </row>
    <row r="50" spans="1:16" ht="14.45" customHeight="1" x14ac:dyDescent="0.25">
      <c r="A50" s="474"/>
      <c r="B50" s="172">
        <f t="shared" si="2"/>
        <v>41</v>
      </c>
      <c r="C50" s="175">
        <v>46966</v>
      </c>
      <c r="D50" s="176">
        <f t="shared" si="5"/>
        <v>1.3497942386831274</v>
      </c>
      <c r="E50" s="79">
        <f>G49*'A &amp; B'!$I$8/12</f>
        <v>0.36213991769547321</v>
      </c>
      <c r="F50" s="79">
        <f>'A &amp; B'!$I$11</f>
        <v>0.98765432098765427</v>
      </c>
      <c r="G50" s="179">
        <f t="shared" si="1"/>
        <v>42.469135802469133</v>
      </c>
      <c r="H50" s="84"/>
      <c r="I50" s="84"/>
      <c r="J50" s="84"/>
      <c r="K50" s="84"/>
      <c r="L50" s="84"/>
    </row>
    <row r="51" spans="1:16" ht="14.45" customHeight="1" x14ac:dyDescent="0.25">
      <c r="A51" s="474"/>
      <c r="B51" s="172">
        <f t="shared" si="2"/>
        <v>42</v>
      </c>
      <c r="C51" s="175">
        <v>46997</v>
      </c>
      <c r="D51" s="176">
        <f t="shared" si="5"/>
        <v>1.3415637860082303</v>
      </c>
      <c r="E51" s="79">
        <f>G50*'A &amp; B'!$I$8/12</f>
        <v>0.35390946502057613</v>
      </c>
      <c r="F51" s="79">
        <f>'A &amp; B'!$I$11</f>
        <v>0.98765432098765427</v>
      </c>
      <c r="G51" s="179">
        <f t="shared" si="1"/>
        <v>41.481481481481481</v>
      </c>
      <c r="H51" s="84"/>
      <c r="I51" s="84"/>
      <c r="J51" s="84"/>
      <c r="K51" s="84"/>
      <c r="L51" s="84"/>
    </row>
    <row r="52" spans="1:16" ht="14.45" customHeight="1" x14ac:dyDescent="0.25">
      <c r="A52" s="474"/>
      <c r="B52" s="172">
        <f t="shared" si="2"/>
        <v>43</v>
      </c>
      <c r="C52" s="175">
        <v>47027</v>
      </c>
      <c r="D52" s="176">
        <f t="shared" si="5"/>
        <v>1.3333333333333333</v>
      </c>
      <c r="E52" s="79">
        <f>G51*'A &amp; B'!$I$8/12</f>
        <v>0.34567901234567899</v>
      </c>
      <c r="F52" s="79">
        <f>'A &amp; B'!$I$11</f>
        <v>0.98765432098765427</v>
      </c>
      <c r="G52" s="179">
        <f t="shared" si="1"/>
        <v>40.493827160493822</v>
      </c>
      <c r="H52" s="84"/>
      <c r="I52" s="84"/>
      <c r="J52" s="84"/>
      <c r="K52" s="84"/>
      <c r="L52" s="84"/>
    </row>
    <row r="53" spans="1:16" ht="14.45" customHeight="1" x14ac:dyDescent="0.25">
      <c r="A53" s="474"/>
      <c r="B53" s="172">
        <f t="shared" si="2"/>
        <v>44</v>
      </c>
      <c r="C53" s="175">
        <v>47058</v>
      </c>
      <c r="D53" s="176">
        <f t="shared" si="5"/>
        <v>1.3251028806584362</v>
      </c>
      <c r="E53" s="79">
        <f>G52*'A &amp; B'!$I$8/12</f>
        <v>0.33744855967078186</v>
      </c>
      <c r="F53" s="79">
        <f>'A &amp; B'!$I$11</f>
        <v>0.98765432098765427</v>
      </c>
      <c r="G53" s="179">
        <f t="shared" si="1"/>
        <v>39.506172839506171</v>
      </c>
      <c r="H53" s="84"/>
      <c r="I53" s="84"/>
      <c r="J53" s="84"/>
      <c r="K53" s="84"/>
      <c r="L53" s="84"/>
    </row>
    <row r="54" spans="1:16" ht="14.45" customHeight="1" x14ac:dyDescent="0.25">
      <c r="A54" s="474"/>
      <c r="B54" s="172">
        <f t="shared" si="2"/>
        <v>45</v>
      </c>
      <c r="C54" s="175">
        <v>47088</v>
      </c>
      <c r="D54" s="176">
        <f t="shared" si="5"/>
        <v>1.3168724279835391</v>
      </c>
      <c r="E54" s="79">
        <f>G53*'A &amp; B'!$I$8/12</f>
        <v>0.32921810699588477</v>
      </c>
      <c r="F54" s="79">
        <f>'A &amp; B'!$I$11</f>
        <v>0.98765432098765427</v>
      </c>
      <c r="G54" s="179">
        <f t="shared" si="1"/>
        <v>38.518518518518512</v>
      </c>
      <c r="H54" s="84"/>
      <c r="I54" s="84"/>
      <c r="J54" s="84"/>
      <c r="K54" s="84"/>
      <c r="L54" s="84"/>
    </row>
    <row r="55" spans="1:16" ht="14.45" customHeight="1" x14ac:dyDescent="0.25">
      <c r="A55" s="474"/>
      <c r="B55" s="172">
        <f t="shared" si="2"/>
        <v>46</v>
      </c>
      <c r="C55" s="175">
        <v>47119</v>
      </c>
      <c r="D55" s="176">
        <f t="shared" si="5"/>
        <v>1.3086419753086418</v>
      </c>
      <c r="E55" s="79">
        <f>G54*'A &amp; B'!$I$8/12</f>
        <v>0.32098765432098758</v>
      </c>
      <c r="F55" s="79">
        <f>'A &amp; B'!$I$11</f>
        <v>0.98765432098765427</v>
      </c>
      <c r="G55" s="179">
        <f t="shared" si="1"/>
        <v>37.53086419753086</v>
      </c>
      <c r="H55" s="84"/>
      <c r="I55" s="84"/>
      <c r="J55" s="84"/>
      <c r="K55" s="84"/>
      <c r="L55" s="84"/>
    </row>
    <row r="56" spans="1:16" ht="14.45" customHeight="1" x14ac:dyDescent="0.25">
      <c r="A56" s="474"/>
      <c r="B56" s="172">
        <f t="shared" si="2"/>
        <v>47</v>
      </c>
      <c r="C56" s="175">
        <v>47150</v>
      </c>
      <c r="D56" s="176">
        <f t="shared" si="5"/>
        <v>1.3004115226337447</v>
      </c>
      <c r="E56" s="79">
        <f>G55*'A &amp; B'!$I$8/12</f>
        <v>0.3127572016460905</v>
      </c>
      <c r="F56" s="79">
        <f>'A &amp; B'!$I$11</f>
        <v>0.98765432098765427</v>
      </c>
      <c r="G56" s="179">
        <f t="shared" si="1"/>
        <v>36.543209876543209</v>
      </c>
      <c r="H56" s="84"/>
      <c r="I56" s="84"/>
      <c r="J56" s="84"/>
      <c r="K56" s="84"/>
      <c r="L56" s="84"/>
    </row>
    <row r="57" spans="1:16" ht="14.45" customHeight="1" thickBot="1" x14ac:dyDescent="0.3">
      <c r="A57" s="475"/>
      <c r="B57" s="174">
        <f t="shared" si="2"/>
        <v>48</v>
      </c>
      <c r="C57" s="182">
        <v>47178</v>
      </c>
      <c r="D57" s="183">
        <f t="shared" si="5"/>
        <v>1.2921810699588476</v>
      </c>
      <c r="E57" s="80">
        <f>G56*'A &amp; B'!$I$8/12</f>
        <v>0.30452674897119342</v>
      </c>
      <c r="F57" s="80">
        <f>'A &amp; B'!$I$11</f>
        <v>0.98765432098765427</v>
      </c>
      <c r="G57" s="180">
        <f t="shared" si="1"/>
        <v>35.55555555555555</v>
      </c>
      <c r="H57" s="84"/>
      <c r="I57" s="84"/>
      <c r="J57" s="184">
        <f>SUM(E46:E57)</f>
        <v>4.1975308641975309</v>
      </c>
      <c r="K57" s="84"/>
      <c r="L57" s="184">
        <f>G57-G69</f>
        <v>11.851851851851844</v>
      </c>
    </row>
    <row r="58" spans="1:16" ht="14.45" customHeight="1" x14ac:dyDescent="0.25">
      <c r="A58" s="473">
        <v>2030</v>
      </c>
      <c r="B58" s="173">
        <f t="shared" si="2"/>
        <v>49</v>
      </c>
      <c r="C58" s="177">
        <v>47209</v>
      </c>
      <c r="D58" s="178">
        <f t="shared" si="5"/>
        <v>1.2839506172839505</v>
      </c>
      <c r="E58" s="78">
        <f>G57*'A &amp; B'!$I$8/12</f>
        <v>0.29629629629629628</v>
      </c>
      <c r="F58" s="78">
        <f>'A &amp; B'!$I$11</f>
        <v>0.98765432098765427</v>
      </c>
      <c r="G58" s="181">
        <f t="shared" si="1"/>
        <v>34.567901234567898</v>
      </c>
      <c r="H58" s="84"/>
      <c r="I58" s="84"/>
      <c r="J58" s="84" t="s">
        <v>66</v>
      </c>
      <c r="K58" s="84"/>
      <c r="L58" s="84" t="s">
        <v>66</v>
      </c>
    </row>
    <row r="59" spans="1:16" ht="15" customHeight="1" x14ac:dyDescent="0.25">
      <c r="A59" s="474"/>
      <c r="B59" s="172">
        <f t="shared" si="2"/>
        <v>50</v>
      </c>
      <c r="C59" s="175">
        <v>47239</v>
      </c>
      <c r="D59" s="176">
        <f t="shared" si="5"/>
        <v>1.2757201646090535</v>
      </c>
      <c r="E59" s="79">
        <f>G58*'A &amp; B'!$I$8/12</f>
        <v>0.28806584362139914</v>
      </c>
      <c r="F59" s="79">
        <f>'A &amp; B'!$I$11</f>
        <v>0.98765432098765427</v>
      </c>
      <c r="G59" s="179">
        <f t="shared" si="1"/>
        <v>33.58024691358024</v>
      </c>
      <c r="H59" s="84"/>
      <c r="I59" s="84"/>
      <c r="J59" s="185"/>
      <c r="K59" s="84"/>
      <c r="L59" s="84"/>
      <c r="P59" s="84"/>
    </row>
    <row r="60" spans="1:16" ht="14.45" customHeight="1" x14ac:dyDescent="0.25">
      <c r="A60" s="474"/>
      <c r="B60" s="172">
        <f t="shared" si="2"/>
        <v>51</v>
      </c>
      <c r="C60" s="175">
        <v>47270</v>
      </c>
      <c r="D60" s="176">
        <f t="shared" si="5"/>
        <v>1.2674897119341564</v>
      </c>
      <c r="E60" s="79">
        <f>G59*'A &amp; B'!$I$8/12</f>
        <v>0.27983539094650201</v>
      </c>
      <c r="F60" s="79">
        <f>'A &amp; B'!$I$11</f>
        <v>0.98765432098765427</v>
      </c>
      <c r="G60" s="179">
        <f t="shared" si="1"/>
        <v>32.592592592592588</v>
      </c>
      <c r="H60" s="84"/>
      <c r="I60" s="84"/>
      <c r="J60" s="84"/>
      <c r="K60" s="84"/>
      <c r="L60" s="84"/>
    </row>
    <row r="61" spans="1:16" ht="14.45" customHeight="1" x14ac:dyDescent="0.25">
      <c r="A61" s="474"/>
      <c r="B61" s="172">
        <f t="shared" si="2"/>
        <v>52</v>
      </c>
      <c r="C61" s="175">
        <v>47300</v>
      </c>
      <c r="D61" s="176">
        <f t="shared" si="5"/>
        <v>1.2592592592592591</v>
      </c>
      <c r="E61" s="79">
        <f>G60*'A &amp; B'!$I$8/12</f>
        <v>0.27160493827160492</v>
      </c>
      <c r="F61" s="79">
        <f>'A &amp; B'!$I$11</f>
        <v>0.98765432098765427</v>
      </c>
      <c r="G61" s="179">
        <f t="shared" si="1"/>
        <v>31.604938271604937</v>
      </c>
      <c r="H61" s="84"/>
      <c r="I61" s="84"/>
      <c r="J61" s="84"/>
      <c r="K61" s="84"/>
      <c r="L61" s="84"/>
    </row>
    <row r="62" spans="1:16" ht="14.45" customHeight="1" x14ac:dyDescent="0.25">
      <c r="A62" s="474"/>
      <c r="B62" s="172">
        <f t="shared" si="2"/>
        <v>53</v>
      </c>
      <c r="C62" s="175">
        <v>47331</v>
      </c>
      <c r="D62" s="176">
        <f t="shared" si="5"/>
        <v>1.251028806584362</v>
      </c>
      <c r="E62" s="79">
        <f>G61*'A &amp; B'!$I$8/12</f>
        <v>0.26337448559670779</v>
      </c>
      <c r="F62" s="79">
        <f>'A &amp; B'!$I$11</f>
        <v>0.98765432098765427</v>
      </c>
      <c r="G62" s="179">
        <f t="shared" si="1"/>
        <v>30.617283950617281</v>
      </c>
      <c r="H62" s="84"/>
      <c r="I62" s="84"/>
      <c r="J62" s="84"/>
      <c r="K62" s="84"/>
      <c r="L62" s="84"/>
    </row>
    <row r="63" spans="1:16" ht="14.45" customHeight="1" x14ac:dyDescent="0.25">
      <c r="A63" s="474"/>
      <c r="B63" s="172">
        <f t="shared" si="2"/>
        <v>54</v>
      </c>
      <c r="C63" s="175">
        <v>47362</v>
      </c>
      <c r="D63" s="176">
        <f t="shared" si="5"/>
        <v>1.2427983539094649</v>
      </c>
      <c r="E63" s="79">
        <f>G62*'A &amp; B'!$I$8/12</f>
        <v>0.2551440329218107</v>
      </c>
      <c r="F63" s="79">
        <f>'A &amp; B'!$I$11</f>
        <v>0.98765432098765427</v>
      </c>
      <c r="G63" s="179">
        <f t="shared" si="1"/>
        <v>29.62962962962963</v>
      </c>
      <c r="H63" s="84"/>
      <c r="I63" s="84"/>
      <c r="J63" s="84"/>
      <c r="K63" s="84"/>
      <c r="L63" s="84"/>
    </row>
    <row r="64" spans="1:16" ht="14.45" customHeight="1" x14ac:dyDescent="0.25">
      <c r="A64" s="474"/>
      <c r="B64" s="172">
        <f t="shared" si="2"/>
        <v>55</v>
      </c>
      <c r="C64" s="175">
        <v>47392</v>
      </c>
      <c r="D64" s="176">
        <f t="shared" si="5"/>
        <v>1.2345679012345678</v>
      </c>
      <c r="E64" s="79">
        <f>G63*'A &amp; B'!$I$8/12</f>
        <v>0.24691358024691359</v>
      </c>
      <c r="F64" s="79">
        <f>'A &amp; B'!$I$11</f>
        <v>0.98765432098765427</v>
      </c>
      <c r="G64" s="179">
        <f t="shared" si="1"/>
        <v>28.641975308641978</v>
      </c>
      <c r="H64" s="84"/>
      <c r="I64" s="84"/>
      <c r="J64" s="84"/>
      <c r="K64" s="84"/>
      <c r="L64" s="84"/>
    </row>
    <row r="65" spans="1:16" ht="14.45" customHeight="1" x14ac:dyDescent="0.25">
      <c r="A65" s="474"/>
      <c r="B65" s="172">
        <f t="shared" si="2"/>
        <v>56</v>
      </c>
      <c r="C65" s="175">
        <v>47423</v>
      </c>
      <c r="D65" s="176">
        <f t="shared" si="5"/>
        <v>1.2263374485596708</v>
      </c>
      <c r="E65" s="79">
        <f>G64*'A &amp; B'!$I$8/12</f>
        <v>0.23868312757201648</v>
      </c>
      <c r="F65" s="79">
        <f>'A &amp; B'!$I$11</f>
        <v>0.98765432098765427</v>
      </c>
      <c r="G65" s="179">
        <f t="shared" si="1"/>
        <v>27.654320987654323</v>
      </c>
      <c r="H65" s="84"/>
      <c r="I65" s="84"/>
      <c r="J65" s="84"/>
      <c r="K65" s="84"/>
      <c r="L65" s="84"/>
    </row>
    <row r="66" spans="1:16" ht="14.45" customHeight="1" x14ac:dyDescent="0.25">
      <c r="A66" s="474"/>
      <c r="B66" s="172">
        <f t="shared" si="2"/>
        <v>57</v>
      </c>
      <c r="C66" s="175">
        <v>47453</v>
      </c>
      <c r="D66" s="176">
        <f t="shared" si="5"/>
        <v>1.2181069958847737</v>
      </c>
      <c r="E66" s="79">
        <f>G65*'A &amp; B'!$I$8/12</f>
        <v>0.23045267489711938</v>
      </c>
      <c r="F66" s="79">
        <f>'A &amp; B'!$I$11</f>
        <v>0.98765432098765427</v>
      </c>
      <c r="G66" s="179">
        <f t="shared" si="1"/>
        <v>26.666666666666668</v>
      </c>
      <c r="H66" s="84"/>
      <c r="I66" s="84"/>
      <c r="J66" s="84"/>
      <c r="K66" s="84"/>
      <c r="L66" s="84"/>
    </row>
    <row r="67" spans="1:16" ht="14.45" customHeight="1" x14ac:dyDescent="0.25">
      <c r="A67" s="474"/>
      <c r="B67" s="172">
        <f t="shared" si="2"/>
        <v>58</v>
      </c>
      <c r="C67" s="175">
        <v>47484</v>
      </c>
      <c r="D67" s="176">
        <f t="shared" si="5"/>
        <v>1.2098765432098766</v>
      </c>
      <c r="E67" s="79">
        <f>G66*'A &amp; B'!$I$8/12</f>
        <v>0.22222222222222224</v>
      </c>
      <c r="F67" s="79">
        <f>'A &amp; B'!$I$11</f>
        <v>0.98765432098765427</v>
      </c>
      <c r="G67" s="179">
        <f t="shared" si="1"/>
        <v>25.679012345679013</v>
      </c>
      <c r="H67" s="84" t="s">
        <v>66</v>
      </c>
      <c r="I67" s="84"/>
      <c r="J67" s="84"/>
      <c r="K67" s="84"/>
      <c r="L67" s="84"/>
    </row>
    <row r="68" spans="1:16" ht="14.45" customHeight="1" x14ac:dyDescent="0.25">
      <c r="A68" s="474"/>
      <c r="B68" s="172">
        <f t="shared" si="2"/>
        <v>59</v>
      </c>
      <c r="C68" s="175">
        <v>47515</v>
      </c>
      <c r="D68" s="176">
        <f t="shared" si="5"/>
        <v>1.2016460905349793</v>
      </c>
      <c r="E68" s="79">
        <f>G67*'A &amp; B'!$I$8/12</f>
        <v>0.21399176954732513</v>
      </c>
      <c r="F68" s="79">
        <f>'A &amp; B'!$I$11</f>
        <v>0.98765432098765427</v>
      </c>
      <c r="G68" s="179">
        <f t="shared" si="1"/>
        <v>24.691358024691358</v>
      </c>
      <c r="H68" s="84"/>
      <c r="I68" s="84"/>
      <c r="J68" s="84"/>
      <c r="K68" s="84"/>
      <c r="L68" s="84"/>
    </row>
    <row r="69" spans="1:16" ht="14.45" customHeight="1" thickBot="1" x14ac:dyDescent="0.3">
      <c r="A69" s="475"/>
      <c r="B69" s="174">
        <f t="shared" si="2"/>
        <v>60</v>
      </c>
      <c r="C69" s="182">
        <v>47543</v>
      </c>
      <c r="D69" s="183">
        <f t="shared" si="5"/>
        <v>1.1934156378600822</v>
      </c>
      <c r="E69" s="80">
        <f>G68*'A &amp; B'!$I$8/12</f>
        <v>0.20576131687242802</v>
      </c>
      <c r="F69" s="80">
        <f>'A &amp; B'!$I$11</f>
        <v>0.98765432098765427</v>
      </c>
      <c r="G69" s="180">
        <f t="shared" si="1"/>
        <v>23.703703703703706</v>
      </c>
      <c r="H69" s="84"/>
      <c r="I69" s="84"/>
      <c r="J69" s="184">
        <f>SUM(E58:E69)</f>
        <v>3.0123456790123457</v>
      </c>
      <c r="K69" s="84"/>
      <c r="L69" s="184">
        <f>G69-G81</f>
        <v>11.851851851851855</v>
      </c>
    </row>
    <row r="70" spans="1:16" ht="14.45" customHeight="1" x14ac:dyDescent="0.25">
      <c r="A70" s="468">
        <v>2031</v>
      </c>
      <c r="B70" s="173">
        <f t="shared" si="2"/>
        <v>61</v>
      </c>
      <c r="C70" s="177">
        <v>47574</v>
      </c>
      <c r="D70" s="178">
        <f t="shared" si="5"/>
        <v>1.1851851851851851</v>
      </c>
      <c r="E70" s="78">
        <f>G69*'A &amp; B'!$I$8/12</f>
        <v>0.19753086419753088</v>
      </c>
      <c r="F70" s="78">
        <f>'A &amp; B'!$I$11</f>
        <v>0.98765432098765427</v>
      </c>
      <c r="G70" s="181">
        <f t="shared" si="1"/>
        <v>22.716049382716051</v>
      </c>
      <c r="H70" s="84"/>
      <c r="I70" s="84"/>
      <c r="J70" s="84" t="s">
        <v>66</v>
      </c>
      <c r="K70" s="84"/>
      <c r="L70" s="84" t="s">
        <v>66</v>
      </c>
    </row>
    <row r="71" spans="1:16" ht="15" customHeight="1" x14ac:dyDescent="0.25">
      <c r="A71" s="469"/>
      <c r="B71" s="172">
        <f t="shared" si="2"/>
        <v>62</v>
      </c>
      <c r="C71" s="175">
        <v>47604</v>
      </c>
      <c r="D71" s="176">
        <f t="shared" si="5"/>
        <v>1.176954732510288</v>
      </c>
      <c r="E71" s="79">
        <f>G70*'A &amp; B'!$I$8/12</f>
        <v>0.18930041152263377</v>
      </c>
      <c r="F71" s="79">
        <f>'A &amp; B'!$I$11</f>
        <v>0.98765432098765427</v>
      </c>
      <c r="G71" s="179">
        <f t="shared" si="1"/>
        <v>21.728395061728396</v>
      </c>
      <c r="H71" s="84"/>
      <c r="I71" s="84"/>
      <c r="J71" s="185" t="s">
        <v>66</v>
      </c>
      <c r="K71" s="84"/>
      <c r="L71" s="84" t="s">
        <v>66</v>
      </c>
      <c r="P71" s="84"/>
    </row>
    <row r="72" spans="1:16" ht="14.45" customHeight="1" x14ac:dyDescent="0.25">
      <c r="A72" s="469"/>
      <c r="B72" s="172">
        <f t="shared" si="2"/>
        <v>63</v>
      </c>
      <c r="C72" s="175">
        <v>47635</v>
      </c>
      <c r="D72" s="176">
        <f t="shared" si="5"/>
        <v>1.168724279835391</v>
      </c>
      <c r="E72" s="79">
        <f>G71*'A &amp; B'!$I$8/12</f>
        <v>0.18106995884773666</v>
      </c>
      <c r="F72" s="79">
        <f>'A &amp; B'!$I$11</f>
        <v>0.98765432098765427</v>
      </c>
      <c r="G72" s="179">
        <f t="shared" si="1"/>
        <v>20.74074074074074</v>
      </c>
      <c r="H72" s="84"/>
      <c r="I72" s="84"/>
      <c r="J72" s="84"/>
      <c r="K72" s="84"/>
      <c r="L72" s="84"/>
    </row>
    <row r="73" spans="1:16" ht="14.45" customHeight="1" x14ac:dyDescent="0.25">
      <c r="A73" s="469"/>
      <c r="B73" s="172">
        <f t="shared" si="2"/>
        <v>64</v>
      </c>
      <c r="C73" s="175">
        <v>47665</v>
      </c>
      <c r="D73" s="176">
        <f t="shared" si="5"/>
        <v>1.1604938271604937</v>
      </c>
      <c r="E73" s="79">
        <f>G72*'A &amp; B'!$I$8/12</f>
        <v>0.1728395061728395</v>
      </c>
      <c r="F73" s="79">
        <f>'A &amp; B'!$I$11</f>
        <v>0.98765432098765427</v>
      </c>
      <c r="G73" s="179">
        <f t="shared" si="1"/>
        <v>19.753086419753085</v>
      </c>
      <c r="H73" s="84"/>
      <c r="I73" s="84"/>
      <c r="K73" s="84"/>
      <c r="L73" s="84"/>
    </row>
    <row r="74" spans="1:16" ht="14.45" customHeight="1" x14ac:dyDescent="0.25">
      <c r="A74" s="469"/>
      <c r="B74" s="172">
        <f t="shared" si="2"/>
        <v>65</v>
      </c>
      <c r="C74" s="175">
        <v>47696</v>
      </c>
      <c r="D74" s="333">
        <f t="shared" si="5"/>
        <v>1.1522633744855966</v>
      </c>
      <c r="E74" s="334">
        <f>G73*'A &amp; B'!$I$8/12</f>
        <v>0.16460905349794239</v>
      </c>
      <c r="F74" s="362">
        <f>'A &amp; B'!$I$11</f>
        <v>0.98765432098765427</v>
      </c>
      <c r="G74" s="333">
        <f t="shared" si="1"/>
        <v>18.76543209876543</v>
      </c>
    </row>
    <row r="75" spans="1:16" ht="14.45" customHeight="1" x14ac:dyDescent="0.25">
      <c r="A75" s="469"/>
      <c r="B75" s="172">
        <f t="shared" si="2"/>
        <v>66</v>
      </c>
      <c r="C75" s="175">
        <v>47727</v>
      </c>
      <c r="D75" s="333">
        <f t="shared" si="5"/>
        <v>1.1440329218106995</v>
      </c>
      <c r="E75" s="334">
        <f>G74*'A &amp; B'!$I$8/12</f>
        <v>0.15637860082304525</v>
      </c>
      <c r="F75" s="362">
        <f>'A &amp; B'!$I$11</f>
        <v>0.98765432098765427</v>
      </c>
      <c r="G75" s="333">
        <f t="shared" ref="G75:G92" si="6">G74+E75-D75</f>
        <v>17.777777777777779</v>
      </c>
    </row>
    <row r="76" spans="1:16" ht="14.45" customHeight="1" x14ac:dyDescent="0.25">
      <c r="A76" s="469"/>
      <c r="B76" s="172">
        <f t="shared" si="2"/>
        <v>67</v>
      </c>
      <c r="C76" s="175">
        <v>47757</v>
      </c>
      <c r="D76" s="333">
        <f t="shared" si="5"/>
        <v>1.1358024691358024</v>
      </c>
      <c r="E76" s="334">
        <f>G75*'A &amp; B'!$I$8/12</f>
        <v>0.14814814814814817</v>
      </c>
      <c r="F76" s="362">
        <f>'A &amp; B'!$I$11</f>
        <v>0.98765432098765427</v>
      </c>
      <c r="G76" s="333">
        <f t="shared" si="6"/>
        <v>16.790123456790123</v>
      </c>
    </row>
    <row r="77" spans="1:16" ht="14.45" customHeight="1" x14ac:dyDescent="0.25">
      <c r="A77" s="469"/>
      <c r="B77" s="172">
        <f t="shared" si="2"/>
        <v>68</v>
      </c>
      <c r="C77" s="175">
        <v>47788</v>
      </c>
      <c r="D77" s="333">
        <f t="shared" si="5"/>
        <v>1.1275720164609053</v>
      </c>
      <c r="E77" s="334">
        <f>G76*'A &amp; B'!$I$8/12</f>
        <v>0.13991769547325103</v>
      </c>
      <c r="F77" s="362">
        <f>'A &amp; B'!$I$11</f>
        <v>0.98765432098765427</v>
      </c>
      <c r="G77" s="333">
        <f t="shared" si="6"/>
        <v>15.802469135802468</v>
      </c>
    </row>
    <row r="78" spans="1:16" ht="14.45" customHeight="1" x14ac:dyDescent="0.25">
      <c r="A78" s="469"/>
      <c r="B78" s="172">
        <f t="shared" si="2"/>
        <v>69</v>
      </c>
      <c r="C78" s="175">
        <v>47818</v>
      </c>
      <c r="D78" s="333">
        <f t="shared" si="5"/>
        <v>1.1193415637860082</v>
      </c>
      <c r="E78" s="334">
        <f>G77*'A &amp; B'!$I$8/12</f>
        <v>0.13168724279835389</v>
      </c>
      <c r="F78" s="362">
        <f>'A &amp; B'!$I$11</f>
        <v>0.98765432098765427</v>
      </c>
      <c r="G78" s="333">
        <f t="shared" si="6"/>
        <v>14.814814814814813</v>
      </c>
    </row>
    <row r="79" spans="1:16" ht="14.45" customHeight="1" x14ac:dyDescent="0.25">
      <c r="A79" s="469"/>
      <c r="B79" s="172">
        <f t="shared" si="2"/>
        <v>70</v>
      </c>
      <c r="C79" s="175">
        <v>47849</v>
      </c>
      <c r="D79" s="333">
        <f t="shared" ref="D79:D92" si="7">E79+F79</f>
        <v>1.1111111111111112</v>
      </c>
      <c r="E79" s="334">
        <f>G78*'A &amp; B'!$I$8/12</f>
        <v>0.12345679012345678</v>
      </c>
      <c r="F79" s="362">
        <f>'A &amp; B'!$I$11</f>
        <v>0.98765432098765427</v>
      </c>
      <c r="G79" s="333">
        <f t="shared" si="6"/>
        <v>13.82716049382716</v>
      </c>
    </row>
    <row r="80" spans="1:16" ht="14.45" customHeight="1" x14ac:dyDescent="0.25">
      <c r="A80" s="469"/>
      <c r="B80" s="172">
        <f t="shared" si="2"/>
        <v>71</v>
      </c>
      <c r="C80" s="175">
        <v>47880</v>
      </c>
      <c r="D80" s="333">
        <f t="shared" si="7"/>
        <v>1.1028806584362139</v>
      </c>
      <c r="E80" s="334">
        <f>G79*'A &amp; B'!$I$8/12</f>
        <v>0.11522633744855966</v>
      </c>
      <c r="F80" s="362">
        <f>'A &amp; B'!$I$11</f>
        <v>0.98765432098765427</v>
      </c>
      <c r="G80" s="333">
        <f t="shared" si="6"/>
        <v>12.839506172839506</v>
      </c>
    </row>
    <row r="81" spans="1:12" ht="15" customHeight="1" thickBot="1" x14ac:dyDescent="0.3">
      <c r="A81" s="470"/>
      <c r="B81" s="174">
        <f t="shared" si="2"/>
        <v>72</v>
      </c>
      <c r="C81" s="182">
        <v>47908</v>
      </c>
      <c r="D81" s="335">
        <f t="shared" si="7"/>
        <v>1.0946502057613168</v>
      </c>
      <c r="E81" s="337">
        <f>G80*'A &amp; B'!$I$8/12</f>
        <v>0.10699588477366256</v>
      </c>
      <c r="F81" s="363">
        <f>'A &amp; B'!$I$11</f>
        <v>0.98765432098765427</v>
      </c>
      <c r="G81" s="335">
        <f t="shared" si="6"/>
        <v>11.851851851851851</v>
      </c>
      <c r="J81" s="84">
        <f>SUM(E70:E81)</f>
        <v>1.8271604938271604</v>
      </c>
      <c r="L81" s="184">
        <f>G81</f>
        <v>11.851851851851851</v>
      </c>
    </row>
    <row r="82" spans="1:12" x14ac:dyDescent="0.25">
      <c r="A82" s="471">
        <v>2032</v>
      </c>
      <c r="B82" s="173">
        <f t="shared" si="2"/>
        <v>73</v>
      </c>
      <c r="C82" s="177">
        <v>47939</v>
      </c>
      <c r="D82" s="336">
        <f t="shared" si="7"/>
        <v>1.0864197530864197</v>
      </c>
      <c r="E82" s="338">
        <f>G81*'A &amp; B'!$I$8/12</f>
        <v>9.8765432098765427E-2</v>
      </c>
      <c r="F82" s="364">
        <f>'A &amp; B'!$I$11</f>
        <v>0.98765432098765427</v>
      </c>
      <c r="G82" s="336">
        <f t="shared" si="6"/>
        <v>10.864197530864198</v>
      </c>
    </row>
    <row r="83" spans="1:12" x14ac:dyDescent="0.25">
      <c r="A83" s="472"/>
      <c r="B83" s="172">
        <f t="shared" si="2"/>
        <v>74</v>
      </c>
      <c r="C83" s="175">
        <v>47969</v>
      </c>
      <c r="D83" s="333">
        <f t="shared" si="7"/>
        <v>1.0781893004115226</v>
      </c>
      <c r="E83" s="334">
        <f>G82*'A &amp; B'!$I$8/12</f>
        <v>9.0534979423868331E-2</v>
      </c>
      <c r="F83" s="362">
        <f>'A &amp; B'!$I$11</f>
        <v>0.98765432098765427</v>
      </c>
      <c r="G83" s="333">
        <f t="shared" si="6"/>
        <v>9.8765432098765427</v>
      </c>
    </row>
    <row r="84" spans="1:12" x14ac:dyDescent="0.25">
      <c r="A84" s="472"/>
      <c r="B84" s="172">
        <f t="shared" si="2"/>
        <v>75</v>
      </c>
      <c r="C84" s="175">
        <v>48000</v>
      </c>
      <c r="D84" s="333">
        <f t="shared" si="7"/>
        <v>1.0699588477366255</v>
      </c>
      <c r="E84" s="334">
        <f>G83*'A &amp; B'!$I$8/12</f>
        <v>8.2304526748971193E-2</v>
      </c>
      <c r="F84" s="362">
        <f>'A &amp; B'!$I$11</f>
        <v>0.98765432098765427</v>
      </c>
      <c r="G84" s="333">
        <f t="shared" si="6"/>
        <v>8.8888888888888875</v>
      </c>
    </row>
    <row r="85" spans="1:12" x14ac:dyDescent="0.25">
      <c r="A85" s="472"/>
      <c r="B85" s="172">
        <f t="shared" si="2"/>
        <v>76</v>
      </c>
      <c r="C85" s="175">
        <v>48030</v>
      </c>
      <c r="D85" s="333">
        <f t="shared" si="7"/>
        <v>1.0617283950617282</v>
      </c>
      <c r="E85" s="334">
        <f>G84*'A &amp; B'!$I$8/12</f>
        <v>7.407407407407407E-2</v>
      </c>
      <c r="F85" s="362">
        <f>'A &amp; B'!$I$11</f>
        <v>0.98765432098765427</v>
      </c>
      <c r="G85" s="333">
        <f t="shared" si="6"/>
        <v>7.9012345679012341</v>
      </c>
    </row>
    <row r="86" spans="1:12" x14ac:dyDescent="0.25">
      <c r="A86" s="472"/>
      <c r="B86" s="172">
        <f t="shared" si="2"/>
        <v>77</v>
      </c>
      <c r="C86" s="175">
        <v>48061</v>
      </c>
      <c r="D86" s="333">
        <f t="shared" si="7"/>
        <v>1.0534979423868311</v>
      </c>
      <c r="E86" s="334">
        <f>G85*'A &amp; B'!$I$8/12</f>
        <v>6.5843621399176946E-2</v>
      </c>
      <c r="F86" s="362">
        <f>'A &amp; B'!$I$11</f>
        <v>0.98765432098765427</v>
      </c>
      <c r="G86" s="333">
        <f t="shared" si="6"/>
        <v>6.9135802469135799</v>
      </c>
    </row>
    <row r="87" spans="1:12" x14ac:dyDescent="0.25">
      <c r="A87" s="472"/>
      <c r="B87" s="172">
        <f t="shared" si="2"/>
        <v>78</v>
      </c>
      <c r="C87" s="175">
        <v>48092</v>
      </c>
      <c r="D87" s="333">
        <f t="shared" si="7"/>
        <v>1.0452674897119341</v>
      </c>
      <c r="E87" s="334">
        <f>G86*'A &amp; B'!$I$8/12</f>
        <v>5.761316872427983E-2</v>
      </c>
      <c r="F87" s="362">
        <f>'A &amp; B'!$I$11</f>
        <v>0.98765432098765427</v>
      </c>
      <c r="G87" s="333">
        <f t="shared" si="6"/>
        <v>5.9259259259259256</v>
      </c>
    </row>
    <row r="88" spans="1:12" x14ac:dyDescent="0.25">
      <c r="A88" s="472"/>
      <c r="B88" s="172">
        <f t="shared" si="2"/>
        <v>79</v>
      </c>
      <c r="C88" s="175">
        <v>48122</v>
      </c>
      <c r="D88" s="333">
        <f t="shared" si="7"/>
        <v>1.037037037037037</v>
      </c>
      <c r="E88" s="334">
        <f>G87*'A &amp; B'!$I$8/12</f>
        <v>4.9382716049382713E-2</v>
      </c>
      <c r="F88" s="362">
        <f>'A &amp; B'!$I$11</f>
        <v>0.98765432098765427</v>
      </c>
      <c r="G88" s="333">
        <f t="shared" si="6"/>
        <v>4.9382716049382713</v>
      </c>
    </row>
    <row r="89" spans="1:12" x14ac:dyDescent="0.25">
      <c r="A89" s="472"/>
      <c r="B89" s="172">
        <f t="shared" si="2"/>
        <v>80</v>
      </c>
      <c r="C89" s="175">
        <v>48153</v>
      </c>
      <c r="D89" s="333">
        <f t="shared" si="7"/>
        <v>1.0288065843621399</v>
      </c>
      <c r="E89" s="334">
        <f>G88*'A &amp; B'!$I$8/12</f>
        <v>4.1152263374485597E-2</v>
      </c>
      <c r="F89" s="362">
        <f>'A &amp; B'!$I$11</f>
        <v>0.98765432098765427</v>
      </c>
      <c r="G89" s="333">
        <f t="shared" si="6"/>
        <v>3.9506172839506166</v>
      </c>
    </row>
    <row r="90" spans="1:12" x14ac:dyDescent="0.25">
      <c r="A90" s="472"/>
      <c r="B90" s="172">
        <f t="shared" si="2"/>
        <v>81</v>
      </c>
      <c r="C90" s="175">
        <v>48183</v>
      </c>
      <c r="D90" s="333">
        <f t="shared" si="7"/>
        <v>1.0205761316872428</v>
      </c>
      <c r="E90" s="334">
        <f>G89*'A &amp; B'!$I$8/12</f>
        <v>3.2921810699588473E-2</v>
      </c>
      <c r="F90" s="362">
        <f>'A &amp; B'!$I$11</f>
        <v>0.98765432098765427</v>
      </c>
      <c r="G90" s="333">
        <f t="shared" si="6"/>
        <v>2.9629629629629619</v>
      </c>
    </row>
    <row r="91" spans="1:12" x14ac:dyDescent="0.25">
      <c r="A91" s="472"/>
      <c r="B91" s="172">
        <f t="shared" si="2"/>
        <v>82</v>
      </c>
      <c r="C91" s="175">
        <v>48214</v>
      </c>
      <c r="D91" s="333">
        <f t="shared" si="7"/>
        <v>1.0123456790123455</v>
      </c>
      <c r="E91" s="334">
        <f>G90*'A &amp; B'!$I$8/12</f>
        <v>2.4691358024691353E-2</v>
      </c>
      <c r="F91" s="362">
        <f>'A &amp; B'!$I$11</f>
        <v>0.98765432098765427</v>
      </c>
      <c r="G91" s="333">
        <f t="shared" si="6"/>
        <v>1.9753086419753079</v>
      </c>
    </row>
    <row r="92" spans="1:12" x14ac:dyDescent="0.25">
      <c r="A92" s="472"/>
      <c r="B92" s="172">
        <f t="shared" si="2"/>
        <v>83</v>
      </c>
      <c r="C92" s="175">
        <v>11720</v>
      </c>
      <c r="D92" s="333">
        <f t="shared" si="7"/>
        <v>1.0041152263374484</v>
      </c>
      <c r="E92" s="334">
        <f>G91*'A &amp; B'!$I$8/12</f>
        <v>1.6460905349794233E-2</v>
      </c>
      <c r="F92" s="362">
        <f>'A &amp; B'!$I$11</f>
        <v>0.98765432098765427</v>
      </c>
      <c r="G92" s="333">
        <f t="shared" si="6"/>
        <v>0.9876543209876536</v>
      </c>
      <c r="J92" s="84">
        <f>SUM(E82:E92)</f>
        <v>0.6337448559670783</v>
      </c>
      <c r="L92" s="70">
        <v>0</v>
      </c>
    </row>
    <row r="93" spans="1:12" x14ac:dyDescent="0.25">
      <c r="B93" s="172">
        <f t="shared" si="2"/>
        <v>84</v>
      </c>
      <c r="C93" s="175">
        <v>11749</v>
      </c>
      <c r="D93" s="333">
        <f t="shared" ref="D93" si="8">E93+F93</f>
        <v>0.99588477366255135</v>
      </c>
      <c r="E93" s="334">
        <f>G92*'A &amp; B'!$I$8/12</f>
        <v>8.2304526748971148E-3</v>
      </c>
      <c r="F93" s="362">
        <f>'A &amp; B'!$I$11</f>
        <v>0.98765432098765427</v>
      </c>
      <c r="G93" s="333">
        <f t="shared" ref="G93" si="9">G92+E93-D93</f>
        <v>0</v>
      </c>
    </row>
  </sheetData>
  <mergeCells count="7">
    <mergeCell ref="A70:A81"/>
    <mergeCell ref="A82:A92"/>
    <mergeCell ref="A10:A21"/>
    <mergeCell ref="A22:A33"/>
    <mergeCell ref="A34:A45"/>
    <mergeCell ref="A46:A57"/>
    <mergeCell ref="A58:A69"/>
  </mergeCells>
  <pageMargins left="0.7" right="0.7" top="0.75" bottom="0.75" header="0.3" footer="0.3"/>
  <pageSetup paperSize="9" scale="68" orientation="portrait" r:id="rId1"/>
  <rowBreaks count="1" manualBreakCount="1">
    <brk id="69" max="6" man="1"/>
  </rowBreaks>
  <colBreaks count="2" manualBreakCount="2">
    <brk id="7" max="1048575" man="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0664-47DD-4BAB-8A21-79C0F50A647A}">
  <sheetPr>
    <tabColor rgb="FF92D050"/>
    <pageSetUpPr autoPageBreaks="0" fitToPage="1"/>
  </sheetPr>
  <dimension ref="B2:J34"/>
  <sheetViews>
    <sheetView view="pageBreakPreview" zoomScale="70" zoomScaleNormal="80" zoomScaleSheetLayoutView="100" workbookViewId="0">
      <selection activeCell="C24" sqref="C24"/>
    </sheetView>
  </sheetViews>
  <sheetFormatPr defaultColWidth="10.28515625" defaultRowHeight="14.25" x14ac:dyDescent="0.2"/>
  <cols>
    <col min="1" max="1" width="10.28515625" style="51" bestFit="1" customWidth="1"/>
    <col min="2" max="2" width="51.42578125" style="51" customWidth="1"/>
    <col min="3" max="3" width="13" style="51" bestFit="1" customWidth="1"/>
    <col min="4" max="10" width="13" style="51" customWidth="1"/>
    <col min="11" max="246" width="9.28515625" style="51" customWidth="1"/>
    <col min="247" max="247" width="10.28515625" style="51" bestFit="1" customWidth="1"/>
    <col min="248" max="16384" width="10.28515625" style="51"/>
  </cols>
  <sheetData>
    <row r="2" spans="2:10" ht="15" x14ac:dyDescent="0.25">
      <c r="B2" s="83" t="s">
        <v>79</v>
      </c>
    </row>
    <row r="3" spans="2:10" ht="15.75" thickBot="1" x14ac:dyDescent="0.3">
      <c r="J3" s="62" t="s">
        <v>115</v>
      </c>
    </row>
    <row r="4" spans="2:10" ht="15.75" thickBot="1" x14ac:dyDescent="0.25">
      <c r="B4" s="81" t="s">
        <v>1</v>
      </c>
      <c r="C4" s="82">
        <f>'Finance Cost'!D4</f>
        <v>45717</v>
      </c>
      <c r="D4" s="82">
        <f>+C4+366</f>
        <v>46083</v>
      </c>
      <c r="E4" s="82">
        <f>+D4+366</f>
        <v>46449</v>
      </c>
      <c r="F4" s="82">
        <f>+E4+366</f>
        <v>46815</v>
      </c>
      <c r="G4" s="82">
        <f>+F4+366</f>
        <v>47181</v>
      </c>
      <c r="H4" s="82">
        <f>+G4+366</f>
        <v>47547</v>
      </c>
      <c r="I4" s="82">
        <f>H4+365</f>
        <v>47912</v>
      </c>
      <c r="J4" s="82">
        <f>I4+365</f>
        <v>48277</v>
      </c>
    </row>
    <row r="5" spans="2:10" x14ac:dyDescent="0.2">
      <c r="B5" s="55"/>
      <c r="C5" s="55"/>
      <c r="D5" s="55"/>
      <c r="E5" s="55"/>
      <c r="F5" s="55"/>
      <c r="G5" s="55"/>
      <c r="H5" s="55"/>
      <c r="I5" s="55"/>
      <c r="J5" s="55"/>
    </row>
    <row r="6" spans="2:10" hidden="1" x14ac:dyDescent="0.2">
      <c r="B6" s="57"/>
      <c r="C6" s="57"/>
      <c r="D6" s="57"/>
      <c r="E6" s="57"/>
      <c r="F6" s="57"/>
      <c r="G6" s="57"/>
      <c r="H6" s="57"/>
      <c r="I6" s="57"/>
      <c r="J6" s="57"/>
    </row>
    <row r="7" spans="2:10" hidden="1" x14ac:dyDescent="0.2">
      <c r="B7" s="57"/>
      <c r="C7" s="57"/>
      <c r="D7" s="57"/>
      <c r="E7" s="57"/>
      <c r="F7" s="57"/>
      <c r="G7" s="57"/>
      <c r="H7" s="57"/>
      <c r="I7" s="57"/>
      <c r="J7" s="57"/>
    </row>
    <row r="8" spans="2:10" ht="15" hidden="1" x14ac:dyDescent="0.25">
      <c r="B8" s="52"/>
      <c r="C8" s="55"/>
      <c r="D8" s="55"/>
      <c r="E8" s="55"/>
      <c r="F8" s="55"/>
      <c r="G8" s="55"/>
      <c r="H8" s="55"/>
      <c r="I8" s="55"/>
      <c r="J8" s="55"/>
    </row>
    <row r="9" spans="2:10" ht="15" hidden="1" x14ac:dyDescent="0.25">
      <c r="B9" s="52"/>
      <c r="C9" s="53"/>
      <c r="D9" s="53"/>
      <c r="E9" s="53"/>
      <c r="F9" s="53"/>
      <c r="G9" s="53"/>
      <c r="H9" s="53"/>
      <c r="I9" s="53"/>
      <c r="J9" s="53"/>
    </row>
    <row r="10" spans="2:10" ht="15" hidden="1" x14ac:dyDescent="0.25">
      <c r="B10" s="52"/>
      <c r="C10" s="55"/>
      <c r="D10" s="55"/>
      <c r="E10" s="55"/>
      <c r="F10" s="55"/>
      <c r="G10" s="55"/>
      <c r="H10" s="55"/>
      <c r="I10" s="55"/>
      <c r="J10" s="55"/>
    </row>
    <row r="11" spans="2:10" hidden="1" x14ac:dyDescent="0.2">
      <c r="B11" s="55"/>
      <c r="C11" s="59"/>
      <c r="D11" s="59"/>
      <c r="E11" s="59"/>
      <c r="F11" s="59"/>
      <c r="G11" s="59"/>
      <c r="H11" s="59"/>
      <c r="I11" s="59"/>
      <c r="J11" s="59"/>
    </row>
    <row r="12" spans="2:10" hidden="1" x14ac:dyDescent="0.2">
      <c r="B12" s="55"/>
      <c r="C12" s="55"/>
      <c r="D12" s="55"/>
      <c r="E12" s="55"/>
      <c r="F12" s="55"/>
      <c r="G12" s="55"/>
      <c r="H12" s="55"/>
      <c r="I12" s="55"/>
      <c r="J12" s="55"/>
    </row>
    <row r="13" spans="2:10" hidden="1" x14ac:dyDescent="0.2">
      <c r="B13" s="55"/>
      <c r="C13" s="55"/>
      <c r="D13" s="55"/>
      <c r="E13" s="55"/>
      <c r="F13" s="55"/>
      <c r="G13" s="55"/>
      <c r="H13" s="55"/>
      <c r="I13" s="55"/>
      <c r="J13" s="55"/>
    </row>
    <row r="14" spans="2:10" hidden="1" x14ac:dyDescent="0.2">
      <c r="B14" s="55"/>
      <c r="C14" s="55"/>
      <c r="D14" s="55"/>
      <c r="E14" s="55"/>
      <c r="F14" s="55"/>
      <c r="G14" s="55"/>
      <c r="H14" s="55"/>
      <c r="I14" s="55"/>
      <c r="J14" s="55"/>
    </row>
    <row r="15" spans="2:10" hidden="1" x14ac:dyDescent="0.2">
      <c r="B15" s="55"/>
      <c r="C15" s="55"/>
      <c r="D15" s="55"/>
      <c r="E15" s="55"/>
      <c r="F15" s="55"/>
      <c r="G15" s="55"/>
      <c r="H15" s="55"/>
      <c r="I15" s="55"/>
      <c r="J15" s="55"/>
    </row>
    <row r="16" spans="2:10" hidden="1" x14ac:dyDescent="0.2">
      <c r="B16" s="55"/>
      <c r="C16" s="55"/>
      <c r="D16" s="55"/>
      <c r="E16" s="55"/>
      <c r="F16" s="55"/>
      <c r="G16" s="55"/>
      <c r="H16" s="55"/>
      <c r="I16" s="55"/>
      <c r="J16" s="55"/>
    </row>
    <row r="17" spans="2:10" hidden="1" x14ac:dyDescent="0.2">
      <c r="B17" s="55"/>
      <c r="C17" s="55"/>
      <c r="D17" s="55"/>
      <c r="E17" s="55"/>
      <c r="F17" s="55"/>
      <c r="G17" s="55"/>
      <c r="H17" s="55"/>
      <c r="I17" s="55"/>
      <c r="J17" s="55"/>
    </row>
    <row r="18" spans="2:10" hidden="1" x14ac:dyDescent="0.2">
      <c r="B18" s="57"/>
      <c r="C18" s="58"/>
      <c r="D18" s="58"/>
      <c r="E18" s="58"/>
      <c r="F18" s="58"/>
      <c r="G18" s="58"/>
      <c r="H18" s="58"/>
      <c r="I18" s="58"/>
      <c r="J18" s="58"/>
    </row>
    <row r="19" spans="2:10" hidden="1" x14ac:dyDescent="0.2">
      <c r="B19" s="55"/>
      <c r="C19" s="58"/>
      <c r="D19" s="58"/>
      <c r="E19" s="58"/>
      <c r="F19" s="58"/>
      <c r="G19" s="58"/>
      <c r="H19" s="58"/>
      <c r="I19" s="58"/>
      <c r="J19" s="58"/>
    </row>
    <row r="20" spans="2:10" hidden="1" x14ac:dyDescent="0.2">
      <c r="B20" s="57"/>
      <c r="C20" s="57"/>
      <c r="D20" s="57"/>
      <c r="E20" s="57"/>
      <c r="F20" s="57"/>
      <c r="G20" s="57"/>
      <c r="H20" s="57"/>
      <c r="I20" s="57"/>
      <c r="J20" s="57"/>
    </row>
    <row r="21" spans="2:10" ht="15" x14ac:dyDescent="0.25">
      <c r="B21" s="136" t="s">
        <v>114</v>
      </c>
      <c r="C21" s="137"/>
      <c r="D21" s="137"/>
      <c r="E21" s="137"/>
      <c r="F21" s="137"/>
      <c r="G21" s="137"/>
      <c r="H21" s="137"/>
      <c r="I21" s="137"/>
      <c r="J21" s="137"/>
    </row>
    <row r="22" spans="2:10" x14ac:dyDescent="0.2">
      <c r="B22" s="54" t="s">
        <v>62</v>
      </c>
      <c r="C22" s="139" t="e">
        <f>'PNB Bank TL (New)'!#REF!-C23</f>
        <v>#REF!</v>
      </c>
      <c r="D22" s="138">
        <f>'PNB Bank TL (New)'!G21-D23</f>
        <v>59.259259259259252</v>
      </c>
      <c r="E22" s="138">
        <f>'PNB Bank TL (New)'!G33-E23</f>
        <v>47.407407407407405</v>
      </c>
      <c r="F22" s="138">
        <f>'PNB Bank TL (New)'!G45-F23</f>
        <v>35.555555555555557</v>
      </c>
      <c r="G22" s="138">
        <f>'PNB Bank TL (New)'!G57-G23</f>
        <v>23.703703703703695</v>
      </c>
      <c r="H22" s="138">
        <f>'PNB Bank TL (New)'!G69-H23</f>
        <v>11.851851851851851</v>
      </c>
      <c r="I22" s="138">
        <f>'PNB Bank TL (New)'!G81-I23</f>
        <v>0</v>
      </c>
      <c r="J22" s="138">
        <v>0</v>
      </c>
    </row>
    <row r="23" spans="2:10" x14ac:dyDescent="0.2">
      <c r="B23" s="55" t="s">
        <v>63</v>
      </c>
      <c r="C23" s="139">
        <f>'PNB Bank TL (New)'!L11</f>
        <v>0</v>
      </c>
      <c r="D23" s="139">
        <f>'PNB Bank TL (New)'!L21</f>
        <v>11.851851851851848</v>
      </c>
      <c r="E23" s="139">
        <f>'PNB Bank TL (New)'!L45</f>
        <v>11.851851851851848</v>
      </c>
      <c r="F23" s="139">
        <f>'PNB Bank TL (New)'!L57</f>
        <v>11.851851851851844</v>
      </c>
      <c r="G23" s="139">
        <f>'PNB Bank TL (New)'!L69</f>
        <v>11.851851851851855</v>
      </c>
      <c r="H23" s="139">
        <f>'PNB Bank TL (New)'!L69</f>
        <v>11.851851851851855</v>
      </c>
      <c r="I23" s="139">
        <f>'PNB Bank TL (New)'!L81</f>
        <v>11.851851851851851</v>
      </c>
      <c r="J23" s="339">
        <v>0</v>
      </c>
    </row>
    <row r="24" spans="2:10" ht="15" x14ac:dyDescent="0.25">
      <c r="B24" s="56" t="s">
        <v>64</v>
      </c>
      <c r="C24" s="140" t="e">
        <f>C22-C23</f>
        <v>#REF!</v>
      </c>
      <c r="D24" s="140">
        <f t="shared" ref="D24:H24" si="0">D22-D23</f>
        <v>47.407407407407405</v>
      </c>
      <c r="E24" s="140">
        <f t="shared" si="0"/>
        <v>35.555555555555557</v>
      </c>
      <c r="F24" s="140">
        <f t="shared" si="0"/>
        <v>23.703703703703713</v>
      </c>
      <c r="G24" s="140">
        <f t="shared" si="0"/>
        <v>11.851851851851841</v>
      </c>
      <c r="H24" s="140">
        <f t="shared" si="0"/>
        <v>0</v>
      </c>
      <c r="I24" s="140">
        <v>0</v>
      </c>
      <c r="J24" s="140">
        <v>0</v>
      </c>
    </row>
    <row r="25" spans="2:10" ht="15.75" thickBot="1" x14ac:dyDescent="0.3">
      <c r="B25" s="141"/>
      <c r="C25" s="138"/>
      <c r="D25" s="138"/>
      <c r="E25" s="138"/>
      <c r="F25" s="138"/>
      <c r="G25" s="138"/>
      <c r="H25" s="138"/>
      <c r="I25" s="138"/>
      <c r="J25" s="138"/>
    </row>
    <row r="26" spans="2:10" ht="15.75" thickBot="1" x14ac:dyDescent="0.3">
      <c r="B26" s="60" t="s">
        <v>65</v>
      </c>
      <c r="C26" s="61" t="e">
        <f>C24</f>
        <v>#REF!</v>
      </c>
      <c r="D26" s="61">
        <f t="shared" ref="D26:J26" si="1">D24</f>
        <v>47.407407407407405</v>
      </c>
      <c r="E26" s="61">
        <f t="shared" si="1"/>
        <v>35.555555555555557</v>
      </c>
      <c r="F26" s="61">
        <f t="shared" si="1"/>
        <v>23.703703703703713</v>
      </c>
      <c r="G26" s="61">
        <f t="shared" si="1"/>
        <v>11.851851851851841</v>
      </c>
      <c r="H26" s="61">
        <f t="shared" si="1"/>
        <v>0</v>
      </c>
      <c r="I26" s="61">
        <f t="shared" si="1"/>
        <v>0</v>
      </c>
      <c r="J26" s="340">
        <f t="shared" si="1"/>
        <v>0</v>
      </c>
    </row>
    <row r="27" spans="2:10" ht="15" x14ac:dyDescent="0.25">
      <c r="B27" s="62"/>
    </row>
    <row r="32" spans="2:10" ht="15" x14ac:dyDescent="0.25">
      <c r="B32" s="62"/>
    </row>
    <row r="33" spans="2:2" ht="15" x14ac:dyDescent="0.25">
      <c r="B33" s="63"/>
    </row>
    <row r="34" spans="2:2" ht="15" x14ac:dyDescent="0.25">
      <c r="B34" s="62"/>
    </row>
  </sheetData>
  <pageMargins left="0.23622047244094491" right="0.31496062992125984" top="0.23622047244094491" bottom="0.23622047244094491" header="0.15748031496062992" footer="0.15748031496062992"/>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A &amp; B</vt:lpstr>
      <vt:lpstr>COP-PNB</vt:lpstr>
      <vt:lpstr>BS</vt:lpstr>
      <vt:lpstr>P&amp;L</vt:lpstr>
      <vt:lpstr>Sale &amp; Exp Schedule</vt:lpstr>
      <vt:lpstr>DSCR</vt:lpstr>
      <vt:lpstr>Finance Cost</vt:lpstr>
      <vt:lpstr>PNB Bank TL (New)</vt:lpstr>
      <vt:lpstr>TL</vt:lpstr>
      <vt:lpstr>Capex- Plant</vt:lpstr>
      <vt:lpstr>Depriciation</vt:lpstr>
      <vt:lpstr>Sheet3</vt:lpstr>
      <vt:lpstr>Furniture &amp; Fixtures</vt:lpstr>
      <vt:lpstr>Sheet1</vt:lpstr>
      <vt:lpstr>'A &amp; B'!Print_Area</vt:lpstr>
      <vt:lpstr>BS!Print_Area</vt:lpstr>
      <vt:lpstr>'Capex- Plant'!Print_Area</vt:lpstr>
      <vt:lpstr>'COP-PNB'!Print_Area</vt:lpstr>
      <vt:lpstr>Depriciation!Print_Area</vt:lpstr>
      <vt:lpstr>DSCR!Print_Area</vt:lpstr>
      <vt:lpstr>'Finance Cost'!Print_Area</vt:lpstr>
      <vt:lpstr>'P&amp;L'!Print_Area</vt:lpstr>
      <vt:lpstr>'PNB Bank TL (New)'!Print_Area</vt:lpstr>
      <vt:lpstr>'Sale &amp; Exp Schedule'!Print_Area</vt:lpstr>
      <vt:lpstr>TL!Print_Area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2025-05-15T11:11:56Z</dcterms:modified>
</cp:coreProperties>
</file>