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10" yWindow="-110" windowWidth="19420" windowHeight="11020"/>
  </bookViews>
  <sheets>
    <sheet name="certificate" sheetId="1" r:id="rId1"/>
    <sheet name="achievemnt" sheetId="2" r:id="rId2"/>
    <sheet name="mgmt exp. " sheetId="4" r:id="rId3"/>
  </sheets>
  <definedNames>
    <definedName name="_xlnm.Print_Area" localSheetId="0">certificate!$A$1:$G$55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4"/>
  <c r="E21" s="1"/>
  <c r="E22" s="1"/>
  <c r="C20"/>
  <c r="E19"/>
  <c r="E18"/>
  <c r="E17"/>
  <c r="E16"/>
  <c r="E15"/>
  <c r="E14"/>
  <c r="E13"/>
  <c r="E12"/>
  <c r="E11"/>
  <c r="E10"/>
  <c r="E9"/>
  <c r="E8"/>
  <c r="E7"/>
  <c r="D6"/>
  <c r="E6" s="1"/>
  <c r="E20" s="1"/>
  <c r="E5"/>
  <c r="C5"/>
  <c r="D20" l="1"/>
  <c r="I5" i="2" l="1"/>
  <c r="U32"/>
  <c r="S33" l="1"/>
  <c r="O25"/>
  <c r="Q31"/>
  <c r="O31"/>
  <c r="Q30"/>
  <c r="O30"/>
  <c r="Q27"/>
  <c r="O27"/>
  <c r="Q26"/>
  <c r="P26"/>
  <c r="O26"/>
  <c r="Q22"/>
  <c r="P22"/>
  <c r="Q21"/>
  <c r="Q14"/>
  <c r="P14"/>
  <c r="Q13"/>
  <c r="P13"/>
  <c r="Q10"/>
  <c r="T32" l="1"/>
  <c r="S22" l="1"/>
  <c r="S21"/>
  <c r="S37"/>
  <c r="P21"/>
  <c r="P10"/>
  <c r="U29"/>
  <c r="U18"/>
  <c r="T29"/>
  <c r="O32"/>
  <c r="O29"/>
  <c r="O23"/>
  <c r="O18"/>
  <c r="T18"/>
  <c r="O40" l="1"/>
  <c r="Q25" l="1"/>
  <c r="AA25"/>
  <c r="Q20"/>
  <c r="P20"/>
  <c r="AA22"/>
  <c r="AA21"/>
  <c r="AA20"/>
  <c r="S20" l="1"/>
  <c r="P27"/>
  <c r="AC22"/>
  <c r="AC21"/>
  <c r="AC20"/>
  <c r="AB22"/>
  <c r="AE22" s="1"/>
  <c r="AB21"/>
  <c r="AB20"/>
  <c r="Y22"/>
  <c r="Y21"/>
  <c r="Y20"/>
  <c r="AE21" l="1"/>
  <c r="AE20"/>
  <c r="P16"/>
  <c r="P15"/>
  <c r="P12"/>
  <c r="P11"/>
  <c r="Q15" l="1"/>
  <c r="Q12"/>
  <c r="Q11"/>
  <c r="K34" l="1"/>
  <c r="AE37"/>
  <c r="AE39" s="1"/>
  <c r="Y39"/>
  <c r="Y34"/>
  <c r="S39"/>
  <c r="S34"/>
  <c r="N34"/>
  <c r="N28"/>
  <c r="I40"/>
  <c r="P32"/>
  <c r="AE33"/>
  <c r="AE34" s="1"/>
  <c r="AD32"/>
  <c r="W32"/>
  <c r="Y32" s="1"/>
  <c r="X32"/>
  <c r="V32"/>
  <c r="R32"/>
  <c r="R40" s="1"/>
  <c r="Q32"/>
  <c r="S32" s="1"/>
  <c r="Y31"/>
  <c r="AC31"/>
  <c r="AB31"/>
  <c r="AA31"/>
  <c r="S31"/>
  <c r="AC30"/>
  <c r="AB30"/>
  <c r="AB32" s="1"/>
  <c r="AA30"/>
  <c r="Y30"/>
  <c r="S30"/>
  <c r="W29"/>
  <c r="X29"/>
  <c r="X40" s="1"/>
  <c r="V29"/>
  <c r="AD29"/>
  <c r="AC26"/>
  <c r="AC27"/>
  <c r="AC28"/>
  <c r="AC25"/>
  <c r="AB26"/>
  <c r="AB27"/>
  <c r="AB28"/>
  <c r="AB25"/>
  <c r="AA26"/>
  <c r="AA27"/>
  <c r="AA28"/>
  <c r="Q29"/>
  <c r="R29"/>
  <c r="P29"/>
  <c r="S26"/>
  <c r="S27"/>
  <c r="S28"/>
  <c r="S25"/>
  <c r="Y26"/>
  <c r="Y27"/>
  <c r="Y28"/>
  <c r="Y25"/>
  <c r="Z23"/>
  <c r="AA23"/>
  <c r="AB23"/>
  <c r="AC23"/>
  <c r="AD23"/>
  <c r="AE23"/>
  <c r="Q23"/>
  <c r="R23"/>
  <c r="S23"/>
  <c r="T23"/>
  <c r="T40" s="1"/>
  <c r="U23"/>
  <c r="U40" s="1"/>
  <c r="V23"/>
  <c r="W23"/>
  <c r="X23"/>
  <c r="Y23"/>
  <c r="P23"/>
  <c r="AD18"/>
  <c r="AD40" s="1"/>
  <c r="AA11"/>
  <c r="AA12"/>
  <c r="AA13"/>
  <c r="AA18" s="1"/>
  <c r="AA14"/>
  <c r="AA15"/>
  <c r="AA16"/>
  <c r="AA17"/>
  <c r="AA10"/>
  <c r="W18"/>
  <c r="V18"/>
  <c r="Q18"/>
  <c r="P18"/>
  <c r="S14"/>
  <c r="AD11"/>
  <c r="AD12"/>
  <c r="AD13"/>
  <c r="AD14"/>
  <c r="AD15"/>
  <c r="AD16"/>
  <c r="AD10"/>
  <c r="AC11"/>
  <c r="AC12"/>
  <c r="AC13"/>
  <c r="AC14"/>
  <c r="AC15"/>
  <c r="AC16"/>
  <c r="AC17"/>
  <c r="AC10"/>
  <c r="AB11"/>
  <c r="AB12"/>
  <c r="AE12" s="1"/>
  <c r="AB13"/>
  <c r="AB14"/>
  <c r="AB15"/>
  <c r="AB16"/>
  <c r="AB17"/>
  <c r="Y11"/>
  <c r="Y12"/>
  <c r="Y13"/>
  <c r="Y14"/>
  <c r="Y15"/>
  <c r="Y16"/>
  <c r="Y17"/>
  <c r="AB10"/>
  <c r="Y10"/>
  <c r="S11"/>
  <c r="S12"/>
  <c r="S13"/>
  <c r="S15"/>
  <c r="S16"/>
  <c r="S17"/>
  <c r="S10"/>
  <c r="AA29" l="1"/>
  <c r="AA40" s="1"/>
  <c r="AA32"/>
  <c r="AE25"/>
  <c r="AE13"/>
  <c r="AE31"/>
  <c r="AE14"/>
  <c r="AE30"/>
  <c r="AE27"/>
  <c r="AB29"/>
  <c r="AE17"/>
  <c r="AE16"/>
  <c r="S29"/>
  <c r="P40"/>
  <c r="V40"/>
  <c r="Y29"/>
  <c r="AE26"/>
  <c r="AE11"/>
  <c r="AC32"/>
  <c r="AE32" s="1"/>
  <c r="W40"/>
  <c r="Q40"/>
  <c r="AE15"/>
  <c r="Y18"/>
  <c r="S18"/>
  <c r="AE10"/>
  <c r="AC29"/>
  <c r="AE28"/>
  <c r="AB18"/>
  <c r="AC18"/>
  <c r="AB40" l="1"/>
  <c r="AC40"/>
  <c r="Y40"/>
  <c r="S40"/>
  <c r="AE29"/>
  <c r="AE18"/>
  <c r="K39"/>
  <c r="N39"/>
  <c r="M32"/>
  <c r="M40" s="1"/>
  <c r="L32"/>
  <c r="I32"/>
  <c r="J32"/>
  <c r="H32"/>
  <c r="K31"/>
  <c r="N31" s="1"/>
  <c r="K30"/>
  <c r="K32" s="1"/>
  <c r="M23"/>
  <c r="M29"/>
  <c r="M18"/>
  <c r="K26"/>
  <c r="N26" s="1"/>
  <c r="K27"/>
  <c r="N27" s="1"/>
  <c r="I25"/>
  <c r="K25" s="1"/>
  <c r="N25" s="1"/>
  <c r="J29"/>
  <c r="H29"/>
  <c r="H40" s="1"/>
  <c r="L23"/>
  <c r="K21"/>
  <c r="N21" s="1"/>
  <c r="K22"/>
  <c r="N22" s="1"/>
  <c r="K20"/>
  <c r="N20" s="1"/>
  <c r="I23"/>
  <c r="K10"/>
  <c r="N10" s="1"/>
  <c r="J23"/>
  <c r="H23"/>
  <c r="L18"/>
  <c r="K11"/>
  <c r="N11" s="1"/>
  <c r="K12"/>
  <c r="N12" s="1"/>
  <c r="K13"/>
  <c r="N13" s="1"/>
  <c r="K14"/>
  <c r="N14" s="1"/>
  <c r="K15"/>
  <c r="N15" s="1"/>
  <c r="K16"/>
  <c r="N16" s="1"/>
  <c r="K17"/>
  <c r="N17" s="1"/>
  <c r="J18"/>
  <c r="H18"/>
  <c r="J40" l="1"/>
  <c r="N30"/>
  <c r="N32" s="1"/>
  <c r="N18"/>
  <c r="N23"/>
  <c r="N40" s="1"/>
  <c r="AE40"/>
  <c r="L40"/>
  <c r="N29"/>
  <c r="K23"/>
  <c r="L29"/>
  <c r="K29"/>
  <c r="K40" s="1"/>
  <c r="I29"/>
  <c r="K18"/>
  <c r="I18"/>
  <c r="G16" i="1" l="1"/>
  <c r="G15"/>
  <c r="G20" l="1"/>
  <c r="G17"/>
  <c r="C21" l="1"/>
  <c r="G19"/>
  <c r="D18"/>
  <c r="D21"/>
  <c r="E18"/>
  <c r="F18"/>
  <c r="E21"/>
  <c r="F21"/>
  <c r="E22" l="1"/>
  <c r="F22"/>
  <c r="D22"/>
  <c r="G21"/>
  <c r="C18"/>
  <c r="G18" s="1"/>
  <c r="C22" l="1"/>
  <c r="G22" s="1"/>
  <c r="C11" s="1"/>
</calcChain>
</file>

<file path=xl/sharedStrings.xml><?xml version="1.0" encoding="utf-8"?>
<sst xmlns="http://schemas.openxmlformats.org/spreadsheetml/2006/main" count="166" uniqueCount="148">
  <si>
    <t>Amt in Rs</t>
  </si>
  <si>
    <t>Sr No.</t>
  </si>
  <si>
    <t>Grant Status</t>
  </si>
  <si>
    <t>Project Implementation</t>
  </si>
  <si>
    <t>Project Management</t>
  </si>
  <si>
    <t>Total</t>
  </si>
  <si>
    <t xml:space="preserve">Grant Sanctioned </t>
  </si>
  <si>
    <t>Grant received during the current quarter</t>
  </si>
  <si>
    <t>Grant received till the end of previous quarter</t>
  </si>
  <si>
    <t xml:space="preserve">Cumulative Grant received </t>
  </si>
  <si>
    <t>Grant utilised till the end of current quarter</t>
  </si>
  <si>
    <t>Grant utilised till the end of previous quarter</t>
  </si>
  <si>
    <t xml:space="preserve">Cumulative Grant utilised </t>
  </si>
  <si>
    <t>Balance of Grant carried forward to next quarter</t>
  </si>
  <si>
    <t>a.</t>
  </si>
  <si>
    <t xml:space="preserve">Physical &amp; Financial progress </t>
  </si>
  <si>
    <t>b.</t>
  </si>
  <si>
    <t>Cumulative Labor Payment</t>
  </si>
  <si>
    <t>c.</t>
  </si>
  <si>
    <t xml:space="preserve">Supervision payment </t>
  </si>
  <si>
    <t>d.</t>
  </si>
  <si>
    <t>Cum.Community contribution</t>
  </si>
  <si>
    <t xml:space="preserve">e. </t>
  </si>
  <si>
    <t>Shramdan %age (d/(b+d) X100</t>
  </si>
  <si>
    <t xml:space="preserve">Certificate </t>
  </si>
  <si>
    <t>Certified that  :-</t>
  </si>
  <si>
    <t>Sign of Watershed Secreatry (For Area Treatment)</t>
  </si>
  <si>
    <t xml:space="preserve">b. </t>
  </si>
  <si>
    <t xml:space="preserve">The items of expenditure mentioned in this progress report are suppot by proper </t>
  </si>
  <si>
    <t xml:space="preserve">documents and proper records and book of accounts have been maintained for the same. </t>
  </si>
  <si>
    <t>The statement and data presented in this report are true to the best of our knowledge.</t>
  </si>
  <si>
    <t>For the Village Watershed Committee</t>
  </si>
  <si>
    <t>For the NGO</t>
  </si>
  <si>
    <t>Except for the deviations mentioned on a separate sheet, area treatment mention</t>
  </si>
  <si>
    <t xml:space="preserve"> this progress report have been carried out</t>
  </si>
  <si>
    <t>according to the technical norms prescribed in sanctioned document and the condition of sanction.</t>
  </si>
  <si>
    <t>Details of funds</t>
  </si>
  <si>
    <t>S. No</t>
  </si>
  <si>
    <t>Treatment</t>
  </si>
  <si>
    <t>Grant Sanctioned</t>
  </si>
  <si>
    <t>Cum. Achievement upto last reporting period</t>
  </si>
  <si>
    <t>Achievement during current reporting period</t>
  </si>
  <si>
    <t>Unit cost (Rs)</t>
  </si>
  <si>
    <t>Area (ha)</t>
  </si>
  <si>
    <t>Labour</t>
  </si>
  <si>
    <t>Supervision</t>
  </si>
  <si>
    <t>Material</t>
  </si>
  <si>
    <t>Cost (Rs)</t>
  </si>
  <si>
    <t>Grant Amount (in Rs.)</t>
  </si>
  <si>
    <t>Area/unit completed (Cum)</t>
  </si>
  <si>
    <t xml:space="preserve">Total expenditure </t>
  </si>
  <si>
    <t>Area/unit (Cum.)</t>
  </si>
  <si>
    <t>Area/unit completed</t>
  </si>
  <si>
    <t>completed</t>
  </si>
  <si>
    <t>In prog.</t>
  </si>
  <si>
    <t>Sub Total (A)</t>
  </si>
  <si>
    <t>Sub Total (B)</t>
  </si>
  <si>
    <t>Management expenses</t>
  </si>
  <si>
    <t>Sub Total (C)</t>
  </si>
  <si>
    <t>Pre CBP expenses</t>
  </si>
  <si>
    <t>Please Note : Any difference is due to rounding off in Sum Totals.</t>
  </si>
  <si>
    <t xml:space="preserve">Management Cost </t>
  </si>
  <si>
    <t>Particular</t>
  </si>
  <si>
    <t>Details of Expenses Incurred</t>
  </si>
  <si>
    <t>1.Salaries</t>
  </si>
  <si>
    <t>a) Project Manager/Engineer/Community Organiser/Accountant cum Clerk</t>
  </si>
  <si>
    <t>b) Woman Coordinator</t>
  </si>
  <si>
    <t>2. Consultancy Charges (CBP/FR Preparation )</t>
  </si>
  <si>
    <t>3. Travelling Expenses/Transportation</t>
  </si>
  <si>
    <t>4. Inauguration Ceremony</t>
  </si>
  <si>
    <t xml:space="preserve">5. Monitoring Shramdaan </t>
  </si>
  <si>
    <t>6. Exposer Visite</t>
  </si>
  <si>
    <t>7. Office Expenses</t>
  </si>
  <si>
    <t>a. Printing &amp; Stationery</t>
  </si>
  <si>
    <t>b. Postage</t>
  </si>
  <si>
    <t>e.Computer Expenses</t>
  </si>
  <si>
    <t>f. Misc. (Meeting VWC) Photography</t>
  </si>
  <si>
    <t>Total Administration Expenses</t>
  </si>
  <si>
    <t>Amount Received</t>
  </si>
  <si>
    <t>Cash Balance</t>
  </si>
  <si>
    <t>NABARD</t>
  </si>
  <si>
    <t>CSR</t>
  </si>
  <si>
    <t xml:space="preserve">Cum. Achievement </t>
  </si>
  <si>
    <t xml:space="preserve">Community contibution (16% of the col l  in Rs) </t>
  </si>
  <si>
    <t>Farm Bund (FB)</t>
  </si>
  <si>
    <t xml:space="preserve">2) Amount spent till date (Rs) : </t>
  </si>
  <si>
    <t xml:space="preserve">3) Balance amount as on date (Rs) : </t>
  </si>
  <si>
    <t xml:space="preserve">1) Funds received for project treatment till date (Rs) : </t>
  </si>
  <si>
    <t>VWC president &amp; secretary along with Team leader of project must sign all the pages</t>
  </si>
  <si>
    <t xml:space="preserve">Total Treatable Area : </t>
  </si>
  <si>
    <t>Total Project Cost</t>
  </si>
  <si>
    <t>Community Contribution</t>
  </si>
  <si>
    <t>Sanctioned Grant</t>
  </si>
  <si>
    <t>Total Grant Released  :-</t>
  </si>
  <si>
    <t>NGO : GRAM SUDHAR SAMITI</t>
  </si>
  <si>
    <t>Name of the VWC : Watershed Committee LURGHUTI</t>
  </si>
  <si>
    <t>Name of the Watershed : LURGHUTI</t>
  </si>
  <si>
    <t>District / Block : SIDHI/KUSMI</t>
  </si>
  <si>
    <t>Name of Watershed:  LURGHUTI Watershed            Name of NGO: GRAM SUDHAR SAMITI</t>
  </si>
  <si>
    <t>Area Treatments</t>
  </si>
  <si>
    <t>Farm Pond (FP)</t>
  </si>
  <si>
    <t xml:space="preserve">Staggerd Contour Trench (SCT) </t>
  </si>
  <si>
    <t xml:space="preserve">Plantation (Agroforestry) </t>
  </si>
  <si>
    <t xml:space="preserve">Plantation (Horticulture) </t>
  </si>
  <si>
    <t xml:space="preserve">Earthen Gully Plug </t>
  </si>
  <si>
    <t>Boulder Gully Plug</t>
  </si>
  <si>
    <t xml:space="preserve">Waste Vier (Moghabandh) </t>
  </si>
  <si>
    <t>Drainage treatments</t>
  </si>
  <si>
    <t>A</t>
  </si>
  <si>
    <t>B</t>
  </si>
  <si>
    <t>Earthen Dam</t>
  </si>
  <si>
    <t>Check Dam</t>
  </si>
  <si>
    <t>Gabion Structure</t>
  </si>
  <si>
    <t>Climate proofing Activities</t>
  </si>
  <si>
    <t>C</t>
  </si>
  <si>
    <t xml:space="preserve"> Efficient use of water resources </t>
  </si>
  <si>
    <t>Soil fertility and productivity enhancement</t>
  </si>
  <si>
    <t xml:space="preserve">Sustainable farming practices </t>
  </si>
  <si>
    <t xml:space="preserve">Climate risk mitigation measures </t>
  </si>
  <si>
    <t xml:space="preserve">Landless women &amp; livelihood development </t>
  </si>
  <si>
    <t>D</t>
  </si>
  <si>
    <t>E</t>
  </si>
  <si>
    <t xml:space="preserve">Knowledge managemen t, capacity building, 
exposure visits and documentation </t>
  </si>
  <si>
    <t>Sub Total (D+E)</t>
  </si>
  <si>
    <t>F</t>
  </si>
  <si>
    <t>Sub Total (F)</t>
  </si>
  <si>
    <t>G</t>
  </si>
  <si>
    <t>Sub Total (G)</t>
  </si>
  <si>
    <t>Area Treatment (A+B+C+D+E+F+G)</t>
  </si>
  <si>
    <t>Phy. (CuM / No.)</t>
  </si>
  <si>
    <t>Cash Contribution</t>
  </si>
  <si>
    <t>Others (Addl. Incentive on successful completion of the project)</t>
  </si>
  <si>
    <t>Maintenance Fund (50% of shramadan)-FIP</t>
  </si>
  <si>
    <t>Name - Rajbahadur Singh</t>
  </si>
  <si>
    <t>Name - Rambahadur Singh</t>
  </si>
  <si>
    <t>Designation - President</t>
  </si>
  <si>
    <t>Place - Lurghuti</t>
  </si>
  <si>
    <t>Name - Brijendra Mishra</t>
  </si>
  <si>
    <t>Designation - Secreatry</t>
  </si>
  <si>
    <t>Place - Sidhi</t>
  </si>
  <si>
    <t>Expenses upto last reporting period</t>
  </si>
  <si>
    <t>Expenses during current reporting period</t>
  </si>
  <si>
    <t xml:space="preserve">Cumulative Expenses </t>
  </si>
  <si>
    <t>c. rent</t>
  </si>
  <si>
    <t>d. audit fee</t>
  </si>
  <si>
    <t>Quaterly Progress Report - FIP Till date 31.12.2024</t>
  </si>
  <si>
    <t>Date - 31.12.2024</t>
  </si>
  <si>
    <t>Total Unutilized grant as on reporting date: 31.12.2024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</si>
</sst>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* #,##0.000_);_(* \(#,##0.000\);_(* &quot;-&quot;??_);_(@_)"/>
    <numFmt numFmtId="167" formatCode="0.000"/>
  </numFmts>
  <fonts count="2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b/>
      <sz val="12"/>
      <color theme="1"/>
      <name val="Zurich Cn BT"/>
    </font>
    <font>
      <b/>
      <sz val="10"/>
      <color theme="1"/>
      <name val="Zurich Cn BT"/>
    </font>
    <font>
      <b/>
      <sz val="10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FF0000"/>
      <name val="Arial"/>
      <family val="2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8" fillId="0" borderId="3" xfId="0" applyFont="1" applyBorder="1"/>
    <xf numFmtId="0" fontId="10" fillId="0" borderId="3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1" fontId="8" fillId="0" borderId="3" xfId="0" applyNumberFormat="1" applyFont="1" applyBorder="1"/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1" xfId="1" applyNumberFormat="1" applyFont="1" applyBorder="1" applyAlignment="1">
      <alignment vertical="center" wrapText="1"/>
    </xf>
    <xf numFmtId="164" fontId="13" fillId="0" borderId="1" xfId="1" applyNumberFormat="1" applyFont="1" applyFill="1" applyBorder="1" applyAlignment="1">
      <alignment vertical="center" wrapText="1"/>
    </xf>
    <xf numFmtId="164" fontId="13" fillId="0" borderId="1" xfId="0" applyNumberFormat="1" applyFont="1" applyBorder="1" applyAlignment="1">
      <alignment horizontal="right" vertical="center" wrapText="1"/>
    </xf>
    <xf numFmtId="164" fontId="2" fillId="0" borderId="1" xfId="1" applyNumberFormat="1" applyFont="1" applyBorder="1" applyAlignment="1">
      <alignment vertical="center" wrapText="1"/>
    </xf>
    <xf numFmtId="164" fontId="11" fillId="0" borderId="1" xfId="1" applyNumberFormat="1" applyFont="1" applyFill="1" applyBorder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/>
    <xf numFmtId="0" fontId="15" fillId="0" borderId="0" xfId="0" applyFont="1"/>
    <xf numFmtId="43" fontId="3" fillId="0" borderId="3" xfId="1" applyFont="1" applyBorder="1" applyAlignment="1">
      <alignment vertical="center" wrapText="1"/>
    </xf>
    <xf numFmtId="166" fontId="3" fillId="0" borderId="3" xfId="1" applyNumberFormat="1" applyFont="1" applyBorder="1" applyAlignment="1">
      <alignment vertical="center" wrapText="1"/>
    </xf>
    <xf numFmtId="0" fontId="16" fillId="0" borderId="3" xfId="0" applyFont="1" applyBorder="1"/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64" fontId="3" fillId="0" borderId="3" xfId="1" applyNumberFormat="1" applyFont="1" applyBorder="1" applyAlignment="1">
      <alignment vertical="center" wrapText="1"/>
    </xf>
    <xf numFmtId="2" fontId="17" fillId="0" borderId="3" xfId="0" applyNumberFormat="1" applyFont="1" applyBorder="1" applyAlignment="1">
      <alignment vertical="center" wrapText="1"/>
    </xf>
    <xf numFmtId="167" fontId="17" fillId="0" borderId="3" xfId="0" applyNumberFormat="1" applyFont="1" applyBorder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2" fontId="2" fillId="3" borderId="3" xfId="0" applyNumberFormat="1" applyFont="1" applyFill="1" applyBorder="1" applyAlignment="1">
      <alignment vertical="center" wrapText="1"/>
    </xf>
    <xf numFmtId="0" fontId="19" fillId="0" borderId="3" xfId="0" applyFont="1" applyBorder="1" applyAlignment="1">
      <alignment vertical="center" wrapText="1"/>
    </xf>
    <xf numFmtId="164" fontId="2" fillId="0" borderId="3" xfId="1" applyNumberFormat="1" applyFont="1" applyBorder="1" applyAlignment="1">
      <alignment vertical="center" wrapText="1"/>
    </xf>
    <xf numFmtId="165" fontId="3" fillId="0" borderId="3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3" xfId="0" applyFont="1" applyBorder="1"/>
    <xf numFmtId="1" fontId="2" fillId="0" borderId="3" xfId="0" applyNumberFormat="1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1" fontId="1" fillId="0" borderId="3" xfId="0" applyNumberFormat="1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1" fontId="16" fillId="0" borderId="3" xfId="0" applyNumberFormat="1" applyFont="1" applyBorder="1" applyAlignment="1">
      <alignment vertical="center" wrapText="1"/>
    </xf>
    <xf numFmtId="1" fontId="2" fillId="3" borderId="3" xfId="0" applyNumberFormat="1" applyFont="1" applyFill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20" fillId="0" borderId="3" xfId="0" applyFont="1" applyBorder="1"/>
    <xf numFmtId="0" fontId="1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vertical="center" wrapText="1"/>
    </xf>
    <xf numFmtId="164" fontId="11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64" fontId="17" fillId="0" borderId="3" xfId="1" applyNumberFormat="1" applyFon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/>
    </xf>
    <xf numFmtId="2" fontId="17" fillId="0" borderId="3" xfId="0" applyNumberFormat="1" applyFont="1" applyBorder="1" applyAlignment="1">
      <alignment horizontal="center" vertical="center" wrapText="1"/>
    </xf>
    <xf numFmtId="43" fontId="17" fillId="0" borderId="3" xfId="1" applyFont="1" applyBorder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3" borderId="3" xfId="0" applyNumberFormat="1" applyFont="1" applyFill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4" borderId="0" xfId="0" applyFill="1"/>
    <xf numFmtId="0" fontId="1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9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0" fillId="4" borderId="3" xfId="0" applyFill="1" applyBorder="1"/>
    <xf numFmtId="1" fontId="19" fillId="3" borderId="3" xfId="0" applyNumberFormat="1" applyFont="1" applyFill="1" applyBorder="1" applyAlignment="1">
      <alignment vertical="center" wrapText="1"/>
    </xf>
    <xf numFmtId="10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G54"/>
  <sheetViews>
    <sheetView tabSelected="1" workbookViewId="0">
      <selection activeCell="C10" sqref="C10"/>
    </sheetView>
  </sheetViews>
  <sheetFormatPr defaultRowHeight="14.5"/>
  <cols>
    <col min="1" max="1" width="6.81640625" customWidth="1"/>
    <col min="2" max="2" width="45.81640625" customWidth="1"/>
    <col min="3" max="3" width="15.453125" customWidth="1"/>
    <col min="4" max="6" width="18.54296875" customWidth="1"/>
    <col min="7" max="7" width="11" customWidth="1"/>
    <col min="8" max="8" width="14" customWidth="1"/>
  </cols>
  <sheetData>
    <row r="2" spans="1:7">
      <c r="A2" s="91" t="s">
        <v>145</v>
      </c>
      <c r="B2" s="91"/>
      <c r="C2" s="91"/>
      <c r="D2" s="91"/>
      <c r="E2" s="91"/>
      <c r="F2" s="91"/>
      <c r="G2" s="91"/>
    </row>
    <row r="4" spans="1:7">
      <c r="A4" t="s">
        <v>96</v>
      </c>
      <c r="E4" t="s">
        <v>89</v>
      </c>
      <c r="F4">
        <v>1027.29</v>
      </c>
    </row>
    <row r="5" spans="1:7">
      <c r="A5" t="s">
        <v>97</v>
      </c>
    </row>
    <row r="6" spans="1:7">
      <c r="A6" t="s">
        <v>95</v>
      </c>
      <c r="E6" t="s">
        <v>94</v>
      </c>
    </row>
    <row r="7" spans="1:7">
      <c r="A7" t="s">
        <v>90</v>
      </c>
      <c r="C7">
        <v>20042102</v>
      </c>
    </row>
    <row r="8" spans="1:7">
      <c r="A8" t="s">
        <v>91</v>
      </c>
      <c r="C8">
        <v>1067806</v>
      </c>
    </row>
    <row r="9" spans="1:7">
      <c r="A9" t="s">
        <v>92</v>
      </c>
      <c r="C9">
        <v>18620856</v>
      </c>
    </row>
    <row r="10" spans="1:7">
      <c r="A10" t="s">
        <v>93</v>
      </c>
      <c r="C10">
        <v>14766369</v>
      </c>
    </row>
    <row r="11" spans="1:7">
      <c r="A11" t="s">
        <v>147</v>
      </c>
      <c r="C11" s="77">
        <f>G22</f>
        <v>816056</v>
      </c>
      <c r="D11" s="77"/>
    </row>
    <row r="12" spans="1:7">
      <c r="G12" t="s">
        <v>0</v>
      </c>
    </row>
    <row r="13" spans="1:7" ht="30" customHeight="1">
      <c r="A13" s="92" t="s">
        <v>1</v>
      </c>
      <c r="B13" s="92" t="s">
        <v>2</v>
      </c>
      <c r="C13" s="94" t="s">
        <v>3</v>
      </c>
      <c r="D13" s="95"/>
      <c r="E13" s="94" t="s">
        <v>4</v>
      </c>
      <c r="F13" s="95"/>
      <c r="G13" s="96" t="s">
        <v>5</v>
      </c>
    </row>
    <row r="14" spans="1:7">
      <c r="A14" s="93"/>
      <c r="B14" s="93"/>
      <c r="C14" s="10" t="s">
        <v>80</v>
      </c>
      <c r="D14" s="11" t="s">
        <v>81</v>
      </c>
      <c r="E14" s="10" t="s">
        <v>80</v>
      </c>
      <c r="F14" s="11" t="s">
        <v>81</v>
      </c>
      <c r="G14" s="97"/>
    </row>
    <row r="15" spans="1:7">
      <c r="A15" s="10">
        <v>1</v>
      </c>
      <c r="B15" s="9" t="s">
        <v>6</v>
      </c>
      <c r="C15" s="9">
        <v>15507782</v>
      </c>
      <c r="D15" s="9">
        <v>0</v>
      </c>
      <c r="E15" s="9">
        <v>3113074</v>
      </c>
      <c r="F15" s="9">
        <v>0</v>
      </c>
      <c r="G15" s="9">
        <f>E15+C15</f>
        <v>18620856</v>
      </c>
    </row>
    <row r="16" spans="1:7">
      <c r="A16" s="10">
        <v>2</v>
      </c>
      <c r="B16" s="9" t="s">
        <v>7</v>
      </c>
      <c r="C16" s="9">
        <v>0</v>
      </c>
      <c r="D16" s="9">
        <v>0</v>
      </c>
      <c r="E16" s="9">
        <v>0</v>
      </c>
      <c r="F16" s="9">
        <v>0</v>
      </c>
      <c r="G16" s="9">
        <f>E16+C16</f>
        <v>0</v>
      </c>
    </row>
    <row r="17" spans="1:7">
      <c r="A17" s="10">
        <v>3</v>
      </c>
      <c r="B17" s="9" t="s">
        <v>8</v>
      </c>
      <c r="C17" s="9">
        <v>12423047</v>
      </c>
      <c r="D17" s="9">
        <v>0</v>
      </c>
      <c r="E17" s="9">
        <v>2343322</v>
      </c>
      <c r="F17" s="9">
        <v>0</v>
      </c>
      <c r="G17" s="9">
        <f>C17+E17</f>
        <v>14766369</v>
      </c>
    </row>
    <row r="18" spans="1:7">
      <c r="A18" s="10">
        <v>4</v>
      </c>
      <c r="B18" s="9" t="s">
        <v>9</v>
      </c>
      <c r="C18" s="12">
        <f>SUM(C16:C17)</f>
        <v>12423047</v>
      </c>
      <c r="D18" s="12">
        <f>SUM(D16:D17)</f>
        <v>0</v>
      </c>
      <c r="E18" s="12">
        <f>SUM(E16:E17)</f>
        <v>2343322</v>
      </c>
      <c r="F18" s="12">
        <f>SUM(F16:F17)</f>
        <v>0</v>
      </c>
      <c r="G18" s="12">
        <f t="shared" ref="G18:G22" si="0">C18+E18</f>
        <v>14766369</v>
      </c>
    </row>
    <row r="19" spans="1:7">
      <c r="A19" s="10">
        <v>5</v>
      </c>
      <c r="B19" s="9" t="s">
        <v>10</v>
      </c>
      <c r="C19" s="9">
        <v>1458237</v>
      </c>
      <c r="D19" s="9">
        <v>0</v>
      </c>
      <c r="E19" s="85">
        <v>151978</v>
      </c>
      <c r="F19" s="9">
        <v>0</v>
      </c>
      <c r="G19" s="9">
        <f t="shared" si="0"/>
        <v>1610215</v>
      </c>
    </row>
    <row r="20" spans="1:7">
      <c r="A20" s="10">
        <v>6</v>
      </c>
      <c r="B20" s="9" t="s">
        <v>11</v>
      </c>
      <c r="C20" s="9">
        <v>10148754</v>
      </c>
      <c r="D20" s="9">
        <v>0</v>
      </c>
      <c r="E20" s="9">
        <v>2191344</v>
      </c>
      <c r="F20" s="9">
        <v>0</v>
      </c>
      <c r="G20" s="9">
        <f t="shared" si="0"/>
        <v>12340098</v>
      </c>
    </row>
    <row r="21" spans="1:7">
      <c r="A21" s="10">
        <v>7</v>
      </c>
      <c r="B21" s="9" t="s">
        <v>12</v>
      </c>
      <c r="C21" s="15">
        <f>SUM(C19:C20)</f>
        <v>11606991</v>
      </c>
      <c r="D21" s="12">
        <f>SUM(D19:D20)</f>
        <v>0</v>
      </c>
      <c r="E21" s="12">
        <f>SUM(E19:E20)</f>
        <v>2343322</v>
      </c>
      <c r="F21" s="12">
        <f>SUM(F19:F20)</f>
        <v>0</v>
      </c>
      <c r="G21" s="12">
        <f t="shared" si="0"/>
        <v>13950313</v>
      </c>
    </row>
    <row r="22" spans="1:7">
      <c r="A22" s="10">
        <v>8</v>
      </c>
      <c r="B22" s="9" t="s">
        <v>13</v>
      </c>
      <c r="C22" s="15">
        <f>C18-C21</f>
        <v>816056</v>
      </c>
      <c r="D22" s="12">
        <f>D18-D21</f>
        <v>0</v>
      </c>
      <c r="E22" s="12">
        <f>E18-E21</f>
        <v>0</v>
      </c>
      <c r="F22" s="12">
        <f>F18-F21</f>
        <v>0</v>
      </c>
      <c r="G22" s="12">
        <f t="shared" si="0"/>
        <v>816056</v>
      </c>
    </row>
    <row r="23" spans="1:7">
      <c r="A23" s="9" t="s">
        <v>14</v>
      </c>
      <c r="B23" s="9" t="s">
        <v>15</v>
      </c>
      <c r="C23" s="90"/>
      <c r="D23" s="88"/>
      <c r="E23" s="88"/>
      <c r="F23" s="88"/>
      <c r="G23" s="89"/>
    </row>
    <row r="24" spans="1:7">
      <c r="A24" s="9" t="s">
        <v>16</v>
      </c>
      <c r="B24" s="9" t="s">
        <v>17</v>
      </c>
      <c r="C24" s="90">
        <v>3728282</v>
      </c>
      <c r="D24" s="88"/>
      <c r="E24" s="88"/>
      <c r="F24" s="88"/>
      <c r="G24" s="89"/>
    </row>
    <row r="25" spans="1:7">
      <c r="A25" s="9" t="s">
        <v>18</v>
      </c>
      <c r="B25" s="9" t="s">
        <v>19</v>
      </c>
      <c r="C25" s="90">
        <v>373940</v>
      </c>
      <c r="D25" s="88"/>
      <c r="E25" s="88"/>
      <c r="F25" s="88"/>
      <c r="G25" s="89"/>
    </row>
    <row r="26" spans="1:7">
      <c r="A26" s="9" t="s">
        <v>20</v>
      </c>
      <c r="B26" s="9" t="s">
        <v>21</v>
      </c>
      <c r="C26" s="90">
        <v>788350</v>
      </c>
      <c r="D26" s="88"/>
      <c r="E26" s="88"/>
      <c r="F26" s="88"/>
      <c r="G26" s="89"/>
    </row>
    <row r="27" spans="1:7">
      <c r="A27" s="9" t="s">
        <v>22</v>
      </c>
      <c r="B27" s="9" t="s">
        <v>23</v>
      </c>
      <c r="C27" s="87">
        <v>0.17449999999999999</v>
      </c>
      <c r="D27" s="88"/>
      <c r="E27" s="88"/>
      <c r="F27" s="88"/>
      <c r="G27" s="89"/>
    </row>
    <row r="31" spans="1:7">
      <c r="A31" t="s">
        <v>24</v>
      </c>
    </row>
    <row r="32" spans="1:7">
      <c r="B32" t="s">
        <v>25</v>
      </c>
    </row>
    <row r="34" spans="1:6">
      <c r="A34" t="s">
        <v>14</v>
      </c>
      <c r="B34" t="s">
        <v>33</v>
      </c>
    </row>
    <row r="35" spans="1:6">
      <c r="B35" t="s">
        <v>34</v>
      </c>
    </row>
    <row r="36" spans="1:6">
      <c r="B36" t="s">
        <v>35</v>
      </c>
    </row>
    <row r="38" spans="1:6">
      <c r="B38" s="25" t="s">
        <v>88</v>
      </c>
    </row>
    <row r="41" spans="1:6">
      <c r="B41" t="s">
        <v>26</v>
      </c>
    </row>
    <row r="42" spans="1:6">
      <c r="B42" t="s">
        <v>133</v>
      </c>
    </row>
    <row r="44" spans="1:6">
      <c r="A44" t="s">
        <v>27</v>
      </c>
      <c r="B44" t="s">
        <v>28</v>
      </c>
    </row>
    <row r="45" spans="1:6">
      <c r="B45" t="s">
        <v>29</v>
      </c>
    </row>
    <row r="46" spans="1:6">
      <c r="B46" t="s">
        <v>30</v>
      </c>
    </row>
    <row r="48" spans="1:6">
      <c r="B48" t="s">
        <v>31</v>
      </c>
      <c r="F48" t="s">
        <v>32</v>
      </c>
    </row>
    <row r="51" spans="2:6">
      <c r="B51" t="s">
        <v>134</v>
      </c>
      <c r="F51" t="s">
        <v>137</v>
      </c>
    </row>
    <row r="52" spans="2:6">
      <c r="B52" t="s">
        <v>135</v>
      </c>
      <c r="F52" t="s">
        <v>138</v>
      </c>
    </row>
    <row r="53" spans="2:6">
      <c r="B53" t="s">
        <v>136</v>
      </c>
      <c r="F53" t="s">
        <v>139</v>
      </c>
    </row>
    <row r="54" spans="2:6">
      <c r="B54" t="s">
        <v>146</v>
      </c>
      <c r="F54" t="s">
        <v>146</v>
      </c>
    </row>
  </sheetData>
  <mergeCells count="11">
    <mergeCell ref="A2:G2"/>
    <mergeCell ref="A13:A14"/>
    <mergeCell ref="B13:B14"/>
    <mergeCell ref="C13:D13"/>
    <mergeCell ref="E13:F13"/>
    <mergeCell ref="G13:G14"/>
    <mergeCell ref="C27:G27"/>
    <mergeCell ref="C25:G25"/>
    <mergeCell ref="C23:G23"/>
    <mergeCell ref="C24:G24"/>
    <mergeCell ref="C26:G26"/>
  </mergeCells>
  <pageMargins left="0.70866141732283472" right="0.70866141732283472" top="0.74803149606299213" bottom="0.74803149606299213" header="0.31496062992125984" footer="0.31496062992125984"/>
  <pageSetup paperSize="9" scale="64" orientation="portrait" r:id="rId1"/>
  <ignoredErrors>
    <ignoredError sqref="C18:D18 E18:F1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2:AE43"/>
  <sheetViews>
    <sheetView zoomScale="110" zoomScaleNormal="110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I9" sqref="I9"/>
    </sheetView>
  </sheetViews>
  <sheetFormatPr defaultRowHeight="14.5"/>
  <cols>
    <col min="2" max="2" width="4" customWidth="1"/>
    <col min="3" max="3" width="36.1796875" customWidth="1"/>
    <col min="4" max="4" width="9" bestFit="1" customWidth="1"/>
    <col min="8" max="8" width="10.453125" customWidth="1"/>
    <col min="9" max="9" width="9.453125" bestFit="1" customWidth="1"/>
    <col min="10" max="10" width="12.453125" customWidth="1"/>
    <col min="11" max="11" width="12.1796875" customWidth="1"/>
    <col min="12" max="13" width="11.1796875" customWidth="1"/>
    <col min="14" max="14" width="11.54296875" bestFit="1" customWidth="1"/>
    <col min="22" max="22" width="9.1796875" customWidth="1"/>
    <col min="24" max="24" width="9.1796875" customWidth="1"/>
  </cols>
  <sheetData>
    <row r="2" spans="2:31">
      <c r="B2" s="100" t="s">
        <v>98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</row>
    <row r="3" spans="2:31">
      <c r="B3" s="100" t="s">
        <v>36</v>
      </c>
      <c r="C3" s="100"/>
      <c r="D3" s="5" t="s">
        <v>87</v>
      </c>
      <c r="E3" s="3"/>
      <c r="F3" s="3"/>
      <c r="G3" s="3"/>
      <c r="H3" s="3"/>
      <c r="I3" s="3">
        <v>14766369</v>
      </c>
      <c r="J3" s="3"/>
      <c r="K3" s="3"/>
      <c r="L3" s="16"/>
      <c r="M3" s="16"/>
      <c r="N3" s="13"/>
      <c r="O3" s="14"/>
      <c r="P3" s="14"/>
      <c r="Q3" s="14"/>
      <c r="R3" s="3"/>
      <c r="S3" s="3"/>
      <c r="T3" s="3"/>
      <c r="U3" s="3"/>
      <c r="V3" s="3"/>
      <c r="W3" s="1"/>
      <c r="X3" s="1"/>
      <c r="Y3" s="1"/>
      <c r="AD3" s="1"/>
      <c r="AE3" s="1"/>
    </row>
    <row r="4" spans="2:31" ht="19.5" customHeight="1">
      <c r="B4" s="3"/>
      <c r="C4" s="1"/>
      <c r="D4" s="5" t="s">
        <v>85</v>
      </c>
      <c r="E4" s="3"/>
      <c r="F4" s="3"/>
      <c r="G4" s="17"/>
      <c r="H4" s="17"/>
      <c r="I4" s="77">
        <v>13950313</v>
      </c>
      <c r="J4" s="3"/>
      <c r="K4" s="3"/>
      <c r="L4" s="3"/>
      <c r="M4" s="3"/>
      <c r="N4" s="3"/>
      <c r="O4" s="3"/>
      <c r="P4" s="1"/>
      <c r="Q4" s="5"/>
      <c r="R4" s="3"/>
      <c r="S4" s="3"/>
      <c r="T4" s="3"/>
      <c r="U4" s="3"/>
      <c r="V4" s="3"/>
      <c r="W4" s="1"/>
      <c r="X4" s="1"/>
      <c r="Y4" s="1"/>
      <c r="Z4" s="1"/>
      <c r="AA4" s="1"/>
      <c r="AB4" s="1"/>
      <c r="AC4" s="1"/>
      <c r="AD4" s="1"/>
      <c r="AE4" s="1"/>
    </row>
    <row r="5" spans="2:31">
      <c r="B5" s="3"/>
      <c r="C5" s="1"/>
      <c r="D5" s="5" t="s">
        <v>86</v>
      </c>
      <c r="E5" s="3"/>
      <c r="F5" s="3"/>
      <c r="G5" s="3"/>
      <c r="H5" s="3"/>
      <c r="I5" s="77">
        <f>I3-I4</f>
        <v>816056</v>
      </c>
      <c r="J5" s="77"/>
      <c r="K5" s="3"/>
      <c r="L5" s="3"/>
      <c r="M5" s="3"/>
      <c r="N5" s="3"/>
      <c r="O5" s="3"/>
      <c r="P5" s="1"/>
      <c r="Q5" s="5"/>
      <c r="R5" s="3"/>
      <c r="S5" s="3"/>
      <c r="T5" s="3"/>
      <c r="U5" s="3"/>
      <c r="V5" s="3"/>
      <c r="W5" s="1"/>
      <c r="X5" s="1"/>
      <c r="Y5" s="1"/>
      <c r="Z5" s="1"/>
      <c r="AA5" s="1"/>
      <c r="AB5" s="1"/>
      <c r="AC5" s="1"/>
      <c r="AD5" s="1"/>
      <c r="AE5" s="1"/>
    </row>
    <row r="6" spans="2:31">
      <c r="B6" s="98" t="s">
        <v>37</v>
      </c>
      <c r="C6" s="98" t="s">
        <v>38</v>
      </c>
      <c r="D6" s="98" t="s">
        <v>39</v>
      </c>
      <c r="E6" s="98"/>
      <c r="F6" s="98"/>
      <c r="G6" s="98"/>
      <c r="H6" s="98"/>
      <c r="I6" s="98"/>
      <c r="J6" s="98"/>
      <c r="K6" s="98"/>
      <c r="L6" s="98"/>
      <c r="M6" s="98"/>
      <c r="N6" s="98"/>
      <c r="O6" s="98" t="s">
        <v>40</v>
      </c>
      <c r="P6" s="98"/>
      <c r="Q6" s="98"/>
      <c r="R6" s="98"/>
      <c r="S6" s="98"/>
      <c r="T6" s="98" t="s">
        <v>41</v>
      </c>
      <c r="U6" s="98"/>
      <c r="V6" s="98"/>
      <c r="W6" s="98"/>
      <c r="X6" s="98"/>
      <c r="Y6" s="98"/>
      <c r="Z6" s="29"/>
      <c r="AA6" s="98" t="s">
        <v>82</v>
      </c>
      <c r="AB6" s="98"/>
      <c r="AC6" s="98"/>
      <c r="AD6" s="98"/>
      <c r="AE6" s="98"/>
    </row>
    <row r="7" spans="2:31" ht="23.25" customHeight="1">
      <c r="B7" s="98"/>
      <c r="C7" s="98"/>
      <c r="D7" s="98" t="s">
        <v>42</v>
      </c>
      <c r="E7" s="98" t="s">
        <v>43</v>
      </c>
      <c r="F7" s="101" t="s">
        <v>129</v>
      </c>
      <c r="G7" s="101" t="s">
        <v>129</v>
      </c>
      <c r="H7" s="99" t="s">
        <v>44</v>
      </c>
      <c r="I7" s="99" t="s">
        <v>45</v>
      </c>
      <c r="J7" s="99" t="s">
        <v>46</v>
      </c>
      <c r="K7" s="99" t="s">
        <v>47</v>
      </c>
      <c r="L7" s="99" t="s">
        <v>83</v>
      </c>
      <c r="M7" s="99" t="s">
        <v>130</v>
      </c>
      <c r="N7" s="99" t="s">
        <v>48</v>
      </c>
      <c r="O7" s="99" t="s">
        <v>49</v>
      </c>
      <c r="P7" s="99" t="s">
        <v>44</v>
      </c>
      <c r="Q7" s="99" t="s">
        <v>46</v>
      </c>
      <c r="R7" s="99" t="s">
        <v>45</v>
      </c>
      <c r="S7" s="99" t="s">
        <v>50</v>
      </c>
      <c r="T7" s="99" t="s">
        <v>51</v>
      </c>
      <c r="U7" s="99"/>
      <c r="V7" s="99" t="s">
        <v>44</v>
      </c>
      <c r="W7" s="99" t="s">
        <v>46</v>
      </c>
      <c r="X7" s="99" t="s">
        <v>45</v>
      </c>
      <c r="Y7" s="99" t="s">
        <v>50</v>
      </c>
      <c r="Z7" s="98" t="s">
        <v>43</v>
      </c>
      <c r="AA7" s="99" t="s">
        <v>52</v>
      </c>
      <c r="AB7" s="99" t="s">
        <v>44</v>
      </c>
      <c r="AC7" s="99" t="s">
        <v>46</v>
      </c>
      <c r="AD7" s="99" t="s">
        <v>45</v>
      </c>
      <c r="AE7" s="99" t="s">
        <v>50</v>
      </c>
    </row>
    <row r="8" spans="2:31">
      <c r="B8" s="98"/>
      <c r="C8" s="98"/>
      <c r="D8" s="98"/>
      <c r="E8" s="98"/>
      <c r="F8" s="101"/>
      <c r="G8" s="101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30" t="s">
        <v>53</v>
      </c>
      <c r="U8" s="30" t="s">
        <v>54</v>
      </c>
      <c r="V8" s="99"/>
      <c r="W8" s="99"/>
      <c r="X8" s="99"/>
      <c r="Y8" s="99"/>
      <c r="Z8" s="98"/>
      <c r="AA8" s="99"/>
      <c r="AB8" s="99"/>
      <c r="AC8" s="99"/>
      <c r="AD8" s="99"/>
      <c r="AE8" s="99"/>
    </row>
    <row r="9" spans="2:31">
      <c r="B9" s="31" t="s">
        <v>108</v>
      </c>
      <c r="C9" s="29" t="s">
        <v>99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</row>
    <row r="10" spans="2:31">
      <c r="B10" s="30">
        <v>1</v>
      </c>
      <c r="C10" s="32" t="s">
        <v>100</v>
      </c>
      <c r="D10" s="26">
        <v>221967.3</v>
      </c>
      <c r="E10" s="30"/>
      <c r="F10" s="67">
        <v>10</v>
      </c>
      <c r="G10" s="67">
        <v>10</v>
      </c>
      <c r="H10" s="68">
        <v>2092921</v>
      </c>
      <c r="I10" s="69">
        <v>0</v>
      </c>
      <c r="J10" s="10">
        <v>126752</v>
      </c>
      <c r="K10" s="69">
        <f>J10+I10+H10</f>
        <v>2219673</v>
      </c>
      <c r="L10" s="10">
        <v>334867</v>
      </c>
      <c r="M10" s="34">
        <v>0</v>
      </c>
      <c r="N10" s="33">
        <f>K10-L10</f>
        <v>1884806</v>
      </c>
      <c r="O10" s="53">
        <v>10</v>
      </c>
      <c r="P10" s="53">
        <f>667041+145517+634876+46200+43800+197100+19000</f>
        <v>1753534</v>
      </c>
      <c r="Q10" s="53">
        <f>26500+25260+47480+16000+6000+9360+670</f>
        <v>131270</v>
      </c>
      <c r="R10" s="53">
        <v>0</v>
      </c>
      <c r="S10" s="53">
        <f>R10+Q10+P10</f>
        <v>1884804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f>X10+W10+V10</f>
        <v>0</v>
      </c>
      <c r="Z10" s="30"/>
      <c r="AA10" s="30">
        <f>T10+O10</f>
        <v>10</v>
      </c>
      <c r="AB10" s="30">
        <f>V10+P10</f>
        <v>1753534</v>
      </c>
      <c r="AC10" s="30">
        <f>W10+Q10</f>
        <v>131270</v>
      </c>
      <c r="AD10" s="30">
        <f>X10+R11</f>
        <v>0</v>
      </c>
      <c r="AE10" s="30">
        <f>AC10+AB10</f>
        <v>1884804</v>
      </c>
    </row>
    <row r="11" spans="2:31">
      <c r="B11" s="30">
        <v>2</v>
      </c>
      <c r="C11" s="32" t="s">
        <v>101</v>
      </c>
      <c r="D11" s="27">
        <v>164.53299999999999</v>
      </c>
      <c r="E11" s="30"/>
      <c r="F11" s="67">
        <v>750</v>
      </c>
      <c r="G11" s="67">
        <v>750</v>
      </c>
      <c r="H11" s="10">
        <v>119400</v>
      </c>
      <c r="I11" s="69">
        <v>0</v>
      </c>
      <c r="J11" s="10">
        <v>4000</v>
      </c>
      <c r="K11" s="69">
        <f t="shared" ref="K11:K17" si="0">J11+I11+H11</f>
        <v>123400</v>
      </c>
      <c r="L11" s="10">
        <v>19104</v>
      </c>
      <c r="M11" s="34">
        <v>0</v>
      </c>
      <c r="N11" s="33">
        <f t="shared" ref="N11:N17" si="1">K11-L11</f>
        <v>104296</v>
      </c>
      <c r="O11" s="53">
        <v>750</v>
      </c>
      <c r="P11" s="53">
        <f>50148+50100</f>
        <v>100248</v>
      </c>
      <c r="Q11" s="53">
        <f>0+4000</f>
        <v>4000</v>
      </c>
      <c r="R11" s="53">
        <v>0</v>
      </c>
      <c r="S11" s="53">
        <f t="shared" ref="S11:S17" si="2">R11+Q11+P11</f>
        <v>104248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f t="shared" ref="Y11:Y17" si="3">X11+W11+V11</f>
        <v>0</v>
      </c>
      <c r="Z11" s="30"/>
      <c r="AA11" s="30">
        <f t="shared" ref="AA11:AA17" si="4">T11+O11</f>
        <v>750</v>
      </c>
      <c r="AB11" s="30">
        <f t="shared" ref="AB11:AB17" si="5">V11+P11</f>
        <v>100248</v>
      </c>
      <c r="AC11" s="30">
        <f t="shared" ref="AC11:AC17" si="6">W11+Q11</f>
        <v>4000</v>
      </c>
      <c r="AD11" s="30">
        <f t="shared" ref="AD11:AD16" si="7">X11+R12</f>
        <v>0</v>
      </c>
      <c r="AE11" s="30">
        <f t="shared" ref="AE11:AE17" si="8">AC11+AB11</f>
        <v>104248</v>
      </c>
    </row>
    <row r="12" spans="2:31">
      <c r="B12" s="30">
        <v>3</v>
      </c>
      <c r="C12" s="32" t="s">
        <v>84</v>
      </c>
      <c r="D12" s="28">
        <v>156.7894</v>
      </c>
      <c r="E12" s="30"/>
      <c r="F12" s="67">
        <v>19</v>
      </c>
      <c r="G12" s="67">
        <v>2280</v>
      </c>
      <c r="H12" s="10">
        <v>349980</v>
      </c>
      <c r="I12" s="69">
        <v>0</v>
      </c>
      <c r="J12" s="10">
        <v>3000</v>
      </c>
      <c r="K12" s="69">
        <f t="shared" si="0"/>
        <v>352980</v>
      </c>
      <c r="L12" s="10">
        <v>55997</v>
      </c>
      <c r="M12" s="34">
        <v>0</v>
      </c>
      <c r="N12" s="33">
        <f t="shared" si="1"/>
        <v>296983</v>
      </c>
      <c r="O12" s="53">
        <v>19</v>
      </c>
      <c r="P12" s="53">
        <f>153900+92340+47700</f>
        <v>293940</v>
      </c>
      <c r="Q12" s="53">
        <f>0+3000</f>
        <v>3000</v>
      </c>
      <c r="R12" s="53">
        <v>0</v>
      </c>
      <c r="S12" s="53">
        <f t="shared" si="2"/>
        <v>296940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f t="shared" si="3"/>
        <v>0</v>
      </c>
      <c r="Z12" s="30"/>
      <c r="AA12" s="30">
        <f t="shared" si="4"/>
        <v>19</v>
      </c>
      <c r="AB12" s="30">
        <f t="shared" si="5"/>
        <v>293940</v>
      </c>
      <c r="AC12" s="30">
        <f t="shared" si="6"/>
        <v>3000</v>
      </c>
      <c r="AD12" s="30">
        <f t="shared" si="7"/>
        <v>0</v>
      </c>
      <c r="AE12" s="30">
        <f t="shared" si="8"/>
        <v>296940</v>
      </c>
    </row>
    <row r="13" spans="2:31">
      <c r="B13" s="30">
        <v>4</v>
      </c>
      <c r="C13" s="32" t="s">
        <v>102</v>
      </c>
      <c r="D13" s="26">
        <v>54.4</v>
      </c>
      <c r="E13" s="30"/>
      <c r="F13" s="67">
        <v>1600</v>
      </c>
      <c r="G13" s="67">
        <v>1600</v>
      </c>
      <c r="H13" s="10">
        <v>28240</v>
      </c>
      <c r="I13" s="69">
        <v>0</v>
      </c>
      <c r="J13" s="10">
        <v>58800</v>
      </c>
      <c r="K13" s="69">
        <f t="shared" si="0"/>
        <v>87040</v>
      </c>
      <c r="L13" s="10">
        <v>4518</v>
      </c>
      <c r="M13" s="34">
        <v>0</v>
      </c>
      <c r="N13" s="33">
        <f t="shared" si="1"/>
        <v>82522</v>
      </c>
      <c r="O13" s="53">
        <v>1750</v>
      </c>
      <c r="P13" s="53">
        <f>5985+11800+5900</f>
        <v>23685</v>
      </c>
      <c r="Q13" s="53">
        <f>12650+26600+19520</f>
        <v>58770</v>
      </c>
      <c r="R13" s="53">
        <v>0</v>
      </c>
      <c r="S13" s="53">
        <f t="shared" si="2"/>
        <v>82455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f t="shared" si="3"/>
        <v>0</v>
      </c>
      <c r="Z13" s="30"/>
      <c r="AA13" s="30">
        <f t="shared" si="4"/>
        <v>1750</v>
      </c>
      <c r="AB13" s="30">
        <f t="shared" si="5"/>
        <v>23685</v>
      </c>
      <c r="AC13" s="30">
        <f t="shared" si="6"/>
        <v>58770</v>
      </c>
      <c r="AD13" s="30">
        <f t="shared" si="7"/>
        <v>0</v>
      </c>
      <c r="AE13" s="30">
        <f t="shared" si="8"/>
        <v>82455</v>
      </c>
    </row>
    <row r="14" spans="2:31">
      <c r="B14" s="30">
        <v>5</v>
      </c>
      <c r="C14" s="32" t="s">
        <v>103</v>
      </c>
      <c r="D14" s="28">
        <v>79.337999999999994</v>
      </c>
      <c r="E14" s="30"/>
      <c r="F14" s="67">
        <v>1600</v>
      </c>
      <c r="G14" s="67">
        <v>1600</v>
      </c>
      <c r="H14" s="10">
        <v>42140</v>
      </c>
      <c r="I14" s="69">
        <v>0</v>
      </c>
      <c r="J14" s="10">
        <v>84800</v>
      </c>
      <c r="K14" s="69">
        <f t="shared" si="0"/>
        <v>126940</v>
      </c>
      <c r="L14" s="10">
        <v>6742</v>
      </c>
      <c r="M14" s="34">
        <v>0</v>
      </c>
      <c r="N14" s="33">
        <f t="shared" si="1"/>
        <v>120198</v>
      </c>
      <c r="O14" s="54">
        <v>1620</v>
      </c>
      <c r="P14" s="53">
        <f>8892+17600+8900</f>
        <v>35392</v>
      </c>
      <c r="Q14" s="53">
        <f>13820+34450+35770</f>
        <v>84040</v>
      </c>
      <c r="R14" s="53">
        <v>0</v>
      </c>
      <c r="S14" s="53">
        <f t="shared" si="2"/>
        <v>119432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f t="shared" si="3"/>
        <v>0</v>
      </c>
      <c r="Z14" s="30"/>
      <c r="AA14" s="30">
        <f t="shared" si="4"/>
        <v>1620</v>
      </c>
      <c r="AB14" s="30">
        <f t="shared" si="5"/>
        <v>35392</v>
      </c>
      <c r="AC14" s="30">
        <f t="shared" si="6"/>
        <v>84040</v>
      </c>
      <c r="AD14" s="30">
        <f t="shared" si="7"/>
        <v>0</v>
      </c>
      <c r="AE14" s="30">
        <f t="shared" si="8"/>
        <v>119432</v>
      </c>
    </row>
    <row r="15" spans="2:31">
      <c r="B15" s="30">
        <v>6</v>
      </c>
      <c r="C15" s="32" t="s">
        <v>104</v>
      </c>
      <c r="D15" s="28">
        <v>154.86429999999999</v>
      </c>
      <c r="E15" s="30"/>
      <c r="F15" s="67">
        <v>15</v>
      </c>
      <c r="G15" s="70">
        <v>2197.35</v>
      </c>
      <c r="H15" s="10">
        <v>337291</v>
      </c>
      <c r="I15" s="69">
        <v>0</v>
      </c>
      <c r="J15" s="10">
        <v>3000</v>
      </c>
      <c r="K15" s="69">
        <f t="shared" si="0"/>
        <v>340291</v>
      </c>
      <c r="L15" s="10">
        <v>53967</v>
      </c>
      <c r="M15" s="34">
        <v>0</v>
      </c>
      <c r="N15" s="33">
        <f t="shared" si="1"/>
        <v>286324</v>
      </c>
      <c r="O15" s="53">
        <v>15</v>
      </c>
      <c r="P15" s="53">
        <f>143136+113886+26300</f>
        <v>283322</v>
      </c>
      <c r="Q15" s="53">
        <f>0+3000</f>
        <v>3000</v>
      </c>
      <c r="R15" s="53">
        <v>0</v>
      </c>
      <c r="S15" s="53">
        <f t="shared" si="2"/>
        <v>286322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f t="shared" si="3"/>
        <v>0</v>
      </c>
      <c r="Z15" s="30"/>
      <c r="AA15" s="30">
        <f t="shared" si="4"/>
        <v>15</v>
      </c>
      <c r="AB15" s="30">
        <f t="shared" si="5"/>
        <v>283322</v>
      </c>
      <c r="AC15" s="30">
        <f t="shared" si="6"/>
        <v>3000</v>
      </c>
      <c r="AD15" s="30">
        <f t="shared" si="7"/>
        <v>0</v>
      </c>
      <c r="AE15" s="30">
        <f t="shared" si="8"/>
        <v>286322</v>
      </c>
    </row>
    <row r="16" spans="2:31">
      <c r="B16" s="30">
        <v>7</v>
      </c>
      <c r="C16" s="32" t="s">
        <v>105</v>
      </c>
      <c r="D16" s="28">
        <v>899.0127</v>
      </c>
      <c r="E16" s="30"/>
      <c r="F16" s="67">
        <v>20</v>
      </c>
      <c r="G16" s="67">
        <v>314</v>
      </c>
      <c r="H16" s="10">
        <v>280960</v>
      </c>
      <c r="I16" s="69">
        <v>0</v>
      </c>
      <c r="J16" s="10">
        <v>4000</v>
      </c>
      <c r="K16" s="69">
        <f t="shared" si="0"/>
        <v>284960</v>
      </c>
      <c r="L16" s="10">
        <v>44954</v>
      </c>
      <c r="M16" s="34">
        <v>0</v>
      </c>
      <c r="N16" s="33">
        <f t="shared" si="1"/>
        <v>240006</v>
      </c>
      <c r="O16" s="53">
        <v>21</v>
      </c>
      <c r="P16" s="53">
        <f>0+117990+118000</f>
        <v>235990</v>
      </c>
      <c r="Q16" s="53">
        <v>4000</v>
      </c>
      <c r="R16" s="53">
        <v>0</v>
      </c>
      <c r="S16" s="53">
        <f t="shared" si="2"/>
        <v>239990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f t="shared" si="3"/>
        <v>0</v>
      </c>
      <c r="Z16" s="30"/>
      <c r="AA16" s="30">
        <f t="shared" si="4"/>
        <v>21</v>
      </c>
      <c r="AB16" s="30">
        <f t="shared" si="5"/>
        <v>235990</v>
      </c>
      <c r="AC16" s="30">
        <f t="shared" si="6"/>
        <v>4000</v>
      </c>
      <c r="AD16" s="30">
        <f t="shared" si="7"/>
        <v>0</v>
      </c>
      <c r="AE16" s="30">
        <f t="shared" si="8"/>
        <v>239990</v>
      </c>
    </row>
    <row r="17" spans="2:31">
      <c r="B17" s="30">
        <v>8</v>
      </c>
      <c r="C17" s="32" t="s">
        <v>106</v>
      </c>
      <c r="D17" s="28">
        <v>4038.63</v>
      </c>
      <c r="E17" s="30"/>
      <c r="F17" s="67">
        <v>7</v>
      </c>
      <c r="G17" s="70">
        <v>217.98</v>
      </c>
      <c r="H17" s="10">
        <v>177403</v>
      </c>
      <c r="I17" s="69">
        <v>0</v>
      </c>
      <c r="J17" s="10">
        <v>702940</v>
      </c>
      <c r="K17" s="69">
        <f t="shared" si="0"/>
        <v>880343</v>
      </c>
      <c r="L17" s="10">
        <v>28384</v>
      </c>
      <c r="M17" s="34">
        <v>0</v>
      </c>
      <c r="N17" s="33">
        <f t="shared" si="1"/>
        <v>851959</v>
      </c>
      <c r="O17" s="53">
        <v>7</v>
      </c>
      <c r="P17" s="53">
        <v>150621</v>
      </c>
      <c r="Q17" s="53">
        <v>701250</v>
      </c>
      <c r="R17" s="53">
        <v>0</v>
      </c>
      <c r="S17" s="53">
        <f t="shared" si="2"/>
        <v>851871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f t="shared" si="3"/>
        <v>0</v>
      </c>
      <c r="Z17" s="30"/>
      <c r="AA17" s="30">
        <f t="shared" si="4"/>
        <v>7</v>
      </c>
      <c r="AB17" s="30">
        <f t="shared" si="5"/>
        <v>150621</v>
      </c>
      <c r="AC17" s="30">
        <f t="shared" si="6"/>
        <v>701250</v>
      </c>
      <c r="AD17" s="30">
        <v>0</v>
      </c>
      <c r="AE17" s="30">
        <f t="shared" si="8"/>
        <v>851871</v>
      </c>
    </row>
    <row r="18" spans="2:31">
      <c r="B18" s="30"/>
      <c r="C18" s="31" t="s">
        <v>55</v>
      </c>
      <c r="D18" s="32"/>
      <c r="E18" s="30"/>
      <c r="F18" s="71"/>
      <c r="G18" s="53"/>
      <c r="H18" s="57">
        <f>SUM(H10:H17)</f>
        <v>3428335</v>
      </c>
      <c r="I18" s="72">
        <f t="shared" ref="I18:M18" si="9">SUM(I10:I17)</f>
        <v>0</v>
      </c>
      <c r="J18" s="57">
        <f t="shared" si="9"/>
        <v>987292</v>
      </c>
      <c r="K18" s="73">
        <f t="shared" si="9"/>
        <v>4415627</v>
      </c>
      <c r="L18" s="56">
        <f t="shared" si="9"/>
        <v>548533</v>
      </c>
      <c r="M18" s="35">
        <f t="shared" si="9"/>
        <v>0</v>
      </c>
      <c r="N18" s="36">
        <f>SUM(N10:N17)</f>
        <v>3867094</v>
      </c>
      <c r="O18" s="55">
        <f>SUM(O10:O17)</f>
        <v>4192</v>
      </c>
      <c r="P18" s="58">
        <f>SUM(P10:P17)</f>
        <v>2876732</v>
      </c>
      <c r="Q18" s="58">
        <f t="shared" ref="Q18" si="10">SUM(Q10:Q17)</f>
        <v>989330</v>
      </c>
      <c r="R18" s="55">
        <v>0</v>
      </c>
      <c r="S18" s="58">
        <f>SUM(S10:S17)</f>
        <v>3866062</v>
      </c>
      <c r="T18" s="37">
        <f>SUM(T10:T17)</f>
        <v>0</v>
      </c>
      <c r="U18" s="37">
        <f>SUM(U10:U17)</f>
        <v>0</v>
      </c>
      <c r="V18" s="59">
        <f>SUM(V10:V17)</f>
        <v>0</v>
      </c>
      <c r="W18" s="59">
        <f t="shared" ref="W18" si="11">SUM(W10:W17)</f>
        <v>0</v>
      </c>
      <c r="X18" s="37">
        <v>0</v>
      </c>
      <c r="Y18" s="59">
        <f>SUM(Y10:Y17)</f>
        <v>0</v>
      </c>
      <c r="Z18" s="30"/>
      <c r="AA18" s="59">
        <f>SUM(AA10:AA17)</f>
        <v>4192</v>
      </c>
      <c r="AB18" s="59">
        <f>SUM(AB10:AB17)</f>
        <v>2876732</v>
      </c>
      <c r="AC18" s="59">
        <f>SUM(AC10:AC17)</f>
        <v>989330</v>
      </c>
      <c r="AD18" s="37">
        <f>X18+R18</f>
        <v>0</v>
      </c>
      <c r="AE18" s="59">
        <f>AD18+AC18+AB18</f>
        <v>3866062</v>
      </c>
    </row>
    <row r="19" spans="2:31">
      <c r="B19" s="31" t="s">
        <v>109</v>
      </c>
      <c r="C19" s="38" t="s">
        <v>107</v>
      </c>
      <c r="D19" s="32"/>
      <c r="E19" s="30"/>
      <c r="F19" s="32"/>
      <c r="G19" s="30"/>
      <c r="H19" s="30"/>
      <c r="I19" s="39"/>
      <c r="J19" s="30"/>
      <c r="K19" s="39"/>
      <c r="L19" s="30"/>
      <c r="M19" s="30"/>
      <c r="N19" s="39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</row>
    <row r="20" spans="2:31">
      <c r="B20" s="30">
        <v>1</v>
      </c>
      <c r="C20" s="32" t="s">
        <v>110</v>
      </c>
      <c r="D20" s="9">
        <v>225.495</v>
      </c>
      <c r="E20" s="30"/>
      <c r="F20" s="67">
        <v>1</v>
      </c>
      <c r="G20" s="10">
        <v>565.6</v>
      </c>
      <c r="H20" s="10">
        <v>117362</v>
      </c>
      <c r="I20" s="69">
        <v>0</v>
      </c>
      <c r="J20" s="10">
        <v>10178</v>
      </c>
      <c r="K20" s="69">
        <f>J20+I20+H20</f>
        <v>127540</v>
      </c>
      <c r="L20" s="10">
        <v>18778</v>
      </c>
      <c r="M20" s="34">
        <v>0</v>
      </c>
      <c r="N20" s="33">
        <f>K20-L20</f>
        <v>108762</v>
      </c>
      <c r="O20" s="53">
        <v>1</v>
      </c>
      <c r="P20" s="53">
        <f>48000+51000</f>
        <v>99000</v>
      </c>
      <c r="Q20" s="53">
        <f>6400+3362</f>
        <v>9762</v>
      </c>
      <c r="R20" s="53">
        <v>0</v>
      </c>
      <c r="S20" s="53">
        <f t="shared" ref="S20:S22" si="12">R20+Q20+P20</f>
        <v>108762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f t="shared" ref="Y20:Y22" si="13">X20+W20+V20</f>
        <v>0</v>
      </c>
      <c r="Z20" s="30">
        <v>0</v>
      </c>
      <c r="AA20" s="81">
        <f t="shared" ref="AA20:AA22" si="14">T20+O20</f>
        <v>1</v>
      </c>
      <c r="AB20" s="30">
        <f t="shared" ref="AB20:AC22" si="15">V20+P20</f>
        <v>99000</v>
      </c>
      <c r="AC20" s="30">
        <f t="shared" si="15"/>
        <v>9762</v>
      </c>
      <c r="AD20" s="30">
        <v>0</v>
      </c>
      <c r="AE20" s="30">
        <f t="shared" ref="AE20:AE22" si="16">AC20+AB20</f>
        <v>108762</v>
      </c>
    </row>
    <row r="21" spans="2:31">
      <c r="B21" s="30">
        <v>2</v>
      </c>
      <c r="C21" s="32" t="s">
        <v>111</v>
      </c>
      <c r="D21" s="9">
        <v>818575.6</v>
      </c>
      <c r="E21" s="30"/>
      <c r="F21" s="67">
        <v>4</v>
      </c>
      <c r="G21" s="10">
        <v>4</v>
      </c>
      <c r="H21" s="10">
        <v>685669</v>
      </c>
      <c r="I21" s="69">
        <v>0</v>
      </c>
      <c r="J21" s="10">
        <v>2588633</v>
      </c>
      <c r="K21" s="69">
        <f t="shared" ref="K21:K22" si="17">J21+I21+H21</f>
        <v>3274302</v>
      </c>
      <c r="L21" s="10">
        <v>109707</v>
      </c>
      <c r="M21" s="34">
        <v>0</v>
      </c>
      <c r="N21" s="33">
        <f t="shared" ref="N21:N22" si="18">K21-L21</f>
        <v>3164595</v>
      </c>
      <c r="O21" s="53">
        <v>2</v>
      </c>
      <c r="P21" s="53">
        <f>275450</f>
        <v>275450</v>
      </c>
      <c r="Q21" s="53">
        <f>560000+975000+2200</f>
        <v>1537200</v>
      </c>
      <c r="R21" s="53">
        <v>0</v>
      </c>
      <c r="S21" s="53">
        <f t="shared" si="12"/>
        <v>1812650</v>
      </c>
      <c r="T21" s="30">
        <v>0</v>
      </c>
      <c r="U21" s="30">
        <v>2</v>
      </c>
      <c r="V21" s="30">
        <v>0</v>
      </c>
      <c r="W21" s="30">
        <v>780000</v>
      </c>
      <c r="X21" s="30">
        <v>0</v>
      </c>
      <c r="Y21" s="30">
        <f t="shared" si="13"/>
        <v>780000</v>
      </c>
      <c r="Z21" s="30">
        <v>0</v>
      </c>
      <c r="AA21" s="81">
        <f t="shared" si="14"/>
        <v>2</v>
      </c>
      <c r="AB21" s="30">
        <f t="shared" si="15"/>
        <v>275450</v>
      </c>
      <c r="AC21" s="30">
        <f t="shared" si="15"/>
        <v>2317200</v>
      </c>
      <c r="AD21" s="30">
        <v>0</v>
      </c>
      <c r="AE21" s="30">
        <f t="shared" si="16"/>
        <v>2592650</v>
      </c>
    </row>
    <row r="22" spans="2:31">
      <c r="B22" s="30">
        <v>3</v>
      </c>
      <c r="C22" s="32" t="s">
        <v>112</v>
      </c>
      <c r="D22" s="9">
        <v>2256.8760000000002</v>
      </c>
      <c r="E22" s="30"/>
      <c r="F22" s="67">
        <v>1</v>
      </c>
      <c r="G22" s="10">
        <v>19.850000000000001</v>
      </c>
      <c r="H22" s="10">
        <v>17895</v>
      </c>
      <c r="I22" s="69">
        <v>0</v>
      </c>
      <c r="J22" s="10">
        <v>26904</v>
      </c>
      <c r="K22" s="69">
        <f t="shared" si="17"/>
        <v>44799</v>
      </c>
      <c r="L22" s="10">
        <v>2863</v>
      </c>
      <c r="M22" s="34">
        <v>0</v>
      </c>
      <c r="N22" s="33">
        <f t="shared" si="18"/>
        <v>41936</v>
      </c>
      <c r="O22" s="53">
        <v>1</v>
      </c>
      <c r="P22" s="53">
        <f>26600</f>
        <v>26600</v>
      </c>
      <c r="Q22" s="53">
        <f>12000+3281</f>
        <v>15281</v>
      </c>
      <c r="R22" s="53">
        <v>0</v>
      </c>
      <c r="S22" s="53">
        <f t="shared" si="12"/>
        <v>41881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f t="shared" si="13"/>
        <v>0</v>
      </c>
      <c r="Z22" s="30">
        <v>0</v>
      </c>
      <c r="AA22" s="81">
        <f t="shared" si="14"/>
        <v>1</v>
      </c>
      <c r="AB22" s="30">
        <f t="shared" si="15"/>
        <v>26600</v>
      </c>
      <c r="AC22" s="30">
        <f t="shared" si="15"/>
        <v>15281</v>
      </c>
      <c r="AD22" s="30">
        <v>0</v>
      </c>
      <c r="AE22" s="30">
        <f t="shared" si="16"/>
        <v>41881</v>
      </c>
    </row>
    <row r="23" spans="2:31">
      <c r="B23" s="40"/>
      <c r="C23" s="31" t="s">
        <v>56</v>
      </c>
      <c r="D23" s="31"/>
      <c r="E23" s="31"/>
      <c r="F23" s="65"/>
      <c r="G23" s="65"/>
      <c r="H23" s="57">
        <f>SUM(H20:H22)</f>
        <v>820926</v>
      </c>
      <c r="I23" s="65">
        <f t="shared" ref="I23:M23" si="19">SUM(I20:I22)</f>
        <v>0</v>
      </c>
      <c r="J23" s="57">
        <f t="shared" si="19"/>
        <v>2625715</v>
      </c>
      <c r="K23" s="73">
        <f t="shared" si="19"/>
        <v>3446641</v>
      </c>
      <c r="L23" s="57">
        <f t="shared" si="19"/>
        <v>131348</v>
      </c>
      <c r="M23" s="31">
        <f t="shared" si="19"/>
        <v>0</v>
      </c>
      <c r="N23" s="36">
        <f>SUM(N20:N22)</f>
        <v>3315293</v>
      </c>
      <c r="O23" s="55">
        <f>SUM(O20:O22)</f>
        <v>4</v>
      </c>
      <c r="P23" s="65">
        <f>SUM(P20:P22)</f>
        <v>401050</v>
      </c>
      <c r="Q23" s="65">
        <f t="shared" ref="Q23:Y23" si="20">SUM(Q20:Q22)</f>
        <v>1562243</v>
      </c>
      <c r="R23" s="65">
        <f t="shared" si="20"/>
        <v>0</v>
      </c>
      <c r="S23" s="65">
        <f t="shared" si="20"/>
        <v>1963293</v>
      </c>
      <c r="T23" s="31">
        <f t="shared" si="20"/>
        <v>0</v>
      </c>
      <c r="U23" s="31">
        <f t="shared" si="20"/>
        <v>2</v>
      </c>
      <c r="V23" s="31">
        <f t="shared" si="20"/>
        <v>0</v>
      </c>
      <c r="W23" s="31">
        <f t="shared" si="20"/>
        <v>780000</v>
      </c>
      <c r="X23" s="31">
        <f t="shared" si="20"/>
        <v>0</v>
      </c>
      <c r="Y23" s="31">
        <f t="shared" si="20"/>
        <v>780000</v>
      </c>
      <c r="Z23" s="31">
        <f>SUM(Z20:Z22)</f>
        <v>0</v>
      </c>
      <c r="AA23" s="41">
        <f t="shared" ref="AA23" si="21">SUM(AA20:AA22)</f>
        <v>4</v>
      </c>
      <c r="AB23" s="31">
        <f t="shared" ref="AB23" si="22">SUM(AB20:AB22)</f>
        <v>401050</v>
      </c>
      <c r="AC23" s="31">
        <f t="shared" ref="AC23" si="23">SUM(AC20:AC22)</f>
        <v>2342243</v>
      </c>
      <c r="AD23" s="31">
        <f t="shared" ref="AD23" si="24">SUM(AD20:AD22)</f>
        <v>0</v>
      </c>
      <c r="AE23" s="31">
        <f t="shared" ref="AE23" si="25">SUM(AE20:AE22)</f>
        <v>2743293</v>
      </c>
    </row>
    <row r="24" spans="2:31">
      <c r="B24" s="31" t="s">
        <v>114</v>
      </c>
      <c r="C24" s="42" t="s">
        <v>113</v>
      </c>
      <c r="D24" s="31"/>
      <c r="E24" s="31"/>
      <c r="F24" s="31"/>
      <c r="G24" s="31"/>
      <c r="H24" s="31"/>
      <c r="I24" s="43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43"/>
      <c r="AB24" s="31"/>
      <c r="AC24" s="31"/>
      <c r="AD24" s="31"/>
      <c r="AE24" s="31"/>
    </row>
    <row r="25" spans="2:31">
      <c r="B25" s="30">
        <v>1</v>
      </c>
      <c r="C25" s="44" t="s">
        <v>115</v>
      </c>
      <c r="D25" s="9">
        <v>27771</v>
      </c>
      <c r="E25" s="31"/>
      <c r="F25" s="10">
        <v>35</v>
      </c>
      <c r="G25" s="10">
        <v>35</v>
      </c>
      <c r="H25" s="10">
        <v>0</v>
      </c>
      <c r="I25" s="74">
        <f>H25*0.08</f>
        <v>0</v>
      </c>
      <c r="J25" s="10">
        <v>972000</v>
      </c>
      <c r="K25" s="74">
        <f>J25+I25+H25</f>
        <v>972000</v>
      </c>
      <c r="L25" s="51">
        <v>0</v>
      </c>
      <c r="M25" s="9">
        <v>215400</v>
      </c>
      <c r="N25" s="45">
        <f>K25-M25-L25</f>
        <v>756600</v>
      </c>
      <c r="O25" s="52">
        <f>22+20+20</f>
        <v>62</v>
      </c>
      <c r="P25" s="52">
        <v>0</v>
      </c>
      <c r="Q25" s="52">
        <f>0+102000+222000+225000+180000</f>
        <v>729000</v>
      </c>
      <c r="R25" s="52">
        <v>0</v>
      </c>
      <c r="S25" s="52">
        <f>R25+Q25+P25</f>
        <v>729000</v>
      </c>
      <c r="T25" s="44">
        <v>2</v>
      </c>
      <c r="U25" s="44">
        <v>0</v>
      </c>
      <c r="V25" s="44">
        <v>0</v>
      </c>
      <c r="W25" s="44">
        <v>24000</v>
      </c>
      <c r="X25" s="44">
        <v>0</v>
      </c>
      <c r="Y25" s="44">
        <f>X25+W25+V25</f>
        <v>24000</v>
      </c>
      <c r="Z25" s="31"/>
      <c r="AA25" s="81">
        <f t="shared" ref="AA25" si="26">T25+O25</f>
        <v>64</v>
      </c>
      <c r="AB25" s="44">
        <f>V25+P25</f>
        <v>0</v>
      </c>
      <c r="AC25" s="44">
        <f>W25+Q25</f>
        <v>753000</v>
      </c>
      <c r="AD25" s="44">
        <v>0</v>
      </c>
      <c r="AE25" s="44">
        <f>AC25+AB25</f>
        <v>753000</v>
      </c>
    </row>
    <row r="26" spans="2:31">
      <c r="B26" s="30">
        <v>2</v>
      </c>
      <c r="C26" s="44" t="s">
        <v>116</v>
      </c>
      <c r="D26" s="9">
        <v>4843</v>
      </c>
      <c r="E26" s="31"/>
      <c r="F26" s="10">
        <v>430</v>
      </c>
      <c r="G26" s="10">
        <v>430</v>
      </c>
      <c r="H26" s="10">
        <v>692600</v>
      </c>
      <c r="I26" s="74">
        <v>0</v>
      </c>
      <c r="J26" s="10">
        <v>1390050</v>
      </c>
      <c r="K26" s="74">
        <f t="shared" ref="K26:K27" si="27">J26+I26+H26</f>
        <v>2082650</v>
      </c>
      <c r="L26" s="10">
        <v>166045</v>
      </c>
      <c r="M26" s="9">
        <v>110555</v>
      </c>
      <c r="N26" s="45">
        <f t="shared" ref="N26:N28" si="28">K26-M26-L26</f>
        <v>1806050</v>
      </c>
      <c r="O26" s="66">
        <f>278+140+37+122</f>
        <v>577</v>
      </c>
      <c r="P26" s="66">
        <f>84500+75000+51000+94500+55500+39000+36000</f>
        <v>435500</v>
      </c>
      <c r="Q26" s="66">
        <f>30000+228140+46500+14260+219178+82740+16500</f>
        <v>637318</v>
      </c>
      <c r="R26" s="66">
        <v>0</v>
      </c>
      <c r="S26" s="52">
        <f t="shared" ref="S26:S28" si="29">R26+Q26+P26</f>
        <v>1072818</v>
      </c>
      <c r="T26" s="46">
        <v>90</v>
      </c>
      <c r="U26" s="46">
        <v>20</v>
      </c>
      <c r="V26" s="46">
        <v>0</v>
      </c>
      <c r="W26" s="46">
        <v>289100</v>
      </c>
      <c r="X26" s="46">
        <v>0</v>
      </c>
      <c r="Y26" s="44">
        <f t="shared" ref="Y26:Y31" si="30">X26+W26+V26</f>
        <v>289100</v>
      </c>
      <c r="Z26" s="31"/>
      <c r="AA26" s="47">
        <f t="shared" ref="AA26:AA31" si="31">T26+O26</f>
        <v>667</v>
      </c>
      <c r="AB26" s="44">
        <f t="shared" ref="AB26:AB31" si="32">V26+P26</f>
        <v>435500</v>
      </c>
      <c r="AC26" s="44">
        <f t="shared" ref="AC26:AC31" si="33">W26+Q26</f>
        <v>926418</v>
      </c>
      <c r="AD26" s="44">
        <v>0</v>
      </c>
      <c r="AE26" s="44">
        <f t="shared" ref="AE26:AE28" si="34">AC26+AB26</f>
        <v>1361918</v>
      </c>
    </row>
    <row r="27" spans="2:31">
      <c r="B27" s="30">
        <v>3</v>
      </c>
      <c r="C27" s="44" t="s">
        <v>117</v>
      </c>
      <c r="D27" s="9">
        <v>3014</v>
      </c>
      <c r="E27" s="31"/>
      <c r="F27" s="10">
        <v>400</v>
      </c>
      <c r="G27" s="10">
        <v>400</v>
      </c>
      <c r="H27" s="10">
        <v>42000</v>
      </c>
      <c r="I27" s="74">
        <v>0</v>
      </c>
      <c r="J27" s="10">
        <v>1163750</v>
      </c>
      <c r="K27" s="74">
        <f t="shared" si="27"/>
        <v>1205750</v>
      </c>
      <c r="L27" s="10">
        <v>6720</v>
      </c>
      <c r="M27" s="9">
        <v>27485</v>
      </c>
      <c r="N27" s="45">
        <f t="shared" si="28"/>
        <v>1171545</v>
      </c>
      <c r="O27" s="66">
        <f>175+71+145</f>
        <v>391</v>
      </c>
      <c r="P27" s="66">
        <f>15000</f>
        <v>15000</v>
      </c>
      <c r="Q27" s="66">
        <f>45272+47500+24500+25080+63494+9600+240200+86970</f>
        <v>542616</v>
      </c>
      <c r="R27" s="66">
        <v>0</v>
      </c>
      <c r="S27" s="52">
        <f t="shared" si="29"/>
        <v>557616</v>
      </c>
      <c r="T27" s="46">
        <v>209</v>
      </c>
      <c r="U27" s="46">
        <v>0</v>
      </c>
      <c r="V27" s="46">
        <v>0</v>
      </c>
      <c r="W27" s="46">
        <v>164075</v>
      </c>
      <c r="X27" s="46">
        <v>0</v>
      </c>
      <c r="Y27" s="44">
        <f t="shared" si="30"/>
        <v>164075</v>
      </c>
      <c r="Z27" s="31"/>
      <c r="AA27" s="47">
        <f t="shared" si="31"/>
        <v>600</v>
      </c>
      <c r="AB27" s="44">
        <f t="shared" si="32"/>
        <v>15000</v>
      </c>
      <c r="AC27" s="44">
        <f t="shared" si="33"/>
        <v>706691</v>
      </c>
      <c r="AD27" s="44">
        <v>0</v>
      </c>
      <c r="AE27" s="44">
        <f t="shared" si="34"/>
        <v>721691</v>
      </c>
    </row>
    <row r="28" spans="2:31">
      <c r="B28" s="30">
        <v>4</v>
      </c>
      <c r="C28" s="44" t="s">
        <v>118</v>
      </c>
      <c r="D28" s="9">
        <v>4294</v>
      </c>
      <c r="E28" s="31"/>
      <c r="F28" s="10">
        <v>400</v>
      </c>
      <c r="G28" s="10">
        <v>400</v>
      </c>
      <c r="H28" s="10">
        <v>243600</v>
      </c>
      <c r="I28" s="74">
        <v>0</v>
      </c>
      <c r="J28" s="10">
        <v>1214100</v>
      </c>
      <c r="K28" s="74">
        <v>1387700</v>
      </c>
      <c r="L28" s="10">
        <v>114800</v>
      </c>
      <c r="M28" s="29">
        <v>0</v>
      </c>
      <c r="N28" s="45">
        <f t="shared" si="28"/>
        <v>1272900</v>
      </c>
      <c r="O28" s="66">
        <v>0</v>
      </c>
      <c r="P28" s="66">
        <v>0</v>
      </c>
      <c r="Q28" s="66">
        <v>0</v>
      </c>
      <c r="R28" s="66">
        <v>0</v>
      </c>
      <c r="S28" s="52">
        <f t="shared" si="29"/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4">
        <f t="shared" si="30"/>
        <v>0</v>
      </c>
      <c r="Z28" s="31"/>
      <c r="AA28" s="47">
        <f t="shared" si="31"/>
        <v>0</v>
      </c>
      <c r="AB28" s="44">
        <f t="shared" si="32"/>
        <v>0</v>
      </c>
      <c r="AC28" s="44">
        <f t="shared" si="33"/>
        <v>0</v>
      </c>
      <c r="AD28" s="44">
        <v>0</v>
      </c>
      <c r="AE28" s="44">
        <f t="shared" si="34"/>
        <v>0</v>
      </c>
    </row>
    <row r="29" spans="2:31">
      <c r="B29" s="40"/>
      <c r="C29" s="31" t="s">
        <v>58</v>
      </c>
      <c r="D29" s="31"/>
      <c r="E29" s="31"/>
      <c r="F29" s="65"/>
      <c r="G29" s="65"/>
      <c r="H29" s="57">
        <f>SUM(H25:H28)</f>
        <v>978200</v>
      </c>
      <c r="I29" s="65">
        <f t="shared" ref="I29:M29" si="35">SUM(I25:I28)</f>
        <v>0</v>
      </c>
      <c r="J29" s="57">
        <f t="shared" si="35"/>
        <v>4739900</v>
      </c>
      <c r="K29" s="57">
        <f t="shared" si="35"/>
        <v>5648100</v>
      </c>
      <c r="L29" s="57">
        <f t="shared" si="35"/>
        <v>287565</v>
      </c>
      <c r="M29" s="41">
        <f t="shared" si="35"/>
        <v>353440</v>
      </c>
      <c r="N29" s="48">
        <f>SUM(N25:N28)</f>
        <v>5007095</v>
      </c>
      <c r="O29" s="55">
        <f>SUM(O25:O28)</f>
        <v>1030</v>
      </c>
      <c r="P29" s="58">
        <f>SUM(P25:P28)</f>
        <v>450500</v>
      </c>
      <c r="Q29" s="58">
        <f t="shared" ref="Q29:R29" si="36">SUM(Q25:Q28)</f>
        <v>1908934</v>
      </c>
      <c r="R29" s="55">
        <f t="shared" si="36"/>
        <v>0</v>
      </c>
      <c r="S29" s="58">
        <f>R29+Q29+P29</f>
        <v>2359434</v>
      </c>
      <c r="T29" s="82">
        <f>SUM(T25:T28)</f>
        <v>301</v>
      </c>
      <c r="U29" s="37">
        <f>SUM(U25:U28)</f>
        <v>20</v>
      </c>
      <c r="V29" s="31">
        <f>SUM(V25:V28)</f>
        <v>0</v>
      </c>
      <c r="W29" s="41">
        <f t="shared" ref="W29:X29" si="37">SUM(W25:W28)</f>
        <v>477175</v>
      </c>
      <c r="X29" s="31">
        <f t="shared" si="37"/>
        <v>0</v>
      </c>
      <c r="Y29" s="41">
        <f>X29+W29+V29</f>
        <v>477175</v>
      </c>
      <c r="Z29" s="31"/>
      <c r="AA29" s="86">
        <f>SUM(AA25:AA28)</f>
        <v>1331</v>
      </c>
      <c r="AB29" s="41">
        <f>SUM(AB25:AB28)</f>
        <v>450500</v>
      </c>
      <c r="AC29" s="41">
        <f>SUM(AC25:AC28)</f>
        <v>2386109</v>
      </c>
      <c r="AD29" s="31">
        <f>SUM(AD25:AD28)</f>
        <v>0</v>
      </c>
      <c r="AE29" s="37">
        <f>AD29+AC29+AB29</f>
        <v>2836609</v>
      </c>
    </row>
    <row r="30" spans="2:31" ht="26">
      <c r="B30" s="31" t="s">
        <v>120</v>
      </c>
      <c r="C30" s="31" t="s">
        <v>119</v>
      </c>
      <c r="D30" s="30"/>
      <c r="E30" s="30"/>
      <c r="F30" s="52">
        <v>16</v>
      </c>
      <c r="G30" s="52">
        <v>16</v>
      </c>
      <c r="H30" s="10">
        <v>100360</v>
      </c>
      <c r="I30" s="52">
        <v>0</v>
      </c>
      <c r="J30" s="10">
        <v>1214640</v>
      </c>
      <c r="K30" s="52">
        <f>J30+I30+H30</f>
        <v>1315000</v>
      </c>
      <c r="L30" s="52">
        <v>100360</v>
      </c>
      <c r="M30" s="46">
        <v>0</v>
      </c>
      <c r="N30" s="46">
        <f>K30-L30</f>
        <v>1214640</v>
      </c>
      <c r="O30" s="53">
        <f>18+2+1</f>
        <v>21</v>
      </c>
      <c r="P30" s="53">
        <v>0</v>
      </c>
      <c r="Q30" s="53">
        <f>122250+20200+741300+29560+110640+168690+10000+12000</f>
        <v>1214640</v>
      </c>
      <c r="R30" s="53">
        <v>0</v>
      </c>
      <c r="S30" s="52">
        <f>R30+Q30+P30</f>
        <v>1214640</v>
      </c>
      <c r="T30" s="83">
        <v>1</v>
      </c>
      <c r="U30" s="83">
        <v>0</v>
      </c>
      <c r="V30" s="83">
        <v>0</v>
      </c>
      <c r="W30" s="53">
        <v>0</v>
      </c>
      <c r="X30" s="30">
        <v>0</v>
      </c>
      <c r="Y30" s="46">
        <f t="shared" si="30"/>
        <v>0</v>
      </c>
      <c r="Z30" s="30"/>
      <c r="AA30" s="47">
        <f t="shared" si="31"/>
        <v>22</v>
      </c>
      <c r="AB30" s="44">
        <f t="shared" si="32"/>
        <v>0</v>
      </c>
      <c r="AC30" s="44">
        <f t="shared" si="33"/>
        <v>1214640</v>
      </c>
      <c r="AD30" s="30">
        <v>0</v>
      </c>
      <c r="AE30" s="46">
        <f>AD30+AC30+AB30</f>
        <v>1214640</v>
      </c>
    </row>
    <row r="31" spans="2:31" ht="34.5">
      <c r="B31" s="31" t="s">
        <v>121</v>
      </c>
      <c r="C31" s="37" t="s">
        <v>122</v>
      </c>
      <c r="D31" s="30"/>
      <c r="E31" s="30"/>
      <c r="F31" s="52">
        <v>75</v>
      </c>
      <c r="G31" s="52">
        <v>75</v>
      </c>
      <c r="H31" s="10">
        <v>0</v>
      </c>
      <c r="I31" s="52">
        <v>0</v>
      </c>
      <c r="J31" s="10">
        <v>810000</v>
      </c>
      <c r="K31" s="52">
        <f>J31+I31+H31</f>
        <v>810000</v>
      </c>
      <c r="L31" s="52">
        <v>0</v>
      </c>
      <c r="M31" s="46">
        <v>0</v>
      </c>
      <c r="N31" s="46">
        <f>K31-L31</f>
        <v>810000</v>
      </c>
      <c r="O31" s="53">
        <f>23+9+7+7</f>
        <v>46</v>
      </c>
      <c r="P31" s="53">
        <v>0</v>
      </c>
      <c r="Q31" s="53">
        <f>49038+99000+31853+46691+80644+25550+38609</f>
        <v>371385</v>
      </c>
      <c r="R31" s="53">
        <v>0</v>
      </c>
      <c r="S31" s="52">
        <f>R31+Q31+P31</f>
        <v>371385</v>
      </c>
      <c r="T31" s="83">
        <v>12</v>
      </c>
      <c r="U31" s="83">
        <v>3</v>
      </c>
      <c r="V31" s="83">
        <v>0</v>
      </c>
      <c r="W31" s="53">
        <v>201062</v>
      </c>
      <c r="X31" s="30">
        <v>0</v>
      </c>
      <c r="Y31" s="46">
        <f t="shared" si="30"/>
        <v>201062</v>
      </c>
      <c r="Z31" s="30"/>
      <c r="AA31" s="30">
        <f t="shared" si="31"/>
        <v>58</v>
      </c>
      <c r="AB31" s="30">
        <f t="shared" si="32"/>
        <v>0</v>
      </c>
      <c r="AC31" s="30">
        <f t="shared" si="33"/>
        <v>572447</v>
      </c>
      <c r="AD31" s="30">
        <v>0</v>
      </c>
      <c r="AE31" s="46">
        <f>AD31+AC31+AB31</f>
        <v>572447</v>
      </c>
    </row>
    <row r="32" spans="2:31">
      <c r="B32" s="30"/>
      <c r="C32" s="31" t="s">
        <v>123</v>
      </c>
      <c r="D32" s="29"/>
      <c r="E32" s="29"/>
      <c r="F32" s="51"/>
      <c r="G32" s="51"/>
      <c r="H32" s="65">
        <f>SUM(H30:H31)</f>
        <v>100360</v>
      </c>
      <c r="I32" s="65">
        <f t="shared" ref="I32:K32" si="38">SUM(I30:I31)</f>
        <v>0</v>
      </c>
      <c r="J32" s="65">
        <f t="shared" si="38"/>
        <v>2024640</v>
      </c>
      <c r="K32" s="57">
        <f t="shared" si="38"/>
        <v>2125000</v>
      </c>
      <c r="L32" s="57">
        <f>SUM(L30:L31)</f>
        <v>100360</v>
      </c>
      <c r="M32" s="31">
        <f t="shared" ref="M32:N32" si="39">SUM(M30:M31)</f>
        <v>0</v>
      </c>
      <c r="N32" s="41">
        <f t="shared" si="39"/>
        <v>2024640</v>
      </c>
      <c r="O32" s="55">
        <f>SUM(O30:O31)</f>
        <v>67</v>
      </c>
      <c r="P32" s="65">
        <f>SUM(P30:P31)</f>
        <v>0</v>
      </c>
      <c r="Q32" s="41">
        <f>SUM(Q30:Q31)</f>
        <v>1586025</v>
      </c>
      <c r="R32" s="65">
        <f>SUM(R30:R31)</f>
        <v>0</v>
      </c>
      <c r="S32" s="59">
        <f>R32+Q32+P32</f>
        <v>1586025</v>
      </c>
      <c r="T32" s="82">
        <f>SUM(T30:T31)</f>
        <v>13</v>
      </c>
      <c r="U32" s="82">
        <f>SUM(U30:U31)</f>
        <v>3</v>
      </c>
      <c r="V32" s="84">
        <f>SUM(V30:V31)</f>
        <v>0</v>
      </c>
      <c r="W32" s="41">
        <f t="shared" ref="W32:X32" si="40">SUM(W30:W31)</f>
        <v>201062</v>
      </c>
      <c r="X32" s="31">
        <f t="shared" si="40"/>
        <v>0</v>
      </c>
      <c r="Y32" s="41">
        <f>X32+W32+V32</f>
        <v>201062</v>
      </c>
      <c r="Z32" s="31"/>
      <c r="AA32" s="86">
        <f>SUM(AA30:AA31)</f>
        <v>80</v>
      </c>
      <c r="AB32" s="31">
        <f>SUM(AB30:AB31)</f>
        <v>0</v>
      </c>
      <c r="AC32" s="41">
        <f t="shared" ref="AC32:AD32" si="41">SUM(AC30:AC31)</f>
        <v>1787087</v>
      </c>
      <c r="AD32" s="31">
        <f t="shared" si="41"/>
        <v>0</v>
      </c>
      <c r="AE32" s="37">
        <f>AD32+AC32+AB32</f>
        <v>1787087</v>
      </c>
    </row>
    <row r="33" spans="2:31">
      <c r="B33" s="31" t="s">
        <v>124</v>
      </c>
      <c r="C33" s="31" t="s">
        <v>57</v>
      </c>
      <c r="D33" s="30"/>
      <c r="E33" s="30"/>
      <c r="F33" s="53"/>
      <c r="G33" s="53"/>
      <c r="H33" s="53"/>
      <c r="I33" s="53"/>
      <c r="J33" s="53"/>
      <c r="K33" s="75">
        <v>3113074</v>
      </c>
      <c r="L33" s="30"/>
      <c r="M33" s="30"/>
      <c r="N33" s="29">
        <v>3113074</v>
      </c>
      <c r="O33" s="30"/>
      <c r="P33" s="30"/>
      <c r="Q33" s="30"/>
      <c r="R33" s="30"/>
      <c r="S33" s="46">
        <f>486127+180113+202328+74000+319900+189000+195000+218000+326876</f>
        <v>2191344</v>
      </c>
      <c r="T33" s="30"/>
      <c r="U33" s="30"/>
      <c r="V33" s="30"/>
      <c r="W33" s="30"/>
      <c r="X33" s="30"/>
      <c r="Y33" s="46">
        <v>151978</v>
      </c>
      <c r="Z33" s="30"/>
      <c r="AA33" s="30"/>
      <c r="AB33" s="30"/>
      <c r="AC33" s="30"/>
      <c r="AD33" s="30"/>
      <c r="AE33" s="46">
        <f>Y33+S33</f>
        <v>2343322</v>
      </c>
    </row>
    <row r="34" spans="2:31">
      <c r="B34" s="30"/>
      <c r="C34" s="31" t="s">
        <v>125</v>
      </c>
      <c r="D34" s="29"/>
      <c r="E34" s="29"/>
      <c r="F34" s="51"/>
      <c r="G34" s="51"/>
      <c r="H34" s="51"/>
      <c r="I34" s="51"/>
      <c r="J34" s="51"/>
      <c r="K34" s="57">
        <f>K33</f>
        <v>3113074</v>
      </c>
      <c r="L34" s="29"/>
      <c r="M34" s="29"/>
      <c r="N34" s="41">
        <f>N33</f>
        <v>3113074</v>
      </c>
      <c r="O34" s="31"/>
      <c r="P34" s="31"/>
      <c r="Q34" s="31"/>
      <c r="R34" s="31"/>
      <c r="S34" s="41">
        <f>S33</f>
        <v>2191344</v>
      </c>
      <c r="T34" s="31"/>
      <c r="U34" s="31"/>
      <c r="V34" s="31"/>
      <c r="W34" s="31"/>
      <c r="X34" s="31"/>
      <c r="Y34" s="41">
        <f>Y33</f>
        <v>151978</v>
      </c>
      <c r="Z34" s="31"/>
      <c r="AA34" s="31"/>
      <c r="AB34" s="31"/>
      <c r="AC34" s="31"/>
      <c r="AD34" s="31"/>
      <c r="AE34" s="31">
        <f>AE33</f>
        <v>2343322</v>
      </c>
    </row>
    <row r="35" spans="2:31" hidden="1">
      <c r="B35" s="30">
        <v>4</v>
      </c>
      <c r="C35" s="29" t="s">
        <v>59</v>
      </c>
      <c r="D35" s="30"/>
      <c r="E35" s="30"/>
      <c r="F35" s="53"/>
      <c r="G35" s="53"/>
      <c r="H35" s="53"/>
      <c r="I35" s="53"/>
      <c r="J35" s="53"/>
      <c r="K35" s="53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</row>
    <row r="36" spans="2:31" ht="21">
      <c r="B36" s="31" t="s">
        <v>126</v>
      </c>
      <c r="C36" s="49" t="s">
        <v>131</v>
      </c>
      <c r="D36" s="30"/>
      <c r="E36" s="30"/>
      <c r="F36" s="53"/>
      <c r="G36" s="53"/>
      <c r="H36" s="53"/>
      <c r="I36" s="53"/>
      <c r="J36" s="53"/>
      <c r="K36" s="76">
        <v>200000</v>
      </c>
      <c r="L36" s="30"/>
      <c r="M36" s="30"/>
      <c r="N36" s="31">
        <v>200000</v>
      </c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spans="2:31">
      <c r="B37" s="30"/>
      <c r="C37" s="37" t="s">
        <v>45</v>
      </c>
      <c r="D37" s="30"/>
      <c r="E37" s="30"/>
      <c r="F37" s="53"/>
      <c r="G37" s="53"/>
      <c r="H37" s="53"/>
      <c r="I37" s="55">
        <v>418037</v>
      </c>
      <c r="J37" s="53"/>
      <c r="K37" s="76">
        <v>418037</v>
      </c>
      <c r="L37" s="30"/>
      <c r="M37" s="30"/>
      <c r="N37" s="31">
        <v>418037</v>
      </c>
      <c r="O37" s="30"/>
      <c r="P37" s="30"/>
      <c r="Q37" s="30"/>
      <c r="R37" s="30"/>
      <c r="S37" s="46">
        <f>105590+27600+85250+27900+34800+42800+28000+22000</f>
        <v>373940</v>
      </c>
      <c r="T37" s="30"/>
      <c r="U37" s="30"/>
      <c r="V37" s="30"/>
      <c r="W37" s="30"/>
      <c r="X37" s="30"/>
      <c r="Y37" s="46">
        <v>0</v>
      </c>
      <c r="Z37" s="30"/>
      <c r="AA37" s="30"/>
      <c r="AB37" s="30"/>
      <c r="AC37" s="30"/>
      <c r="AD37" s="30"/>
      <c r="AE37" s="46">
        <f>Y37+S37</f>
        <v>373940</v>
      </c>
    </row>
    <row r="38" spans="2:31">
      <c r="B38" s="30"/>
      <c r="C38" s="50" t="s">
        <v>132</v>
      </c>
      <c r="D38" s="30"/>
      <c r="E38" s="30"/>
      <c r="F38" s="53"/>
      <c r="G38" s="53"/>
      <c r="H38" s="53"/>
      <c r="I38" s="53"/>
      <c r="J38" s="53"/>
      <c r="K38" s="76">
        <v>675623</v>
      </c>
      <c r="L38" s="30"/>
      <c r="M38" s="30"/>
      <c r="N38" s="31">
        <v>675623</v>
      </c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spans="2:31">
      <c r="B39" s="30"/>
      <c r="C39" s="31" t="s">
        <v>127</v>
      </c>
      <c r="D39" s="29"/>
      <c r="E39" s="29"/>
      <c r="F39" s="51"/>
      <c r="G39" s="51"/>
      <c r="H39" s="51"/>
      <c r="I39" s="51"/>
      <c r="J39" s="51"/>
      <c r="K39" s="57">
        <f>SUM(K36:K38)</f>
        <v>1293660</v>
      </c>
      <c r="L39" s="29"/>
      <c r="M39" s="29"/>
      <c r="N39" s="41">
        <f>SUM(N36:N38)</f>
        <v>1293660</v>
      </c>
      <c r="O39" s="31"/>
      <c r="P39" s="31"/>
      <c r="Q39" s="31"/>
      <c r="R39" s="31"/>
      <c r="S39" s="41">
        <f>S37</f>
        <v>373940</v>
      </c>
      <c r="T39" s="31"/>
      <c r="U39" s="31"/>
      <c r="V39" s="31"/>
      <c r="W39" s="31"/>
      <c r="X39" s="31"/>
      <c r="Y39" s="41">
        <f>Y37</f>
        <v>0</v>
      </c>
      <c r="Z39" s="31"/>
      <c r="AA39" s="31"/>
      <c r="AB39" s="31"/>
      <c r="AC39" s="31"/>
      <c r="AD39" s="31"/>
      <c r="AE39" s="31">
        <f>AE37</f>
        <v>373940</v>
      </c>
    </row>
    <row r="40" spans="2:31">
      <c r="B40" s="30"/>
      <c r="C40" s="31" t="s">
        <v>128</v>
      </c>
      <c r="D40" s="29"/>
      <c r="E40" s="29"/>
      <c r="F40" s="51"/>
      <c r="G40" s="51"/>
      <c r="H40" s="73">
        <f>H39+H33+H29+H23+H18</f>
        <v>5227461</v>
      </c>
      <c r="I40" s="73">
        <f>I37</f>
        <v>418037</v>
      </c>
      <c r="J40" s="73">
        <f>J39+J33+J29+J23+J18</f>
        <v>8352907</v>
      </c>
      <c r="K40" s="73">
        <f>K39+K34+K32+K29+K23+K18</f>
        <v>20042102</v>
      </c>
      <c r="L40" s="36">
        <f>L39+L33+L32+L29+L23+L18</f>
        <v>1067806</v>
      </c>
      <c r="M40" s="36">
        <f>M39+M33+M32+M29+M23+M18</f>
        <v>353440</v>
      </c>
      <c r="N40" s="36">
        <f>N39+N34+N32+N29+N23+N18</f>
        <v>18620856</v>
      </c>
      <c r="O40" s="48">
        <f>O32+O29+O23+O18</f>
        <v>5293</v>
      </c>
      <c r="P40" s="41">
        <f>P32+P29+P23+P18</f>
        <v>3728282</v>
      </c>
      <c r="Q40" s="41">
        <f t="shared" ref="Q40:R40" si="42">Q32+Q29+Q23+Q18</f>
        <v>6046532</v>
      </c>
      <c r="R40" s="65">
        <f t="shared" si="42"/>
        <v>0</v>
      </c>
      <c r="S40" s="41">
        <f>S39+S34+S32+S29+S23+S18</f>
        <v>12340098</v>
      </c>
      <c r="T40" s="48">
        <f>T32+T29+T23+T18</f>
        <v>314</v>
      </c>
      <c r="U40" s="48">
        <f>U32+U29+U23+U18</f>
        <v>25</v>
      </c>
      <c r="V40" s="41">
        <f>V33+V29+V23+V18</f>
        <v>0</v>
      </c>
      <c r="W40" s="41">
        <f>W32+W29+W23+W18</f>
        <v>1458237</v>
      </c>
      <c r="X40" s="31">
        <f>X32+X29+X23+X18</f>
        <v>0</v>
      </c>
      <c r="Y40" s="41">
        <f>Y39+Y34+Y32+Y29+Y23+Y18</f>
        <v>1610215</v>
      </c>
      <c r="Z40" s="29"/>
      <c r="AA40" s="48">
        <f>AA32+AA29+AA23+AA18</f>
        <v>5607</v>
      </c>
      <c r="AB40" s="41">
        <f>AB18+AB23+AB29+AB32</f>
        <v>3728282</v>
      </c>
      <c r="AC40" s="41">
        <f>AC18+AC23+AC29+AC32</f>
        <v>7504769</v>
      </c>
      <c r="AD40" s="31">
        <f t="shared" ref="AD40" si="43">AD32+AD29+AD18</f>
        <v>0</v>
      </c>
      <c r="AE40" s="31">
        <f>AE39+AE34+AE32+AE29+AE23+AE18</f>
        <v>13950313</v>
      </c>
    </row>
    <row r="41" spans="2:31"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</row>
    <row r="42" spans="2:31"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2:31" ht="25">
      <c r="B43" s="3"/>
      <c r="C43" s="1" t="s">
        <v>60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</sheetData>
  <mergeCells count="37">
    <mergeCell ref="P7:P8"/>
    <mergeCell ref="AD7:AD8"/>
    <mergeCell ref="I7:I8"/>
    <mergeCell ref="AE7:AE8"/>
    <mergeCell ref="M7:M8"/>
    <mergeCell ref="B2:N2"/>
    <mergeCell ref="O2:AE2"/>
    <mergeCell ref="B3:C3"/>
    <mergeCell ref="B6:B8"/>
    <mergeCell ref="C6:C8"/>
    <mergeCell ref="D6:N6"/>
    <mergeCell ref="O6:S6"/>
    <mergeCell ref="T6:Y6"/>
    <mergeCell ref="AA6:AE6"/>
    <mergeCell ref="D7:D8"/>
    <mergeCell ref="E7:E8"/>
    <mergeCell ref="F7:F8"/>
    <mergeCell ref="G7:G8"/>
    <mergeCell ref="H7:H8"/>
    <mergeCell ref="K7:K8"/>
    <mergeCell ref="N7:N8"/>
    <mergeCell ref="B41:AE41"/>
    <mergeCell ref="X7:X8"/>
    <mergeCell ref="Y7:Y8"/>
    <mergeCell ref="Z7:Z8"/>
    <mergeCell ref="AA7:AA8"/>
    <mergeCell ref="AB7:AB8"/>
    <mergeCell ref="AC7:AC8"/>
    <mergeCell ref="Q7:Q8"/>
    <mergeCell ref="R7:R8"/>
    <mergeCell ref="S7:S8"/>
    <mergeCell ref="T7:U7"/>
    <mergeCell ref="V7:V8"/>
    <mergeCell ref="W7:W8"/>
    <mergeCell ref="J7:J8"/>
    <mergeCell ref="L7:L8"/>
    <mergeCell ref="O7:O8"/>
  </mergeCells>
  <pageMargins left="0.7" right="0.7" top="0.75" bottom="0.75" header="0.3" footer="0.3"/>
  <pageSetup orientation="portrait" horizontalDpi="300" r:id="rId1"/>
  <ignoredErrors>
    <ignoredError sqref="AA29:AC29 V40:W40 K29 I40 S29 S4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B2:F23"/>
  <sheetViews>
    <sheetView workbookViewId="0">
      <selection activeCell="G9" sqref="G9"/>
    </sheetView>
  </sheetViews>
  <sheetFormatPr defaultRowHeight="14.5"/>
  <cols>
    <col min="2" max="2" width="30.1796875" customWidth="1"/>
    <col min="3" max="3" width="11.1796875" customWidth="1"/>
    <col min="4" max="4" width="14.453125" style="24" customWidth="1"/>
    <col min="5" max="5" width="13" style="24" customWidth="1"/>
  </cols>
  <sheetData>
    <row r="2" spans="2:6" ht="15.5">
      <c r="B2" s="102" t="s">
        <v>61</v>
      </c>
      <c r="C2" s="103"/>
      <c r="D2" s="103"/>
      <c r="E2" s="104"/>
      <c r="F2" s="6"/>
    </row>
    <row r="3" spans="2:6" ht="52">
      <c r="B3" s="31" t="s">
        <v>62</v>
      </c>
      <c r="C3" s="63" t="s">
        <v>140</v>
      </c>
      <c r="D3" s="64" t="s">
        <v>141</v>
      </c>
      <c r="E3" s="64" t="s">
        <v>142</v>
      </c>
      <c r="F3" s="7"/>
    </row>
    <row r="4" spans="2:6" ht="15" thickBot="1">
      <c r="B4" s="61" t="s">
        <v>63</v>
      </c>
      <c r="C4" s="61"/>
      <c r="D4" s="62"/>
      <c r="E4" s="62"/>
      <c r="F4" s="1"/>
    </row>
    <row r="5" spans="2:6" ht="15" thickBot="1">
      <c r="B5" s="4" t="s">
        <v>64</v>
      </c>
      <c r="C5" s="79">
        <f>C6</f>
        <v>1827250</v>
      </c>
      <c r="D5" s="80">
        <v>192000</v>
      </c>
      <c r="E5" s="78">
        <f>D5+C5</f>
        <v>2019250</v>
      </c>
      <c r="F5" s="1"/>
    </row>
    <row r="6" spans="2:6" ht="38" thickBot="1">
      <c r="B6" s="2" t="s">
        <v>65</v>
      </c>
      <c r="C6" s="18">
        <v>1827250</v>
      </c>
      <c r="D6" s="19">
        <f>192000-40022</f>
        <v>151978</v>
      </c>
      <c r="E6" s="20">
        <f>C6+D6</f>
        <v>1979228</v>
      </c>
      <c r="F6" s="1"/>
    </row>
    <row r="7" spans="2:6" ht="15" thickBot="1">
      <c r="B7" s="2" t="s">
        <v>66</v>
      </c>
      <c r="C7" s="18">
        <v>0</v>
      </c>
      <c r="D7" s="19">
        <v>0</v>
      </c>
      <c r="E7" s="20">
        <f t="shared" ref="E7:E19" si="0">C7+D7</f>
        <v>0</v>
      </c>
      <c r="F7" s="1"/>
    </row>
    <row r="8" spans="2:6" ht="26.5" thickBot="1">
      <c r="B8" s="4" t="s">
        <v>67</v>
      </c>
      <c r="C8" s="18">
        <v>99048</v>
      </c>
      <c r="D8" s="19">
        <v>0</v>
      </c>
      <c r="E8" s="20">
        <f t="shared" si="0"/>
        <v>99048</v>
      </c>
      <c r="F8" s="1"/>
    </row>
    <row r="9" spans="2:6" ht="26.5" thickBot="1">
      <c r="B9" s="4" t="s">
        <v>68</v>
      </c>
      <c r="C9" s="18">
        <v>113876</v>
      </c>
      <c r="D9" s="19"/>
      <c r="E9" s="20">
        <f t="shared" si="0"/>
        <v>113876</v>
      </c>
      <c r="F9" s="1"/>
    </row>
    <row r="10" spans="2:6" ht="15" thickBot="1">
      <c r="B10" s="4" t="s">
        <v>69</v>
      </c>
      <c r="C10" s="18">
        <v>0</v>
      </c>
      <c r="D10" s="19">
        <v>0</v>
      </c>
      <c r="E10" s="20">
        <f t="shared" si="0"/>
        <v>0</v>
      </c>
      <c r="F10" s="1"/>
    </row>
    <row r="11" spans="2:6" ht="15" thickBot="1">
      <c r="B11" s="4" t="s">
        <v>70</v>
      </c>
      <c r="C11" s="18">
        <v>0</v>
      </c>
      <c r="D11" s="19">
        <v>0</v>
      </c>
      <c r="E11" s="20">
        <f t="shared" si="0"/>
        <v>0</v>
      </c>
      <c r="F11" s="1"/>
    </row>
    <row r="12" spans="2:6" ht="15" thickBot="1">
      <c r="B12" s="4" t="s">
        <v>71</v>
      </c>
      <c r="C12" s="18">
        <v>0</v>
      </c>
      <c r="D12" s="19">
        <v>0</v>
      </c>
      <c r="E12" s="20">
        <f t="shared" si="0"/>
        <v>0</v>
      </c>
      <c r="F12" s="1"/>
    </row>
    <row r="13" spans="2:6" ht="15" thickBot="1">
      <c r="B13" s="4" t="s">
        <v>72</v>
      </c>
      <c r="C13" s="21">
        <v>36500</v>
      </c>
      <c r="D13" s="22"/>
      <c r="E13" s="20">
        <f t="shared" si="0"/>
        <v>36500</v>
      </c>
      <c r="F13" s="8"/>
    </row>
    <row r="14" spans="2:6" ht="15" thickBot="1">
      <c r="B14" s="2" t="s">
        <v>73</v>
      </c>
      <c r="C14" s="18">
        <v>13670</v>
      </c>
      <c r="D14" s="19">
        <v>0</v>
      </c>
      <c r="E14" s="20">
        <f t="shared" si="0"/>
        <v>13670</v>
      </c>
      <c r="F14" s="1"/>
    </row>
    <row r="15" spans="2:6" ht="15" thickBot="1">
      <c r="B15" s="2" t="s">
        <v>74</v>
      </c>
      <c r="C15" s="18">
        <v>0</v>
      </c>
      <c r="D15" s="19">
        <v>0</v>
      </c>
      <c r="E15" s="20">
        <f t="shared" si="0"/>
        <v>0</v>
      </c>
      <c r="F15" s="1"/>
    </row>
    <row r="16" spans="2:6" ht="15" thickBot="1">
      <c r="B16" s="2" t="s">
        <v>143</v>
      </c>
      <c r="C16" s="18">
        <v>101000</v>
      </c>
      <c r="D16" s="19"/>
      <c r="E16" s="20">
        <f t="shared" si="0"/>
        <v>101000</v>
      </c>
      <c r="F16" s="1"/>
    </row>
    <row r="17" spans="2:6" ht="15" thickBot="1">
      <c r="B17" s="2" t="s">
        <v>144</v>
      </c>
      <c r="C17" s="18"/>
      <c r="D17" s="19">
        <v>0</v>
      </c>
      <c r="E17" s="20">
        <f t="shared" si="0"/>
        <v>0</v>
      </c>
      <c r="F17" s="1"/>
    </row>
    <row r="18" spans="2:6" ht="15" thickBot="1">
      <c r="B18" s="2" t="s">
        <v>75</v>
      </c>
      <c r="C18" s="18">
        <v>0</v>
      </c>
      <c r="D18" s="19">
        <v>0</v>
      </c>
      <c r="E18" s="20">
        <f t="shared" si="0"/>
        <v>0</v>
      </c>
      <c r="F18" s="1"/>
    </row>
    <row r="19" spans="2:6" ht="25.5" thickBot="1">
      <c r="B19" s="2" t="s">
        <v>76</v>
      </c>
      <c r="C19" s="18">
        <v>0</v>
      </c>
      <c r="D19" s="19">
        <v>0</v>
      </c>
      <c r="E19" s="20">
        <f t="shared" si="0"/>
        <v>0</v>
      </c>
      <c r="F19" s="1"/>
    </row>
    <row r="20" spans="2:6" ht="15" thickBot="1">
      <c r="B20" s="4" t="s">
        <v>77</v>
      </c>
      <c r="C20" s="22">
        <f t="shared" ref="C20:E20" si="1">SUM(C6:C19)</f>
        <v>2191344</v>
      </c>
      <c r="D20" s="22">
        <f t="shared" si="1"/>
        <v>151978</v>
      </c>
      <c r="E20" s="22">
        <f t="shared" si="1"/>
        <v>2343322</v>
      </c>
      <c r="F20" s="8"/>
    </row>
    <row r="21" spans="2:6" ht="15" thickBot="1">
      <c r="B21" s="4" t="s">
        <v>78</v>
      </c>
      <c r="C21" s="18">
        <f>1716233+627089</f>
        <v>2343322</v>
      </c>
      <c r="D21" s="19"/>
      <c r="E21" s="22">
        <f>C21+D21</f>
        <v>2343322</v>
      </c>
      <c r="F21" s="1"/>
    </row>
    <row r="22" spans="2:6" ht="15" thickBot="1">
      <c r="B22" s="4" t="s">
        <v>79</v>
      </c>
      <c r="C22" s="21">
        <v>0</v>
      </c>
      <c r="D22" s="22">
        <v>0</v>
      </c>
      <c r="E22" s="60">
        <f>E21-E20</f>
        <v>0</v>
      </c>
      <c r="F22" s="8"/>
    </row>
    <row r="23" spans="2:6">
      <c r="B23" s="1"/>
      <c r="C23" s="1"/>
      <c r="D23" s="23"/>
      <c r="E23" s="23"/>
      <c r="F23" s="1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certificate</vt:lpstr>
      <vt:lpstr>achievemnt</vt:lpstr>
      <vt:lpstr>mgmt exp. </vt:lpstr>
      <vt:lpstr>certificate!Print_Area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2025-01-03T11:46:56Z</dcterms:modified>
</cp:coreProperties>
</file>