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sa\entreprenariat\Busnes plan\"/>
    </mc:Choice>
  </mc:AlternateContent>
  <bookViews>
    <workbookView xWindow="0" yWindow="0" windowWidth="25200" windowHeight="11985" activeTab="1"/>
  </bookViews>
  <sheets>
    <sheet name="Données à saisir" sheetId="1" r:id="rId1"/>
    <sheet name="Plan financier à imprimer" sheetId="2" r:id="rId2"/>
  </sheets>
  <definedNames>
    <definedName name="_xlnm.Print_Area" localSheetId="1">'Plan financier à imprimer'!$A$1:$CG$49</definedName>
  </definedNames>
  <calcPr calcId="152511"/>
</workbook>
</file>

<file path=xl/calcChain.xml><?xml version="1.0" encoding="utf-8"?>
<calcChain xmlns="http://schemas.openxmlformats.org/spreadsheetml/2006/main">
  <c r="AH14" i="2" l="1"/>
  <c r="AI14" i="2"/>
  <c r="AG14" i="2"/>
  <c r="L69" i="1" l="1"/>
  <c r="K69" i="1"/>
  <c r="I69" i="1"/>
  <c r="H69" i="1"/>
  <c r="D69" i="1"/>
  <c r="J69" i="1" s="1"/>
  <c r="B69" i="1"/>
  <c r="E69" i="1" s="1"/>
  <c r="L68" i="1"/>
  <c r="K68" i="1"/>
  <c r="I68" i="1"/>
  <c r="H68" i="1"/>
  <c r="D68" i="1"/>
  <c r="J68" i="1" s="1"/>
  <c r="B68" i="1"/>
  <c r="E68" i="1" s="1"/>
  <c r="G68" i="1" s="1"/>
  <c r="D67" i="1"/>
  <c r="L67" i="1" s="1"/>
  <c r="B67" i="1"/>
  <c r="E67" i="1" s="1"/>
  <c r="C68" i="1" l="1"/>
  <c r="H67" i="1"/>
  <c r="F67" i="1"/>
  <c r="I67" i="1"/>
  <c r="AH42" i="2" s="1"/>
  <c r="G67" i="1"/>
  <c r="F69" i="1"/>
  <c r="G69" i="1"/>
  <c r="C67" i="1"/>
  <c r="K67" i="1"/>
  <c r="F68" i="1"/>
  <c r="C69" i="1"/>
  <c r="J67" i="1"/>
  <c r="AG42" i="2" l="1"/>
  <c r="I101" i="1"/>
  <c r="I102" i="1"/>
  <c r="I103" i="1"/>
  <c r="I104" i="1"/>
  <c r="I105" i="1"/>
  <c r="I106" i="1"/>
  <c r="I107" i="1"/>
  <c r="I108" i="1"/>
  <c r="I109" i="1"/>
  <c r="I110" i="1"/>
  <c r="I111" i="1"/>
  <c r="I100" i="1"/>
  <c r="Q38" i="2" l="1"/>
  <c r="J140" i="1" l="1"/>
  <c r="J143" i="1"/>
  <c r="J142" i="1"/>
  <c r="C143" i="1"/>
  <c r="D143" i="1"/>
  <c r="B143" i="1"/>
  <c r="B144" i="1" s="1"/>
  <c r="AG40" i="2" s="1"/>
  <c r="C142" i="1"/>
  <c r="D142" i="1"/>
  <c r="B142" i="1"/>
  <c r="J136" i="1"/>
  <c r="B39" i="1"/>
  <c r="K46" i="2"/>
  <c r="K45" i="2"/>
  <c r="K44" i="2"/>
  <c r="K43" i="2"/>
  <c r="K42" i="2"/>
  <c r="K41" i="2"/>
  <c r="AC33" i="2"/>
  <c r="AC32" i="2"/>
  <c r="AC31" i="2"/>
  <c r="AC45" i="2"/>
  <c r="X10" i="2"/>
  <c r="AI33" i="2"/>
  <c r="AH33" i="2"/>
  <c r="AG33" i="2"/>
  <c r="AI32" i="2"/>
  <c r="AH32" i="2"/>
  <c r="AG32" i="2"/>
  <c r="AI31" i="2"/>
  <c r="AH31" i="2"/>
  <c r="AG31" i="2"/>
  <c r="AI30" i="2"/>
  <c r="AH30" i="2"/>
  <c r="AG30" i="2"/>
  <c r="AI29" i="2"/>
  <c r="AH29" i="2"/>
  <c r="AG29" i="2"/>
  <c r="AI28" i="2"/>
  <c r="AH28" i="2"/>
  <c r="AG28" i="2"/>
  <c r="AI27" i="2"/>
  <c r="AH27" i="2"/>
  <c r="AG27" i="2"/>
  <c r="AI26" i="2"/>
  <c r="AH26" i="2"/>
  <c r="AG26" i="2"/>
  <c r="AI25" i="2"/>
  <c r="AH25" i="2"/>
  <c r="AG25" i="2"/>
  <c r="AI24" i="2"/>
  <c r="AH24" i="2"/>
  <c r="AG24" i="2"/>
  <c r="AI23" i="2"/>
  <c r="AH23" i="2"/>
  <c r="AG23" i="2"/>
  <c r="AI22" i="2"/>
  <c r="AH22" i="2"/>
  <c r="AG22" i="2"/>
  <c r="AI21" i="2"/>
  <c r="AH21" i="2"/>
  <c r="AG21" i="2"/>
  <c r="AI20" i="2"/>
  <c r="AH20" i="2"/>
  <c r="AG20" i="2"/>
  <c r="AI19" i="2"/>
  <c r="AH19" i="2"/>
  <c r="AG19" i="2"/>
  <c r="AI18" i="2"/>
  <c r="AH18" i="2"/>
  <c r="AG18" i="2"/>
  <c r="Q39" i="2"/>
  <c r="Q37" i="2" s="1"/>
  <c r="BJ18" i="2" s="1"/>
  <c r="BR15" i="2" s="1"/>
  <c r="Q43" i="2"/>
  <c r="Q42" i="2"/>
  <c r="Q41" i="2"/>
  <c r="Q45" i="2"/>
  <c r="Q44" i="2"/>
  <c r="AI36" i="2"/>
  <c r="AS19" i="2" s="1"/>
  <c r="AH36" i="2"/>
  <c r="AQ19" i="2" s="1"/>
  <c r="AG36" i="2"/>
  <c r="CE29" i="2" s="1"/>
  <c r="BX41" i="2"/>
  <c r="BW41" i="2"/>
  <c r="CA7" i="2"/>
  <c r="BQ7" i="2"/>
  <c r="BO35" i="2"/>
  <c r="BO33" i="2"/>
  <c r="BO32" i="2"/>
  <c r="BO31" i="2"/>
  <c r="BO30" i="2"/>
  <c r="BO29" i="2"/>
  <c r="CA6" i="2"/>
  <c r="BQ6" i="2"/>
  <c r="BH7" i="2"/>
  <c r="BH6" i="2"/>
  <c r="AZ38" i="2"/>
  <c r="AZ36" i="2"/>
  <c r="AY7" i="2"/>
  <c r="AY6" i="2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2" i="1"/>
  <c r="C42" i="1" s="1"/>
  <c r="X34" i="2" s="1"/>
  <c r="A42" i="1"/>
  <c r="B40" i="1"/>
  <c r="C40" i="1" s="1"/>
  <c r="A40" i="1"/>
  <c r="Q13" i="2"/>
  <c r="K13" i="2"/>
  <c r="T33" i="2" s="1"/>
  <c r="Z19" i="2"/>
  <c r="Y19" i="2"/>
  <c r="X19" i="2"/>
  <c r="Z15" i="2"/>
  <c r="Y15" i="2"/>
  <c r="X15" i="2"/>
  <c r="V7" i="2"/>
  <c r="V6" i="2"/>
  <c r="O43" i="2"/>
  <c r="O42" i="2"/>
  <c r="O41" i="2"/>
  <c r="N43" i="2"/>
  <c r="N42" i="2"/>
  <c r="N41" i="2"/>
  <c r="AN7" i="2"/>
  <c r="AN6" i="2"/>
  <c r="CE20" i="2"/>
  <c r="CD20" i="2"/>
  <c r="CC20" i="2"/>
  <c r="CB20" i="2"/>
  <c r="CA20" i="2"/>
  <c r="BZ20" i="2"/>
  <c r="BY20" i="2"/>
  <c r="BV20" i="2"/>
  <c r="BU20" i="2"/>
  <c r="BT20" i="2"/>
  <c r="BS20" i="2"/>
  <c r="BR20" i="2"/>
  <c r="J141" i="1"/>
  <c r="J144" i="1" s="1"/>
  <c r="D141" i="1"/>
  <c r="C141" i="1"/>
  <c r="B141" i="1"/>
  <c r="AF40" i="2"/>
  <c r="D140" i="1"/>
  <c r="C140" i="1"/>
  <c r="B140" i="1"/>
  <c r="AI39" i="2"/>
  <c r="AH39" i="2"/>
  <c r="AG39" i="2"/>
  <c r="CE32" i="2" s="1"/>
  <c r="AI37" i="2"/>
  <c r="AH37" i="2"/>
  <c r="AG37" i="2"/>
  <c r="CD30" i="2" s="1"/>
  <c r="D111" i="1"/>
  <c r="CE19" i="2" s="1"/>
  <c r="D110" i="1"/>
  <c r="CD19" i="2" s="1"/>
  <c r="CD27" i="2" s="1"/>
  <c r="D109" i="1"/>
  <c r="CC19" i="2" s="1"/>
  <c r="CC37" i="2" s="1"/>
  <c r="D108" i="1"/>
  <c r="CB19" i="2" s="1"/>
  <c r="D107" i="1"/>
  <c r="CA19" i="2" s="1"/>
  <c r="D106" i="1"/>
  <c r="BZ19" i="2" s="1"/>
  <c r="D105" i="1"/>
  <c r="BY19" i="2" s="1"/>
  <c r="D104" i="1"/>
  <c r="BV19" i="2" s="1"/>
  <c r="D103" i="1"/>
  <c r="BU19" i="2" s="1"/>
  <c r="D102" i="1"/>
  <c r="BT19" i="2" s="1"/>
  <c r="D101" i="1"/>
  <c r="BS19" i="2" s="1"/>
  <c r="D100" i="1"/>
  <c r="BR19" i="2" s="1"/>
  <c r="BR27" i="2" s="1"/>
  <c r="D136" i="1"/>
  <c r="AI38" i="2" s="1"/>
  <c r="C136" i="1"/>
  <c r="Y21" i="2" s="1"/>
  <c r="B136" i="1"/>
  <c r="X21" i="2" s="1"/>
  <c r="CC32" i="2"/>
  <c r="BS30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E7" i="2"/>
  <c r="AE6" i="2"/>
  <c r="M7" i="2"/>
  <c r="M6" i="2"/>
  <c r="Q46" i="2"/>
  <c r="BJ21" i="2" s="1"/>
  <c r="BR18" i="2" s="1"/>
  <c r="CF18" i="2" s="1"/>
  <c r="K39" i="2"/>
  <c r="K38" i="2"/>
  <c r="Q31" i="2"/>
  <c r="BI28" i="2" s="1"/>
  <c r="K31" i="2"/>
  <c r="Q30" i="2"/>
  <c r="BR25" i="2" s="1"/>
  <c r="CF25" i="2" s="1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K30" i="2"/>
  <c r="K28" i="2"/>
  <c r="T46" i="2" s="1"/>
  <c r="K27" i="2"/>
  <c r="T45" i="2" s="1"/>
  <c r="K26" i="2"/>
  <c r="T44" i="2" s="1"/>
  <c r="K25" i="2"/>
  <c r="T43" i="2" s="1"/>
  <c r="K24" i="2"/>
  <c r="T42" i="2" s="1"/>
  <c r="K22" i="2"/>
  <c r="T37" i="2" s="1"/>
  <c r="K21" i="2"/>
  <c r="T36" i="2" s="1"/>
  <c r="K20" i="2"/>
  <c r="K19" i="2"/>
  <c r="K18" i="2"/>
  <c r="K17" i="2"/>
  <c r="T35" i="2" s="1"/>
  <c r="K16" i="2"/>
  <c r="K15" i="2"/>
  <c r="T34" i="2" s="1"/>
  <c r="K14" i="2"/>
  <c r="C44" i="2"/>
  <c r="C43" i="2"/>
  <c r="C42" i="2"/>
  <c r="C33" i="2"/>
  <c r="X9" i="2" s="1"/>
  <c r="X11" i="2" s="1"/>
  <c r="C28" i="2"/>
  <c r="C23" i="2"/>
  <c r="C47" i="2"/>
  <c r="D94" i="1"/>
  <c r="C94" i="1"/>
  <c r="B94" i="1"/>
  <c r="B64" i="1"/>
  <c r="B34" i="1"/>
  <c r="CD29" i="2"/>
  <c r="BR29" i="2"/>
  <c r="K41" i="1"/>
  <c r="L41" i="1" s="1"/>
  <c r="K43" i="1"/>
  <c r="D144" i="1"/>
  <c r="AI40" i="2" s="1"/>
  <c r="C144" i="1" l="1"/>
  <c r="AH40" i="2" s="1"/>
  <c r="BR32" i="2"/>
  <c r="BY29" i="2"/>
  <c r="AO19" i="2"/>
  <c r="CB29" i="2"/>
  <c r="BT29" i="2"/>
  <c r="CA29" i="2"/>
  <c r="BU32" i="2"/>
  <c r="BZ30" i="2"/>
  <c r="CE30" i="2"/>
  <c r="CC30" i="2"/>
  <c r="BV30" i="2"/>
  <c r="BU30" i="2"/>
  <c r="Y16" i="2"/>
  <c r="M70" i="1"/>
  <c r="Z21" i="2"/>
  <c r="BZ32" i="2"/>
  <c r="BS32" i="2"/>
  <c r="BJ20" i="2"/>
  <c r="BR17" i="2" s="1"/>
  <c r="CF17" i="2" s="1"/>
  <c r="L43" i="1"/>
  <c r="M43" i="1" s="1"/>
  <c r="BV29" i="2"/>
  <c r="BS29" i="2"/>
  <c r="CC29" i="2"/>
  <c r="BZ29" i="2"/>
  <c r="BU29" i="2"/>
  <c r="BT30" i="2"/>
  <c r="BY30" i="2"/>
  <c r="CB30" i="2"/>
  <c r="BR30" i="2"/>
  <c r="CA30" i="2"/>
  <c r="CA32" i="2"/>
  <c r="CD32" i="2"/>
  <c r="BT32" i="2"/>
  <c r="BY32" i="2"/>
  <c r="CB32" i="2"/>
  <c r="BV32" i="2"/>
  <c r="Z20" i="2"/>
  <c r="Z16" i="2"/>
  <c r="Y20" i="2"/>
  <c r="AH38" i="2"/>
  <c r="CB37" i="2"/>
  <c r="CB27" i="2"/>
  <c r="I112" i="1"/>
  <c r="AG12" i="2" s="1"/>
  <c r="AH12" i="2" s="1"/>
  <c r="BT37" i="2"/>
  <c r="CB21" i="2"/>
  <c r="CC21" i="2"/>
  <c r="D112" i="1"/>
  <c r="AG11" i="2" s="1"/>
  <c r="AG10" i="2" s="1"/>
  <c r="AO14" i="2" s="1"/>
  <c r="BT27" i="2"/>
  <c r="CA21" i="2"/>
  <c r="AH17" i="2"/>
  <c r="AQ17" i="2" s="1"/>
  <c r="AG17" i="2"/>
  <c r="CA28" i="2" s="1"/>
  <c r="AI17" i="2"/>
  <c r="AS17" i="2" s="1"/>
  <c r="D42" i="1"/>
  <c r="Y34" i="2" s="1"/>
  <c r="D40" i="1"/>
  <c r="Y33" i="2" s="1"/>
  <c r="X33" i="2"/>
  <c r="CA37" i="2"/>
  <c r="X36" i="2"/>
  <c r="D45" i="1"/>
  <c r="Y36" i="2" s="1"/>
  <c r="X42" i="2"/>
  <c r="X44" i="2"/>
  <c r="X46" i="2"/>
  <c r="BY37" i="2"/>
  <c r="BY21" i="2"/>
  <c r="BY27" i="2"/>
  <c r="B138" i="1"/>
  <c r="BU27" i="2"/>
  <c r="CF19" i="2"/>
  <c r="BU37" i="2"/>
  <c r="BU21" i="2"/>
  <c r="X37" i="2"/>
  <c r="X43" i="2"/>
  <c r="X45" i="2"/>
  <c r="D50" i="1"/>
  <c r="Y45" i="2" s="1"/>
  <c r="BT21" i="2"/>
  <c r="D51" i="1"/>
  <c r="Y46" i="2" s="1"/>
  <c r="D46" i="1"/>
  <c r="Y37" i="2" s="1"/>
  <c r="AG38" i="2"/>
  <c r="BR31" i="2" s="1"/>
  <c r="BV37" i="2"/>
  <c r="BZ37" i="2"/>
  <c r="D48" i="1"/>
  <c r="Y43" i="2" s="1"/>
  <c r="M41" i="1"/>
  <c r="N41" i="1" s="1"/>
  <c r="D49" i="1"/>
  <c r="Y44" i="2" s="1"/>
  <c r="D47" i="1"/>
  <c r="Y42" i="2" s="1"/>
  <c r="Q23" i="2"/>
  <c r="BR23" i="2" s="1"/>
  <c r="CF23" i="2" s="1"/>
  <c r="BS37" i="2"/>
  <c r="CD37" i="2"/>
  <c r="CE37" i="2"/>
  <c r="BR21" i="2"/>
  <c r="CA27" i="2"/>
  <c r="CC27" i="2"/>
  <c r="AO17" i="2"/>
  <c r="Q12" i="2"/>
  <c r="BT31" i="2"/>
  <c r="CE21" i="2"/>
  <c r="BS31" i="2"/>
  <c r="BS27" i="2"/>
  <c r="BV21" i="2"/>
  <c r="BZ21" i="2"/>
  <c r="CD21" i="2"/>
  <c r="CE27" i="2"/>
  <c r="CF20" i="2"/>
  <c r="BS21" i="2"/>
  <c r="BV27" i="2"/>
  <c r="BZ27" i="2"/>
  <c r="Q40" i="2"/>
  <c r="Q48" i="2" s="1"/>
  <c r="D44" i="1"/>
  <c r="E44" i="1" s="1"/>
  <c r="X35" i="2"/>
  <c r="AO45" i="2"/>
  <c r="BJ16" i="2" s="1"/>
  <c r="AQ45" i="2"/>
  <c r="BK16" i="2" s="1"/>
  <c r="AI42" i="2"/>
  <c r="AS24" i="2" s="1"/>
  <c r="C64" i="1"/>
  <c r="AQ24" i="2"/>
  <c r="AQ25" i="2" s="1"/>
  <c r="Y17" i="2"/>
  <c r="BT33" i="2"/>
  <c r="CA33" i="2"/>
  <c r="X17" i="2"/>
  <c r="CD33" i="2"/>
  <c r="BY33" i="2"/>
  <c r="AS45" i="2"/>
  <c r="BL16" i="2" s="1"/>
  <c r="CF15" i="2"/>
  <c r="Z17" i="2"/>
  <c r="AS20" i="2"/>
  <c r="BZ33" i="2"/>
  <c r="BU33" i="2"/>
  <c r="CE33" i="2"/>
  <c r="C39" i="1"/>
  <c r="BR33" i="2"/>
  <c r="CB33" i="2"/>
  <c r="BS33" i="2"/>
  <c r="CC33" i="2"/>
  <c r="BV33" i="2"/>
  <c r="AQ20" i="2" l="1"/>
  <c r="AP19" i="2"/>
  <c r="CF32" i="2"/>
  <c r="CF30" i="2"/>
  <c r="CF29" i="2"/>
  <c r="BJ19" i="2"/>
  <c r="BR16" i="2" s="1"/>
  <c r="CF16" i="2" s="1"/>
  <c r="L70" i="1"/>
  <c r="N43" i="1"/>
  <c r="AO15" i="2"/>
  <c r="AO16" i="2" s="1"/>
  <c r="AH11" i="2"/>
  <c r="AI11" i="2" s="1"/>
  <c r="B137" i="1"/>
  <c r="CE28" i="2"/>
  <c r="BU28" i="2"/>
  <c r="CC28" i="2"/>
  <c r="CB28" i="2"/>
  <c r="BT28" i="2"/>
  <c r="BY28" i="2"/>
  <c r="BV28" i="2"/>
  <c r="CD28" i="2"/>
  <c r="BZ28" i="2"/>
  <c r="BR28" i="2"/>
  <c r="BS28" i="2"/>
  <c r="X40" i="2"/>
  <c r="E51" i="1"/>
  <c r="Z46" i="2" s="1"/>
  <c r="E50" i="1"/>
  <c r="Y40" i="2"/>
  <c r="BJ14" i="2"/>
  <c r="E42" i="1"/>
  <c r="F42" i="1" s="1"/>
  <c r="E40" i="1"/>
  <c r="Q32" i="2"/>
  <c r="BR22" i="2"/>
  <c r="CF22" i="2" s="1"/>
  <c r="Y35" i="2"/>
  <c r="BS35" i="2"/>
  <c r="J70" i="1"/>
  <c r="CD31" i="2"/>
  <c r="CD34" i="2" s="1"/>
  <c r="BV31" i="2"/>
  <c r="BU31" i="2"/>
  <c r="BU34" i="2" s="1"/>
  <c r="CC31" i="2"/>
  <c r="CC34" i="2" s="1"/>
  <c r="X31" i="2"/>
  <c r="CE31" i="2"/>
  <c r="CE34" i="2" s="1"/>
  <c r="CB31" i="2"/>
  <c r="CB34" i="2" s="1"/>
  <c r="E47" i="1"/>
  <c r="Z42" i="2" s="1"/>
  <c r="K70" i="1"/>
  <c r="BS26" i="2" s="1"/>
  <c r="C138" i="1"/>
  <c r="AI12" i="2"/>
  <c r="BV34" i="2"/>
  <c r="Y31" i="2"/>
  <c r="BT34" i="2"/>
  <c r="CF21" i="2"/>
  <c r="CF27" i="2"/>
  <c r="CA31" i="2"/>
  <c r="CA34" i="2" s="1"/>
  <c r="BA11" i="2"/>
  <c r="BA36" i="2" s="1"/>
  <c r="AO13" i="2"/>
  <c r="BS34" i="2"/>
  <c r="BY31" i="2"/>
  <c r="BY34" i="2" s="1"/>
  <c r="AO20" i="2"/>
  <c r="AP20" i="2" s="1"/>
  <c r="BZ31" i="2"/>
  <c r="BZ34" i="2" s="1"/>
  <c r="E48" i="1"/>
  <c r="F51" i="1"/>
  <c r="E46" i="1"/>
  <c r="E49" i="1"/>
  <c r="E45" i="1"/>
  <c r="AP17" i="2"/>
  <c r="AS25" i="2"/>
  <c r="CF33" i="2"/>
  <c r="BR34" i="2"/>
  <c r="D39" i="1"/>
  <c r="E39" i="1" s="1"/>
  <c r="AI43" i="2" s="1"/>
  <c r="AG43" i="2"/>
  <c r="Z35" i="2"/>
  <c r="F44" i="1"/>
  <c r="BR24" i="2" l="1"/>
  <c r="CF31" i="2"/>
  <c r="X48" i="2"/>
  <c r="BR37" i="2"/>
  <c r="CF37" i="2" s="1"/>
  <c r="AG13" i="2"/>
  <c r="AG16" i="2" s="1"/>
  <c r="AG35" i="2" s="1"/>
  <c r="AG41" i="2" s="1"/>
  <c r="AG44" i="2" s="1"/>
  <c r="Z34" i="2"/>
  <c r="AI10" i="2"/>
  <c r="BC11" i="2" s="1"/>
  <c r="J137" i="1"/>
  <c r="C137" i="1"/>
  <c r="D137" i="1"/>
  <c r="AS15" i="2"/>
  <c r="AH10" i="2"/>
  <c r="AQ13" i="2" s="1"/>
  <c r="CF28" i="2"/>
  <c r="Z45" i="2"/>
  <c r="F50" i="1"/>
  <c r="Y48" i="2"/>
  <c r="Z33" i="2"/>
  <c r="F40" i="1"/>
  <c r="BZ26" i="2"/>
  <c r="CD26" i="2"/>
  <c r="CE26" i="2"/>
  <c r="BR26" i="2"/>
  <c r="BY26" i="2"/>
  <c r="BV26" i="2"/>
  <c r="CC26" i="2"/>
  <c r="CB26" i="2"/>
  <c r="BY35" i="2"/>
  <c r="BY36" i="2" s="1"/>
  <c r="BY39" i="2" s="1"/>
  <c r="CA26" i="2"/>
  <c r="BZ35" i="2"/>
  <c r="BU35" i="2"/>
  <c r="BR35" i="2"/>
  <c r="CB35" i="2"/>
  <c r="BV35" i="2"/>
  <c r="CE35" i="2"/>
  <c r="CD35" i="2"/>
  <c r="BT35" i="2"/>
  <c r="AO24" i="2"/>
  <c r="AP24" i="2" s="1"/>
  <c r="CC35" i="2"/>
  <c r="CA35" i="2"/>
  <c r="Z44" i="2"/>
  <c r="BU26" i="2"/>
  <c r="BT26" i="2"/>
  <c r="CF34" i="2"/>
  <c r="Z36" i="2"/>
  <c r="F45" i="1"/>
  <c r="Z43" i="2"/>
  <c r="F48" i="1"/>
  <c r="F49" i="1"/>
  <c r="J42" i="1"/>
  <c r="K42" i="1" s="1"/>
  <c r="J138" i="1"/>
  <c r="D138" i="1"/>
  <c r="Z37" i="2"/>
  <c r="BZ36" i="2"/>
  <c r="BZ39" i="2" s="1"/>
  <c r="F46" i="1"/>
  <c r="F47" i="1"/>
  <c r="AP16" i="2"/>
  <c r="AO18" i="2"/>
  <c r="BA12" i="2"/>
  <c r="AP15" i="2"/>
  <c r="BS36" i="2"/>
  <c r="BS39" i="2" s="1"/>
  <c r="J44" i="1"/>
  <c r="K44" i="1" s="1"/>
  <c r="CF24" i="2"/>
  <c r="AO22" i="2"/>
  <c r="AS22" i="2"/>
  <c r="AH43" i="2"/>
  <c r="F39" i="1"/>
  <c r="CC36" i="2" l="1"/>
  <c r="CC39" i="2" s="1"/>
  <c r="CE36" i="2"/>
  <c r="CE39" i="2" s="1"/>
  <c r="BU36" i="2"/>
  <c r="BU39" i="2" s="1"/>
  <c r="Z40" i="2"/>
  <c r="AG52" i="2"/>
  <c r="B139" i="1" s="1"/>
  <c r="Z31" i="2"/>
  <c r="AQ14" i="2"/>
  <c r="AR17" i="2" s="1"/>
  <c r="AS13" i="2"/>
  <c r="AS14" i="2"/>
  <c r="AT25" i="2" s="1"/>
  <c r="BB11" i="2"/>
  <c r="BB36" i="2" s="1"/>
  <c r="AI13" i="2"/>
  <c r="AI16" i="2" s="1"/>
  <c r="AI35" i="2" s="1"/>
  <c r="AI41" i="2" s="1"/>
  <c r="AI44" i="2" s="1"/>
  <c r="AI45" i="2" s="1"/>
  <c r="AI47" i="2" s="1"/>
  <c r="AH13" i="2"/>
  <c r="AQ15" i="2"/>
  <c r="BB12" i="2" s="1"/>
  <c r="BB13" i="2" s="1"/>
  <c r="AH16" i="2"/>
  <c r="AH35" i="2" s="1"/>
  <c r="AH41" i="2" s="1"/>
  <c r="AH44" i="2" s="1"/>
  <c r="CD36" i="2"/>
  <c r="CD39" i="2" s="1"/>
  <c r="CA36" i="2"/>
  <c r="CA39" i="2" s="1"/>
  <c r="BV36" i="2"/>
  <c r="BV39" i="2" s="1"/>
  <c r="J50" i="1"/>
  <c r="K50" i="1" s="1"/>
  <c r="L50" i="1" s="1"/>
  <c r="J40" i="1"/>
  <c r="K40" i="1" s="1"/>
  <c r="BR36" i="2"/>
  <c r="BR39" i="2" s="1"/>
  <c r="BR40" i="2" s="1"/>
  <c r="CF26" i="2"/>
  <c r="CB36" i="2"/>
  <c r="CB39" i="2" s="1"/>
  <c r="AO25" i="2"/>
  <c r="AP25" i="2" s="1"/>
  <c r="CF35" i="2"/>
  <c r="BT36" i="2"/>
  <c r="BT39" i="2" s="1"/>
  <c r="Z48" i="2"/>
  <c r="J51" i="1"/>
  <c r="K51" i="1" s="1"/>
  <c r="L42" i="1"/>
  <c r="M42" i="1" s="1"/>
  <c r="AR19" i="2"/>
  <c r="BA13" i="2"/>
  <c r="BA14" i="2" s="1"/>
  <c r="BA15" i="2" s="1"/>
  <c r="BA38" i="2"/>
  <c r="BA39" i="2" s="1"/>
  <c r="BJ15" i="2" s="1"/>
  <c r="BJ17" i="2" s="1"/>
  <c r="BC12" i="2"/>
  <c r="AP18" i="2"/>
  <c r="AO21" i="2"/>
  <c r="AP21" i="2" s="1"/>
  <c r="BC36" i="2"/>
  <c r="AS43" i="2"/>
  <c r="AT22" i="2"/>
  <c r="BC16" i="2"/>
  <c r="AO43" i="2"/>
  <c r="AP22" i="2"/>
  <c r="BA16" i="2"/>
  <c r="L44" i="1"/>
  <c r="M44" i="1" s="1"/>
  <c r="AG45" i="2"/>
  <c r="AG47" i="2" s="1"/>
  <c r="BA18" i="2"/>
  <c r="AQ22" i="2"/>
  <c r="AT17" i="2" l="1"/>
  <c r="AR25" i="2"/>
  <c r="L40" i="1"/>
  <c r="M40" i="1" s="1"/>
  <c r="AT20" i="2"/>
  <c r="AT15" i="2"/>
  <c r="AR20" i="2"/>
  <c r="AR24" i="2"/>
  <c r="AT24" i="2"/>
  <c r="AT19" i="2"/>
  <c r="AS16" i="2"/>
  <c r="AT16" i="2" s="1"/>
  <c r="AI52" i="2"/>
  <c r="J139" i="1" s="1"/>
  <c r="BB38" i="2"/>
  <c r="BB39" i="2" s="1"/>
  <c r="BK15" i="2" s="1"/>
  <c r="BK17" i="2" s="1"/>
  <c r="BB14" i="2"/>
  <c r="BB15" i="2" s="1"/>
  <c r="AR15" i="2"/>
  <c r="AQ16" i="2"/>
  <c r="AR16" i="2" s="1"/>
  <c r="AH52" i="2"/>
  <c r="C139" i="1" s="1"/>
  <c r="L51" i="1"/>
  <c r="M51" i="1" s="1"/>
  <c r="N51" i="1" s="1"/>
  <c r="N42" i="1"/>
  <c r="CF36" i="2"/>
  <c r="BC18" i="2"/>
  <c r="D139" i="1"/>
  <c r="M50" i="1"/>
  <c r="N50" i="1" s="1"/>
  <c r="J48" i="1"/>
  <c r="J49" i="1"/>
  <c r="K49" i="1" s="1"/>
  <c r="L49" i="1" s="1"/>
  <c r="M49" i="1" s="1"/>
  <c r="BC38" i="2"/>
  <c r="BC39" i="2" s="1"/>
  <c r="BC13" i="2"/>
  <c r="BC14" i="2" s="1"/>
  <c r="BC15" i="2" s="1"/>
  <c r="BC19" i="2" s="1"/>
  <c r="AO23" i="2"/>
  <c r="AO26" i="2" s="1"/>
  <c r="N44" i="1"/>
  <c r="J39" i="1"/>
  <c r="K39" i="1" s="1"/>
  <c r="L39" i="1" s="1"/>
  <c r="BC17" i="2"/>
  <c r="BR41" i="2"/>
  <c r="BS38" i="2"/>
  <c r="BS40" i="2" s="1"/>
  <c r="AQ43" i="2"/>
  <c r="AR22" i="2"/>
  <c r="BB16" i="2"/>
  <c r="BA19" i="2"/>
  <c r="BA17" i="2"/>
  <c r="AH45" i="2"/>
  <c r="AH47" i="2" s="1"/>
  <c r="BB18" i="2"/>
  <c r="AS18" i="2" l="1"/>
  <c r="AT18" i="2" s="1"/>
  <c r="BL15" i="2"/>
  <c r="BL17" i="2" s="1"/>
  <c r="AQ18" i="2"/>
  <c r="AR18" i="2" s="1"/>
  <c r="N40" i="1"/>
  <c r="AP23" i="2"/>
  <c r="J46" i="1"/>
  <c r="K46" i="1" s="1"/>
  <c r="L46" i="1" s="1"/>
  <c r="N49" i="1"/>
  <c r="K48" i="1"/>
  <c r="L48" i="1" s="1"/>
  <c r="J45" i="1"/>
  <c r="J47" i="1"/>
  <c r="K47" i="1" s="1"/>
  <c r="L47" i="1" s="1"/>
  <c r="M47" i="1" s="1"/>
  <c r="N47" i="1" s="1"/>
  <c r="AS21" i="2"/>
  <c r="BB19" i="2"/>
  <c r="BB17" i="2"/>
  <c r="M39" i="1"/>
  <c r="N39" i="1" s="1"/>
  <c r="BA20" i="2"/>
  <c r="D148" i="1" s="1"/>
  <c r="E148" i="1" s="1"/>
  <c r="BA21" i="2"/>
  <c r="BC21" i="2"/>
  <c r="BC20" i="2"/>
  <c r="AP26" i="2"/>
  <c r="AO27" i="2"/>
  <c r="BT38" i="2"/>
  <c r="BT40" i="2" s="1"/>
  <c r="BS41" i="2"/>
  <c r="AQ21" i="2" l="1"/>
  <c r="AQ23" i="2" s="1"/>
  <c r="M48" i="1"/>
  <c r="N48" i="1" s="1"/>
  <c r="AR21" i="2"/>
  <c r="M46" i="1"/>
  <c r="N46" i="1" s="1"/>
  <c r="K45" i="1"/>
  <c r="L45" i="1" s="1"/>
  <c r="M45" i="1" s="1"/>
  <c r="N45" i="1" s="1"/>
  <c r="AT21" i="2"/>
  <c r="AS23" i="2"/>
  <c r="AP27" i="2"/>
  <c r="AO28" i="2"/>
  <c r="AP28" i="2" s="1"/>
  <c r="AO42" i="2"/>
  <c r="AO44" i="2" s="1"/>
  <c r="BU38" i="2"/>
  <c r="BU40" i="2" s="1"/>
  <c r="BT41" i="2"/>
  <c r="BB21" i="2"/>
  <c r="BB20" i="2"/>
  <c r="AQ26" i="2" l="1"/>
  <c r="AR23" i="2"/>
  <c r="AT23" i="2"/>
  <c r="AS26" i="2"/>
  <c r="BU41" i="2"/>
  <c r="BV38" i="2"/>
  <c r="BV40" i="2" s="1"/>
  <c r="AO46" i="2"/>
  <c r="BJ22" i="2"/>
  <c r="BJ23" i="2" s="1"/>
  <c r="BJ24" i="2" s="1"/>
  <c r="BJ25" i="2" s="1"/>
  <c r="AQ27" i="2" l="1"/>
  <c r="AR26" i="2"/>
  <c r="AS27" i="2"/>
  <c r="AT26" i="2"/>
  <c r="BY38" i="2"/>
  <c r="BY40" i="2" s="1"/>
  <c r="BV41" i="2"/>
  <c r="AQ28" i="2" l="1"/>
  <c r="AR28" i="2" s="1"/>
  <c r="AQ42" i="2"/>
  <c r="AQ44" i="2" s="1"/>
  <c r="AR27" i="2"/>
  <c r="AS42" i="2"/>
  <c r="AS44" i="2" s="1"/>
  <c r="AS28" i="2"/>
  <c r="AT28" i="2" s="1"/>
  <c r="AT27" i="2"/>
  <c r="BY41" i="2"/>
  <c r="BZ38" i="2"/>
  <c r="BZ40" i="2" s="1"/>
  <c r="BK22" i="2" l="1"/>
  <c r="BK23" i="2" s="1"/>
  <c r="BK24" i="2" s="1"/>
  <c r="BK25" i="2" s="1"/>
  <c r="AQ46" i="2"/>
  <c r="BL22" i="2"/>
  <c r="BL23" i="2" s="1"/>
  <c r="BL24" i="2" s="1"/>
  <c r="AS46" i="2"/>
  <c r="CA38" i="2"/>
  <c r="CA40" i="2" s="1"/>
  <c r="BZ41" i="2"/>
  <c r="BL25" i="2" l="1"/>
  <c r="CA41" i="2"/>
  <c r="CB38" i="2"/>
  <c r="CB40" i="2" s="1"/>
  <c r="CB41" i="2" l="1"/>
  <c r="CC38" i="2"/>
  <c r="CC40" i="2" s="1"/>
  <c r="CC41" i="2" l="1"/>
  <c r="CD38" i="2"/>
  <c r="CD40" i="2" s="1"/>
  <c r="CD41" i="2" l="1"/>
  <c r="CE38" i="2"/>
  <c r="CE40" i="2" s="1"/>
  <c r="CE41" i="2" s="1"/>
  <c r="CF41" i="2" l="1"/>
  <c r="D152" i="1" s="1"/>
  <c r="E152" i="1" s="1"/>
</calcChain>
</file>

<file path=xl/sharedStrings.xml><?xml version="1.0" encoding="utf-8"?>
<sst xmlns="http://schemas.openxmlformats.org/spreadsheetml/2006/main" count="422" uniqueCount="291">
  <si>
    <t>Votre nom :</t>
  </si>
  <si>
    <t>Votre projet :</t>
  </si>
  <si>
    <t>Votre statut juridique :</t>
  </si>
  <si>
    <t>Micro-entreprise</t>
  </si>
  <si>
    <t>Votre numéro de téléphone :</t>
  </si>
  <si>
    <t>Saisissez dans cet onglet toutes les données de votre projet</t>
  </si>
  <si>
    <t>Nom de votre projet ou description de votre activité</t>
  </si>
  <si>
    <t>Frais d’ouverture de compteurs</t>
  </si>
  <si>
    <t>Eau, électricité, gaz</t>
  </si>
  <si>
    <t>Frais de dépôt ou d’enregistrement</t>
  </si>
  <si>
    <t>Par exemple pour intégrer un réseau de franchise</t>
  </si>
  <si>
    <t>Achat fonds de commerce ou parts</t>
  </si>
  <si>
    <t>Dans le cas d'une reprise</t>
  </si>
  <si>
    <t>Droit au bail</t>
  </si>
  <si>
    <t>Pour la signature des contrats et baux commerciaux</t>
  </si>
  <si>
    <t>Pour l'aménagement du local</t>
  </si>
  <si>
    <t>Matériel, outillage, machines, véhicules…</t>
  </si>
  <si>
    <t>Matériel de bureau</t>
  </si>
  <si>
    <t>Fournitures, ordinateur, imprimante</t>
  </si>
  <si>
    <t>Stock de matières et produits</t>
  </si>
  <si>
    <t>Matières premières, produits finis ou semi-finis</t>
  </si>
  <si>
    <t>Enseigne et éléments de communication</t>
  </si>
  <si>
    <t>Cartes de visite, brochures, logo, site internet, éléments graphiques</t>
  </si>
  <si>
    <t>Assurances</t>
  </si>
  <si>
    <t>Téléphone, internet</t>
  </si>
  <si>
    <t>Carburant</t>
  </si>
  <si>
    <t>Frais de déplacement et hébergement</t>
  </si>
  <si>
    <t>Salaires employés</t>
  </si>
  <si>
    <t>Charges sociales employés</t>
  </si>
  <si>
    <t>Mutuelle</t>
  </si>
  <si>
    <t>Fournitures diverses</t>
  </si>
  <si>
    <t>Entretien matériel et vêtements</t>
  </si>
  <si>
    <t>Nettoyage des locaux</t>
  </si>
  <si>
    <t>Loyer et charges locatives</t>
  </si>
  <si>
    <t>Expert comptable, avocats</t>
  </si>
  <si>
    <t>Frais bancaires et terminal carte bleue</t>
  </si>
  <si>
    <t>Charges financières</t>
  </si>
  <si>
    <t>Dépôt marque, brevet, modèle</t>
  </si>
  <si>
    <t>Droits d’entrée</t>
  </si>
  <si>
    <t>Caution ou dépôt de garantie</t>
  </si>
  <si>
    <t>Frais de notaire ou d’avocat</t>
  </si>
  <si>
    <t>Travaux et aménagements</t>
  </si>
  <si>
    <t>Matériel</t>
  </si>
  <si>
    <t>Trésorerie de départ</t>
  </si>
  <si>
    <t>Année 1</t>
  </si>
  <si>
    <t>Année 2</t>
  </si>
  <si>
    <t>Année 3</t>
  </si>
  <si>
    <t>Autres abonnements</t>
  </si>
  <si>
    <t>Budget publicité et communication</t>
  </si>
  <si>
    <t>Autres charges (inscrire libellé ci-dessous) :</t>
  </si>
  <si>
    <t>TOTAL</t>
  </si>
  <si>
    <t>Frais de dossier</t>
  </si>
  <si>
    <t>Montant prêt n°1</t>
  </si>
  <si>
    <t>Montant prêt n°2</t>
  </si>
  <si>
    <t>Montant prêt n°3</t>
  </si>
  <si>
    <t>Nombre de jours travaillés</t>
  </si>
  <si>
    <t>Chiffre d'affaires moyen / jour</t>
  </si>
  <si>
    <r>
      <t>Prévoyez ici le chiffre d'affaires de votre activité (</t>
    </r>
    <r>
      <rPr>
        <i/>
        <u/>
        <sz val="11"/>
        <color rgb="FFFF0000"/>
        <rFont val="Calibri"/>
        <family val="2"/>
        <scheme val="minor"/>
      </rPr>
      <t>hors taxes</t>
    </r>
    <r>
      <rPr>
        <i/>
        <sz val="11"/>
        <color theme="1"/>
        <rFont val="Calibri"/>
        <family val="2"/>
        <scheme val="minor"/>
      </rPr>
      <t>).</t>
    </r>
  </si>
  <si>
    <t>Chiffre d'affaires mensuel</t>
  </si>
  <si>
    <t xml:space="preserve">  Pourcentage d'augmentation du chiffre d'affaire entre l'année 1 et l'année 2 :</t>
  </si>
  <si>
    <t xml:space="preserve">  Pourcentage d'augmentation du chiffre d'affaire entre l'année 2 et l'année 3 :</t>
  </si>
  <si>
    <t>Les charges variables sont liées au niveau d’activité ou à la production. Il s’agit des achats de marchandises destinées à être revendues, des achats de matières destinées à être transformées, des commissions versées à des agents commerciaux…</t>
  </si>
  <si>
    <t>1) Vos besoins de démarrage :</t>
  </si>
  <si>
    <t>2) Le financement de vos besoins de démarrage :</t>
  </si>
  <si>
    <t>3) Vos charges fixes :</t>
  </si>
  <si>
    <t>5) Vos charges variables :</t>
  </si>
  <si>
    <t>Renseignez les cases VERTES uniquement :</t>
  </si>
  <si>
    <t>D'après les éléments que vous avez indiqués, votre projet est :</t>
  </si>
  <si>
    <t>D'après les éléments que vous avez indiqués, votre trésorerie de départ est :</t>
  </si>
  <si>
    <t>6) Votre besoin en fonds de roulement :</t>
  </si>
  <si>
    <t>Création d'entreprise</t>
  </si>
  <si>
    <t>Votre adresse e-mail :</t>
  </si>
  <si>
    <t>(saisir taux)</t>
  </si>
  <si>
    <t>Projet :</t>
  </si>
  <si>
    <t>Porteur de projet :</t>
  </si>
  <si>
    <t>Immobilisations corporelles</t>
  </si>
  <si>
    <t>Emprunt</t>
  </si>
  <si>
    <t>Achat immobilier</t>
  </si>
  <si>
    <t>Immobilisations incorporelles</t>
  </si>
  <si>
    <t>Montant € hors taxes</t>
  </si>
  <si>
    <t>TOTAL BESOINS</t>
  </si>
  <si>
    <t xml:space="preserve">Apport personnel </t>
  </si>
  <si>
    <t>Apports en nature (en valeur)</t>
  </si>
  <si>
    <t>TOTAL RESSOURCES</t>
  </si>
  <si>
    <t>Compte de résultats prévisionnel sur 3 ans</t>
  </si>
  <si>
    <t>Achats consommés</t>
  </si>
  <si>
    <t>Charges externes</t>
  </si>
  <si>
    <t>Impôts et taxes</t>
  </si>
  <si>
    <t>8) Contrôle de votre seuil de rentabilité :</t>
  </si>
  <si>
    <t>9) Contrôle du niveau de votre trésorerie de départ :</t>
  </si>
  <si>
    <t>7) Salaires employés et rémunération chef d'entreprise</t>
  </si>
  <si>
    <t>Charges sociales dirigeant(s)</t>
  </si>
  <si>
    <t>Prélèvement dirigeant(s)</t>
  </si>
  <si>
    <t>Dotations aux amortissements</t>
  </si>
  <si>
    <t>Impôt sur les sociétés</t>
  </si>
  <si>
    <t>Oui</t>
  </si>
  <si>
    <t>Non</t>
  </si>
  <si>
    <t>Employés</t>
  </si>
  <si>
    <t>Vente de marchandises ou de services ?</t>
  </si>
  <si>
    <t>Services</t>
  </si>
  <si>
    <r>
      <t xml:space="preserve">Calcul des charges sociales </t>
    </r>
    <r>
      <rPr>
        <b/>
        <sz val="11"/>
        <color rgb="FFFF0000"/>
        <rFont val="Calibri"/>
        <family val="2"/>
        <scheme val="minor"/>
      </rPr>
      <t>sans ACCRE</t>
    </r>
  </si>
  <si>
    <r>
      <t>Calcul des charges sociales avec</t>
    </r>
    <r>
      <rPr>
        <b/>
        <sz val="11"/>
        <color rgb="FFFF0000"/>
        <rFont val="Calibri"/>
        <family val="2"/>
        <scheme val="minor"/>
      </rPr>
      <t xml:space="preserve"> ACCRE</t>
    </r>
  </si>
  <si>
    <t>Année 4</t>
  </si>
  <si>
    <t>Année 7</t>
  </si>
  <si>
    <t>Année 8</t>
  </si>
  <si>
    <t>Année 9</t>
  </si>
  <si>
    <t>Année 10</t>
  </si>
  <si>
    <t>Montant à amortir</t>
  </si>
  <si>
    <t>mensualité</t>
  </si>
  <si>
    <t>Analyse linéaire</t>
  </si>
  <si>
    <t>Intérêts sur toute la durée</t>
  </si>
  <si>
    <t>Marchandises (y compris hébergement et restauration)</t>
  </si>
  <si>
    <t>Impôt sur le revenu</t>
  </si>
  <si>
    <r>
      <t xml:space="preserve">Sélectionnez dans la liste déroulante </t>
    </r>
    <r>
      <rPr>
        <b/>
        <i/>
        <sz val="11"/>
        <color rgb="FFFF0000"/>
        <rFont val="Calibri"/>
        <family val="2"/>
        <scheme val="minor"/>
      </rPr>
      <t>(obligatoire)</t>
    </r>
  </si>
  <si>
    <t>Total charges dirigeant (somme.si)</t>
  </si>
  <si>
    <t>EURL (IS)</t>
  </si>
  <si>
    <t>Entreprise individuelle au réel (IR)</t>
  </si>
  <si>
    <t>SARL (IS)</t>
  </si>
  <si>
    <t>SAS (IS)</t>
  </si>
  <si>
    <t>SASU (IS)</t>
  </si>
  <si>
    <t>IR</t>
  </si>
  <si>
    <t>IS</t>
  </si>
  <si>
    <t>Chiffre à prendre en compte pour le calcul RSI EI</t>
  </si>
  <si>
    <t>Mixte</t>
  </si>
  <si>
    <t>% d'augmentation du chiffre d'affaire entre l'année 2 et l'année 3 :</t>
  </si>
  <si>
    <t>% d'augmentation du chiffre d'affaire entre l'année 1 et l'année 2 :</t>
  </si>
  <si>
    <r>
      <t xml:space="preserve">Année 1 - </t>
    </r>
    <r>
      <rPr>
        <b/>
        <u/>
        <sz val="14"/>
        <color rgb="FFFF0000"/>
        <rFont val="Calibri"/>
        <family val="2"/>
        <scheme val="minor"/>
      </rPr>
      <t>Vente de marchandises</t>
    </r>
  </si>
  <si>
    <r>
      <t xml:space="preserve">Année 1 - </t>
    </r>
    <r>
      <rPr>
        <b/>
        <u/>
        <sz val="14"/>
        <color rgb="FFFF0000"/>
        <rFont val="Calibri"/>
        <family val="2"/>
        <scheme val="minor"/>
      </rPr>
      <t>Services</t>
    </r>
  </si>
  <si>
    <t>4) Votre chiffre d'affaires de la première année :</t>
  </si>
  <si>
    <t>Chiffre d'affaires HT vente de marchandises</t>
  </si>
  <si>
    <t>Chiffre d'affaires HT services</t>
  </si>
  <si>
    <t xml:space="preserve"> Produits d'exploitation</t>
  </si>
  <si>
    <t xml:space="preserve"> Charges d'exploitation</t>
  </si>
  <si>
    <t xml:space="preserve"> Marge brute</t>
  </si>
  <si>
    <t xml:space="preserve"> Charges externes</t>
  </si>
  <si>
    <t xml:space="preserve"> Valeur ajoutée</t>
  </si>
  <si>
    <t xml:space="preserve"> Excédent brut d'exploitation</t>
  </si>
  <si>
    <t xml:space="preserve"> Résultat avant impôts</t>
  </si>
  <si>
    <t>MARCHAN</t>
  </si>
  <si>
    <t>SERVICES</t>
  </si>
  <si>
    <t>Frais bancaires, charges financières</t>
  </si>
  <si>
    <t>Investissements et financements</t>
  </si>
  <si>
    <t xml:space="preserve"> INVESTISSEMENTS</t>
  </si>
  <si>
    <t xml:space="preserve"> FINANCEMENT DES INVESTISSEMENTS</t>
  </si>
  <si>
    <t>Prêt n°1 (nom de la banque)</t>
  </si>
  <si>
    <t>Prêt n°2 (nom de la banque)</t>
  </si>
  <si>
    <t>Prêt n°3 (nom de la banque)</t>
  </si>
  <si>
    <t>Subvention n°1 (libellé)</t>
  </si>
  <si>
    <t>Subvention n°2 (libellé)</t>
  </si>
  <si>
    <t>Autre financement (libellé)</t>
  </si>
  <si>
    <t>taux</t>
  </si>
  <si>
    <t>durée mois</t>
  </si>
  <si>
    <t>Salaires et charges sociales</t>
  </si>
  <si>
    <t>Statut juridique :</t>
  </si>
  <si>
    <t>% augmentation</t>
  </si>
  <si>
    <t>Salaires des employés</t>
  </si>
  <si>
    <t xml:space="preserve"> Charges sociales employés</t>
  </si>
  <si>
    <t>Rémunération du (des) dirigeants</t>
  </si>
  <si>
    <t xml:space="preserve"> Charges sociales du (des) dirigeant(s)</t>
  </si>
  <si>
    <t>Statut social du (des) dirigeant(s) :</t>
  </si>
  <si>
    <t>Détail des amortissements</t>
  </si>
  <si>
    <t>Amortissements incorporels</t>
  </si>
  <si>
    <t>Amortissements corporels</t>
  </si>
  <si>
    <t>Total amortissements</t>
  </si>
  <si>
    <t>Soldes intermédiaires de gestion</t>
  </si>
  <si>
    <t>Chiffre d'affaires</t>
  </si>
  <si>
    <t>Ventes + production réelle</t>
  </si>
  <si>
    <t>Charges de personnel</t>
  </si>
  <si>
    <t xml:space="preserve"> Marge globale</t>
  </si>
  <si>
    <t>Dotation aux amortissements</t>
  </si>
  <si>
    <t xml:space="preserve"> Résultat d'exploitation</t>
  </si>
  <si>
    <t>Résultat financier</t>
  </si>
  <si>
    <t>Capacité d'autofinancement</t>
  </si>
  <si>
    <t xml:space="preserve"> Résultat courant</t>
  </si>
  <si>
    <t xml:space="preserve"> Résultat de l'exercice</t>
  </si>
  <si>
    <t xml:space="preserve"> + Dotation aux amortissements</t>
  </si>
  <si>
    <t xml:space="preserve"> - Remboursement des emprunts</t>
  </si>
  <si>
    <t>Autofinancement net</t>
  </si>
  <si>
    <t>%</t>
  </si>
  <si>
    <t>Intérêts année 3</t>
  </si>
  <si>
    <t>Principal année 1</t>
  </si>
  <si>
    <t>Principal année 2</t>
  </si>
  <si>
    <t>Principal année 3</t>
  </si>
  <si>
    <t>total à rembourser</t>
  </si>
  <si>
    <t>principal mensuel</t>
  </si>
  <si>
    <t>Intérêt / mois</t>
  </si>
  <si>
    <t>Seuil de rentabilité économique</t>
  </si>
  <si>
    <t>Total des coûts variables</t>
  </si>
  <si>
    <t>Marge sur coûts variables</t>
  </si>
  <si>
    <t>Coûts fixes</t>
  </si>
  <si>
    <t>Résultat courant avant impôts</t>
  </si>
  <si>
    <t>Excédent / insuffisance</t>
  </si>
  <si>
    <t>Point mort en chiffre d'affaires par jour ouvré</t>
  </si>
  <si>
    <t>Besoin en fonds de roulement</t>
  </si>
  <si>
    <t>Quel est, en % du prix de vente, le coût d'achat de vos marchandises ?</t>
  </si>
  <si>
    <t xml:space="preserve"> (concerne uniquement le chiffre d'affaires vente de marchandises)</t>
  </si>
  <si>
    <t xml:space="preserve"> Ressources</t>
  </si>
  <si>
    <t xml:space="preserve"> Besoins</t>
  </si>
  <si>
    <t>Volume dettes fournisseurs HT</t>
  </si>
  <si>
    <t>Volume crédit client HT</t>
  </si>
  <si>
    <t>délai jours</t>
  </si>
  <si>
    <t xml:space="preserve"> Besoin en fonds de roulement</t>
  </si>
  <si>
    <t>Solde de trésorerie</t>
  </si>
  <si>
    <t>Analyse clients / fournisseurs :</t>
  </si>
  <si>
    <t>Plan de financement à trois ans</t>
  </si>
  <si>
    <t xml:space="preserve"> Ventes + Production réelle</t>
  </si>
  <si>
    <t xml:space="preserve"> Taux de marge sur coûts variables</t>
  </si>
  <si>
    <t xml:space="preserve"> Total des charges</t>
  </si>
  <si>
    <t xml:space="preserve"> Seuil de rentabilité (chiffre d'affaires)</t>
  </si>
  <si>
    <t xml:space="preserve"> Total des besoins</t>
  </si>
  <si>
    <t>Variation du Besoin en fonds de roulement</t>
  </si>
  <si>
    <t>Remboursement d'emprunts</t>
  </si>
  <si>
    <t xml:space="preserve">   Immobilisations</t>
  </si>
  <si>
    <t>Apport personnel</t>
  </si>
  <si>
    <t>Emprunts</t>
  </si>
  <si>
    <t>Subventions</t>
  </si>
  <si>
    <t>Autres financements</t>
  </si>
  <si>
    <t>Capacité d'auto-financement</t>
  </si>
  <si>
    <t xml:space="preserve"> Total des ressources</t>
  </si>
  <si>
    <t>Variation de trésorerie</t>
  </si>
  <si>
    <t>Budget prévisionnel de trésorerie</t>
  </si>
  <si>
    <t>Mois 1</t>
  </si>
  <si>
    <t>Mois 2</t>
  </si>
  <si>
    <t>Mois 3</t>
  </si>
  <si>
    <t>Vente de marchandises</t>
  </si>
  <si>
    <t>Vente de services</t>
  </si>
  <si>
    <t>Chiffre d'affaires (total)</t>
  </si>
  <si>
    <t>Hors TVA</t>
  </si>
  <si>
    <t>Mois 4</t>
  </si>
  <si>
    <t>Budget prévisionnel de trésorerie (suite)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</si>
  <si>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</si>
  <si>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</si>
  <si>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</si>
  <si>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</si>
  <si>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</si>
  <si>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</si>
  <si>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</si>
  <si>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</si>
  <si>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Immobilisations (total)</t>
  </si>
  <si>
    <t>Échéances emprunt</t>
  </si>
  <si>
    <t>Achats de marchandises</t>
  </si>
  <si>
    <t>Total charges de personnel</t>
  </si>
  <si>
    <t>Total des décaissements</t>
  </si>
  <si>
    <t>Solde précédent</t>
  </si>
  <si>
    <t>Total des encaissements</t>
  </si>
  <si>
    <t>Ce sont les frais de création de l’entreprise (formalités)</t>
  </si>
  <si>
    <t>Logiciels, formations</t>
  </si>
  <si>
    <t>Pour la signature de contrats de prêt</t>
  </si>
  <si>
    <t>Acquisition d'immeuble</t>
  </si>
  <si>
    <r>
      <t xml:space="preserve">  (saisir des chiffres </t>
    </r>
    <r>
      <rPr>
        <i/>
        <u/>
        <sz val="10"/>
        <color theme="1"/>
        <rFont val="Calibri"/>
        <family val="2"/>
        <scheme val="minor"/>
      </rPr>
      <t>annuels</t>
    </r>
    <r>
      <rPr>
        <i/>
        <sz val="10"/>
        <color theme="1"/>
        <rFont val="Calibri"/>
        <family val="2"/>
        <scheme val="minor"/>
      </rPr>
      <t>)</t>
    </r>
  </si>
  <si>
    <r>
      <t xml:space="preserve">   sélectionnez dans la liste de choix </t>
    </r>
    <r>
      <rPr>
        <b/>
        <i/>
        <sz val="11"/>
        <color rgb="FFFF0000"/>
        <rFont val="Calibri"/>
        <family val="2"/>
        <scheme val="minor"/>
      </rPr>
      <t>(obligatoire)</t>
    </r>
  </si>
  <si>
    <t>Bénéfice de l'Accre :</t>
  </si>
  <si>
    <t>Solde du mois</t>
  </si>
  <si>
    <t>Solde de trésorerie (cumul)</t>
  </si>
  <si>
    <t>Première année</t>
  </si>
  <si>
    <t xml:space="preserve">  Durée d'amortissement des investissements :</t>
  </si>
  <si>
    <t>Compteurs d'eau, électricité, gaz…</t>
  </si>
  <si>
    <r>
      <t xml:space="preserve">Listez toutes les dépenses ou investissements que vous devrez faire </t>
    </r>
    <r>
      <rPr>
        <i/>
        <u/>
        <sz val="11"/>
        <color theme="1"/>
        <rFont val="Calibri"/>
        <family val="2"/>
        <scheme val="minor"/>
      </rPr>
      <t xml:space="preserve">avant même de démarrer l’activité, </t>
    </r>
    <r>
      <rPr>
        <i/>
        <u/>
        <sz val="11"/>
        <color rgb="FFFF0000"/>
        <rFont val="Calibri"/>
        <family val="2"/>
        <scheme val="minor"/>
      </rPr>
      <t>en hors taxes (ou TTC si vous n'êtes pas soumis à la TVA)</t>
    </r>
  </si>
  <si>
    <t>Montant année 1</t>
  </si>
  <si>
    <t>Montant année 2</t>
  </si>
  <si>
    <t>Montant année 3</t>
  </si>
  <si>
    <t>Montant</t>
  </si>
  <si>
    <t>Etude financière 
prévisionnelle sur 3 ans</t>
  </si>
  <si>
    <t>Votre ville ou commune d'activité :</t>
  </si>
  <si>
    <r>
      <t xml:space="preserve"> (</t>
    </r>
    <r>
      <rPr>
        <b/>
        <i/>
        <u/>
        <sz val="11"/>
        <color rgb="FFFF0000"/>
        <rFont val="Calibri"/>
        <family val="2"/>
        <scheme val="minor"/>
      </rPr>
      <t>obligatoire</t>
    </r>
    <r>
      <rPr>
        <i/>
        <sz val="11"/>
        <color rgb="FFFF0000"/>
        <rFont val="Calibri"/>
        <family val="2"/>
        <scheme val="minor"/>
      </rPr>
      <t xml:space="preserve"> ;</t>
    </r>
    <r>
      <rPr>
        <i/>
        <sz val="11"/>
        <color theme="1"/>
        <rFont val="Calibri"/>
        <family val="2"/>
        <scheme val="minor"/>
      </rPr>
      <t xml:space="preserve"> durée de vie des acquisitions de départ, en années)</t>
    </r>
  </si>
  <si>
    <t>(saisir la durée en mois)</t>
  </si>
  <si>
    <r>
      <t xml:space="preserve">Salaires employés </t>
    </r>
    <r>
      <rPr>
        <b/>
        <sz val="11"/>
        <color theme="1"/>
        <rFont val="Calibri"/>
        <family val="2"/>
        <scheme val="minor"/>
      </rPr>
      <t>(net)</t>
    </r>
  </si>
  <si>
    <r>
      <t xml:space="preserve">Rémunération </t>
    </r>
    <r>
      <rPr>
        <b/>
        <sz val="11"/>
        <color theme="1"/>
        <rFont val="Calibri"/>
        <family val="2"/>
        <scheme val="minor"/>
      </rPr>
      <t>nette</t>
    </r>
    <r>
      <rPr>
        <sz val="11"/>
        <color theme="1"/>
        <rFont val="Calibri"/>
        <family val="2"/>
        <scheme val="minor"/>
      </rPr>
      <t xml:space="preserve"> dirigeant(s)</t>
    </r>
  </si>
  <si>
    <t>1ère année</t>
  </si>
  <si>
    <r>
      <t xml:space="preserve">10) Visualisez et imprimez votre plan financier : </t>
    </r>
    <r>
      <rPr>
        <b/>
        <u/>
        <sz val="20"/>
        <color theme="9" tint="-0.499984740745262"/>
        <rFont val="Calibri"/>
        <family val="2"/>
        <scheme val="minor"/>
      </rPr>
      <t>voir onglet suivant</t>
    </r>
  </si>
  <si>
    <t xml:space="preserve"> Résultat net comptable (résultat de l'exercice)</t>
  </si>
  <si>
    <r>
      <t xml:space="preserve">Durée moyenne des crédits accordés aux clients </t>
    </r>
    <r>
      <rPr>
        <b/>
        <sz val="11"/>
        <color theme="1"/>
        <rFont val="Calibri"/>
        <family val="2"/>
        <scheme val="minor"/>
      </rPr>
      <t>en jours</t>
    </r>
  </si>
  <si>
    <r>
      <t xml:space="preserve">Durée moyenne des dettes fournisseurs </t>
    </r>
    <r>
      <rPr>
        <b/>
        <sz val="11"/>
        <color theme="1"/>
        <rFont val="Calibri"/>
        <family val="2"/>
        <scheme val="minor"/>
      </rPr>
      <t>en jours</t>
    </r>
  </si>
  <si>
    <t>Libellé autre charge 1 (supprimer si inutile)</t>
  </si>
  <si>
    <t>Libellé autre charge 2 (supprimer si inutile)</t>
  </si>
  <si>
    <t>Libellé autre charge 3 (supprimer si inutile)</t>
  </si>
  <si>
    <t xml:space="preserve"> (temps qu'un client met pour vous payer)</t>
  </si>
  <si>
    <t xml:space="preserve"> (temps que vous mettez pour payer un fournisseur)</t>
  </si>
  <si>
    <t>Le plan financier apparaitra dans l'onglet suivant</t>
  </si>
  <si>
    <t>Rappel trésorerie début année 1 :</t>
  </si>
  <si>
    <t>Apport personnel ou familial</t>
  </si>
  <si>
    <t>Somme d’argent gardée en prévision du démarrage de l’activité pour financer le cycle d'exploitation</t>
  </si>
  <si>
    <r>
      <t xml:space="preserve">Listez vos charges courantes récurrentes, </t>
    </r>
    <r>
      <rPr>
        <i/>
        <u/>
        <sz val="11"/>
        <color rgb="FFFF0000"/>
        <rFont val="Calibri"/>
        <family val="2"/>
        <scheme val="minor"/>
      </rPr>
      <t>en hors taxe (ou TTC si vous n'êtes pas soumis à la TVA).</t>
    </r>
  </si>
  <si>
    <t>Acquisition stocks</t>
  </si>
  <si>
    <t>demo</t>
  </si>
  <si>
    <t>info</t>
  </si>
  <si>
    <t>Intérêts année 1</t>
  </si>
  <si>
    <t>Intérêts année 2</t>
  </si>
  <si>
    <t>Frais de constitution</t>
  </si>
  <si>
    <t>Taxes</t>
  </si>
  <si>
    <t>Le(s) dirigeant(s) bénéficient-ils de la subvention pour emploi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</si>
</sst>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#&quot; &quot;##&quot; &quot;##&quot; &quot;##&quot; &quot;##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24"/>
      <color rgb="FFC75F09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i/>
      <sz val="11"/>
      <color theme="3" tint="0.59999389629810485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Tahoma"/>
      <family val="2"/>
    </font>
    <font>
      <b/>
      <sz val="14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u/>
      <sz val="20"/>
      <color theme="9" tint="-0.499984740745262"/>
      <name val="Calibri"/>
      <family val="2"/>
      <scheme val="minor"/>
    </font>
    <font>
      <b/>
      <i/>
      <sz val="14"/>
      <color theme="6" tint="-0.249977111117893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indent="2"/>
    </xf>
    <xf numFmtId="0" fontId="7" fillId="0" borderId="0" xfId="0" applyFont="1" applyAlignment="1">
      <alignment horizontal="left" indent="4"/>
    </xf>
    <xf numFmtId="0" fontId="9" fillId="0" borderId="0" xfId="0" applyFont="1" applyAlignment="1">
      <alignment horizontal="left" indent="4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43" fontId="2" fillId="0" borderId="4" xfId="0" applyNumberFormat="1" applyFont="1" applyBorder="1"/>
    <xf numFmtId="17" fontId="0" fillId="0" borderId="0" xfId="0" applyNumberFormat="1" applyAlignment="1">
      <alignment horizontal="left" indent="17"/>
    </xf>
    <xf numFmtId="0" fontId="2" fillId="0" borderId="0" xfId="0" applyFont="1" applyAlignment="1">
      <alignment horizontal="right" vertical="center" wrapText="1"/>
    </xf>
    <xf numFmtId="43" fontId="0" fillId="0" borderId="0" xfId="1" applyFont="1"/>
    <xf numFmtId="43" fontId="2" fillId="0" borderId="4" xfId="1" applyFont="1" applyBorder="1"/>
    <xf numFmtId="0" fontId="2" fillId="0" borderId="0" xfId="0" applyFont="1" applyAlignment="1">
      <alignment horizontal="left" indent="25"/>
    </xf>
    <xf numFmtId="0" fontId="12" fillId="0" borderId="0" xfId="0" applyFont="1"/>
    <xf numFmtId="0" fontId="15" fillId="0" borderId="4" xfId="0" applyFont="1" applyBorder="1" applyAlignment="1">
      <alignment horizontal="center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0" borderId="0" xfId="0" applyFill="1"/>
    <xf numFmtId="0" fontId="0" fillId="0" borderId="0" xfId="0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8" xfId="0" applyBorder="1"/>
    <xf numFmtId="0" fontId="0" fillId="0" borderId="26" xfId="0" applyBorder="1"/>
    <xf numFmtId="0" fontId="2" fillId="0" borderId="28" xfId="0" applyFont="1" applyBorder="1"/>
    <xf numFmtId="0" fontId="2" fillId="0" borderId="28" xfId="0" applyFont="1" applyBorder="1" applyAlignment="1">
      <alignment horizontal="left" indent="1"/>
    </xf>
    <xf numFmtId="0" fontId="0" fillId="0" borderId="28" xfId="0" applyBorder="1" applyAlignment="1">
      <alignment horizontal="left" indent="3"/>
    </xf>
    <xf numFmtId="43" fontId="0" fillId="0" borderId="30" xfId="1" applyFont="1" applyBorder="1"/>
    <xf numFmtId="43" fontId="2" fillId="0" borderId="32" xfId="1" applyFont="1" applyBorder="1"/>
    <xf numFmtId="43" fontId="7" fillId="0" borderId="32" xfId="1" applyFont="1" applyBorder="1"/>
    <xf numFmtId="43" fontId="0" fillId="0" borderId="32" xfId="1" applyFont="1" applyBorder="1"/>
    <xf numFmtId="0" fontId="7" fillId="0" borderId="28" xfId="0" applyFont="1" applyBorder="1" applyAlignment="1">
      <alignment horizontal="left" indent="3"/>
    </xf>
    <xf numFmtId="43" fontId="2" fillId="3" borderId="21" xfId="1" applyFont="1" applyFill="1" applyBorder="1"/>
    <xf numFmtId="0" fontId="0" fillId="0" borderId="25" xfId="0" applyBorder="1" applyAlignment="1">
      <alignment horizontal="left" indent="3"/>
    </xf>
    <xf numFmtId="0" fontId="2" fillId="0" borderId="26" xfId="0" applyFont="1" applyBorder="1"/>
    <xf numFmtId="0" fontId="0" fillId="0" borderId="31" xfId="0" applyBorder="1"/>
    <xf numFmtId="0" fontId="2" fillId="0" borderId="28" xfId="0" applyFont="1" applyFill="1" applyBorder="1" applyAlignment="1">
      <alignment horizontal="left" indent="1"/>
    </xf>
    <xf numFmtId="0" fontId="0" fillId="0" borderId="0" xfId="0" applyFill="1" applyBorder="1"/>
    <xf numFmtId="0" fontId="7" fillId="0" borderId="28" xfId="0" applyFont="1" applyFill="1" applyBorder="1" applyAlignment="1">
      <alignment horizontal="left" indent="3"/>
    </xf>
    <xf numFmtId="0" fontId="0" fillId="0" borderId="28" xfId="0" applyFill="1" applyBorder="1" applyAlignment="1">
      <alignment horizontal="left" indent="3"/>
    </xf>
    <xf numFmtId="0" fontId="2" fillId="0" borderId="0" xfId="0" applyFont="1" applyFill="1" applyBorder="1"/>
    <xf numFmtId="0" fontId="0" fillId="0" borderId="25" xfId="0" applyFill="1" applyBorder="1" applyAlignment="1">
      <alignment horizontal="left" indent="3"/>
    </xf>
    <xf numFmtId="0" fontId="0" fillId="0" borderId="26" xfId="0" applyFill="1" applyBorder="1"/>
    <xf numFmtId="43" fontId="0" fillId="0" borderId="0" xfId="1" applyFont="1" applyFill="1" applyBorder="1"/>
    <xf numFmtId="0" fontId="2" fillId="0" borderId="0" xfId="0" applyFont="1" applyFill="1" applyBorder="1" applyAlignment="1">
      <alignment vertical="center"/>
    </xf>
    <xf numFmtId="0" fontId="2" fillId="0" borderId="22" xfId="0" applyFont="1" applyFill="1" applyBorder="1"/>
    <xf numFmtId="0" fontId="2" fillId="0" borderId="23" xfId="0" applyFont="1" applyFill="1" applyBorder="1" applyAlignment="1">
      <alignment vertical="center"/>
    </xf>
    <xf numFmtId="43" fontId="2" fillId="0" borderId="29" xfId="1" applyFont="1" applyFill="1" applyBorder="1"/>
    <xf numFmtId="43" fontId="7" fillId="0" borderId="29" xfId="1" applyFont="1" applyFill="1" applyBorder="1"/>
    <xf numFmtId="43" fontId="2" fillId="0" borderId="27" xfId="1" applyFont="1" applyFill="1" applyBorder="1"/>
    <xf numFmtId="43" fontId="0" fillId="0" borderId="2" xfId="1" applyFont="1" applyFill="1" applyBorder="1"/>
    <xf numFmtId="43" fontId="2" fillId="0" borderId="2" xfId="1" applyFont="1" applyFill="1" applyBorder="1"/>
    <xf numFmtId="43" fontId="2" fillId="0" borderId="36" xfId="1" applyFont="1" applyFill="1" applyBorder="1"/>
    <xf numFmtId="43" fontId="0" fillId="0" borderId="36" xfId="1" applyFont="1" applyFill="1" applyBorder="1"/>
    <xf numFmtId="43" fontId="2" fillId="0" borderId="35" xfId="0" applyNumberFormat="1" applyFont="1" applyFill="1" applyBorder="1" applyAlignment="1">
      <alignment vertical="center"/>
    </xf>
    <xf numFmtId="43" fontId="2" fillId="0" borderId="24" xfId="0" applyNumberFormat="1" applyFont="1" applyFill="1" applyBorder="1" applyAlignment="1">
      <alignment vertical="center" wrapText="1"/>
    </xf>
    <xf numFmtId="43" fontId="7" fillId="0" borderId="2" xfId="1" applyFont="1" applyFill="1" applyBorder="1"/>
    <xf numFmtId="0" fontId="2" fillId="3" borderId="33" xfId="0" applyFont="1" applyFill="1" applyBorder="1"/>
    <xf numFmtId="0" fontId="0" fillId="3" borderId="37" xfId="0" applyFill="1" applyBorder="1"/>
    <xf numFmtId="43" fontId="2" fillId="3" borderId="34" xfId="1" applyFont="1" applyFill="1" applyBorder="1"/>
    <xf numFmtId="43" fontId="2" fillId="3" borderId="38" xfId="1" applyFont="1" applyFill="1" applyBorder="1"/>
    <xf numFmtId="43" fontId="7" fillId="0" borderId="28" xfId="0" applyNumberFormat="1" applyFont="1" applyBorder="1" applyAlignment="1">
      <alignment horizontal="left" indent="3"/>
    </xf>
    <xf numFmtId="43" fontId="2" fillId="0" borderId="39" xfId="1" applyFont="1" applyFill="1" applyBorder="1"/>
    <xf numFmtId="43" fontId="7" fillId="0" borderId="39" xfId="1" applyFont="1" applyFill="1" applyBorder="1"/>
    <xf numFmtId="0" fontId="2" fillId="0" borderId="28" xfId="0" applyFont="1" applyFill="1" applyBorder="1" applyAlignment="1">
      <alignment horizontal="left" vertical="center" indent="1"/>
    </xf>
    <xf numFmtId="43" fontId="0" fillId="0" borderId="1" xfId="1" applyFont="1" applyFill="1" applyBorder="1"/>
    <xf numFmtId="43" fontId="2" fillId="0" borderId="1" xfId="1" applyFont="1" applyFill="1" applyBorder="1"/>
    <xf numFmtId="43" fontId="2" fillId="0" borderId="3" xfId="1" applyFont="1" applyFill="1" applyBorder="1"/>
    <xf numFmtId="0" fontId="13" fillId="0" borderId="0" xfId="0" applyFont="1" applyAlignment="1">
      <alignment horizontal="left"/>
    </xf>
    <xf numFmtId="43" fontId="13" fillId="0" borderId="0" xfId="0" applyNumberFormat="1" applyFont="1" applyAlignment="1">
      <alignment horizontal="left"/>
    </xf>
    <xf numFmtId="43" fontId="2" fillId="0" borderId="0" xfId="0" applyNumberFormat="1" applyFont="1" applyBorder="1"/>
    <xf numFmtId="43" fontId="2" fillId="0" borderId="0" xfId="0" applyNumberFormat="1" applyFont="1" applyBorder="1" applyAlignment="1">
      <alignment horizontal="right"/>
    </xf>
    <xf numFmtId="43" fontId="2" fillId="0" borderId="0" xfId="0" applyNumberFormat="1" applyFont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9" fillId="0" borderId="0" xfId="0" applyFont="1" applyAlignment="1">
      <alignment horizontal="left" indent="2"/>
    </xf>
    <xf numFmtId="43" fontId="0" fillId="0" borderId="0" xfId="0" applyNumberFormat="1"/>
    <xf numFmtId="0" fontId="7" fillId="0" borderId="0" xfId="0" applyFont="1" applyFill="1" applyBorder="1"/>
    <xf numFmtId="0" fontId="4" fillId="0" borderId="0" xfId="0" applyFont="1" applyAlignment="1">
      <alignment horizontal="left" vertical="center"/>
    </xf>
    <xf numFmtId="0" fontId="24" fillId="0" borderId="0" xfId="0" applyFont="1"/>
    <xf numFmtId="0" fontId="26" fillId="0" borderId="0" xfId="0" applyFont="1"/>
    <xf numFmtId="0" fontId="7" fillId="0" borderId="0" xfId="0" applyFont="1" applyAlignment="1">
      <alignment horizontal="left" indent="1"/>
    </xf>
    <xf numFmtId="0" fontId="27" fillId="0" borderId="19" xfId="0" applyFont="1" applyBorder="1" applyAlignment="1">
      <alignment vertical="top"/>
    </xf>
    <xf numFmtId="0" fontId="28" fillId="0" borderId="0" xfId="2" applyNumberFormat="1" applyFont="1" applyBorder="1"/>
    <xf numFmtId="0" fontId="28" fillId="0" borderId="0" xfId="0" applyFont="1" applyBorder="1" applyAlignment="1">
      <alignment horizontal="right"/>
    </xf>
    <xf numFmtId="43" fontId="2" fillId="0" borderId="0" xfId="1" applyFont="1" applyFill="1" applyBorder="1"/>
    <xf numFmtId="0" fontId="7" fillId="0" borderId="0" xfId="0" applyFont="1" applyBorder="1" applyAlignment="1">
      <alignment horizontal="left" indent="3"/>
    </xf>
    <xf numFmtId="43" fontId="7" fillId="0" borderId="0" xfId="1" applyFont="1" applyFill="1" applyBorder="1"/>
    <xf numFmtId="0" fontId="2" fillId="0" borderId="0" xfId="0" applyFont="1" applyFill="1" applyBorder="1" applyAlignment="1">
      <alignment horizontal="left" indent="1"/>
    </xf>
    <xf numFmtId="0" fontId="0" fillId="0" borderId="0" xfId="0" applyFill="1" applyBorder="1" applyAlignment="1">
      <alignment horizontal="left" indent="3"/>
    </xf>
    <xf numFmtId="9" fontId="7" fillId="0" borderId="2" xfId="2" applyFont="1" applyFill="1" applyBorder="1" applyAlignment="1">
      <alignment horizontal="center"/>
    </xf>
    <xf numFmtId="9" fontId="7" fillId="0" borderId="29" xfId="1" applyNumberFormat="1" applyFont="1" applyFill="1" applyBorder="1" applyAlignment="1">
      <alignment horizontal="center"/>
    </xf>
    <xf numFmtId="43" fontId="1" fillId="0" borderId="2" xfId="1" applyFont="1" applyFill="1" applyBorder="1"/>
    <xf numFmtId="0" fontId="7" fillId="0" borderId="0" xfId="0" applyFont="1" applyFill="1" applyBorder="1" applyAlignment="1">
      <alignment horizontal="left" indent="3"/>
    </xf>
    <xf numFmtId="0" fontId="0" fillId="0" borderId="25" xfId="0" applyBorder="1"/>
    <xf numFmtId="0" fontId="0" fillId="0" borderId="27" xfId="0" applyBorder="1"/>
    <xf numFmtId="0" fontId="2" fillId="0" borderId="22" xfId="0" applyFont="1" applyBorder="1" applyAlignment="1">
      <alignment horizontal="left" indent="1"/>
    </xf>
    <xf numFmtId="0" fontId="0" fillId="0" borderId="37" xfId="0" applyBorder="1"/>
    <xf numFmtId="0" fontId="2" fillId="0" borderId="33" xfId="0" applyFont="1" applyBorder="1" applyAlignment="1">
      <alignment horizontal="left" indent="1"/>
    </xf>
    <xf numFmtId="4" fontId="2" fillId="0" borderId="35" xfId="0" applyNumberFormat="1" applyFont="1" applyBorder="1"/>
    <xf numFmtId="4" fontId="2" fillId="0" borderId="24" xfId="1" applyNumberFormat="1" applyFont="1" applyBorder="1"/>
    <xf numFmtId="4" fontId="2" fillId="0" borderId="34" xfId="0" applyNumberFormat="1" applyFont="1" applyBorder="1"/>
    <xf numFmtId="4" fontId="7" fillId="0" borderId="2" xfId="0" applyNumberFormat="1" applyFont="1" applyBorder="1"/>
    <xf numFmtId="0" fontId="0" fillId="0" borderId="0" xfId="0" applyAlignment="1">
      <alignment horizontal="center"/>
    </xf>
    <xf numFmtId="0" fontId="13" fillId="0" borderId="37" xfId="0" applyFont="1" applyBorder="1" applyAlignment="1">
      <alignment horizontal="left"/>
    </xf>
    <xf numFmtId="0" fontId="13" fillId="0" borderId="38" xfId="0" applyFont="1" applyBorder="1" applyAlignment="1">
      <alignment horizontal="left"/>
    </xf>
    <xf numFmtId="4" fontId="2" fillId="0" borderId="41" xfId="0" applyNumberFormat="1" applyFont="1" applyBorder="1"/>
    <xf numFmtId="0" fontId="0" fillId="0" borderId="23" xfId="0" applyFill="1" applyBorder="1"/>
    <xf numFmtId="0" fontId="2" fillId="0" borderId="22" xfId="0" applyFont="1" applyFill="1" applyBorder="1" applyAlignment="1">
      <alignment horizontal="left" indent="1"/>
    </xf>
    <xf numFmtId="43" fontId="1" fillId="0" borderId="35" xfId="1" applyFont="1" applyFill="1" applyBorder="1"/>
    <xf numFmtId="43" fontId="1" fillId="0" borderId="29" xfId="1" applyFont="1" applyFill="1" applyBorder="1"/>
    <xf numFmtId="0" fontId="2" fillId="0" borderId="25" xfId="0" applyFont="1" applyFill="1" applyBorder="1" applyAlignment="1">
      <alignment horizontal="left" indent="1"/>
    </xf>
    <xf numFmtId="0" fontId="2" fillId="0" borderId="26" xfId="0" applyFont="1" applyFill="1" applyBorder="1"/>
    <xf numFmtId="0" fontId="0" fillId="0" borderId="28" xfId="0" applyFont="1" applyFill="1" applyBorder="1" applyAlignment="1">
      <alignment horizontal="left" indent="1"/>
    </xf>
    <xf numFmtId="0" fontId="0" fillId="0" borderId="28" xfId="0" applyFont="1" applyFill="1" applyBorder="1" applyAlignment="1">
      <alignment horizontal="left" vertical="center" indent="1"/>
    </xf>
    <xf numFmtId="0" fontId="0" fillId="0" borderId="0" xfId="0" applyFont="1" applyAlignment="1">
      <alignment horizontal="right"/>
    </xf>
    <xf numFmtId="43" fontId="1" fillId="0" borderId="0" xfId="1" applyFont="1" applyFill="1" applyBorder="1"/>
    <xf numFmtId="43" fontId="2" fillId="3" borderId="37" xfId="1" applyFont="1" applyFill="1" applyBorder="1"/>
    <xf numFmtId="43" fontId="2" fillId="3" borderId="44" xfId="1" applyFont="1" applyFill="1" applyBorder="1"/>
    <xf numFmtId="43" fontId="1" fillId="0" borderId="3" xfId="1" applyFont="1" applyFill="1" applyBorder="1"/>
    <xf numFmtId="43" fontId="2" fillId="0" borderId="45" xfId="1" applyFont="1" applyFill="1" applyBorder="1"/>
    <xf numFmtId="9" fontId="27" fillId="0" borderId="35" xfId="1" applyNumberFormat="1" applyFont="1" applyFill="1" applyBorder="1"/>
    <xf numFmtId="9" fontId="27" fillId="0" borderId="23" xfId="1" applyNumberFormat="1" applyFont="1" applyFill="1" applyBorder="1"/>
    <xf numFmtId="9" fontId="27" fillId="0" borderId="24" xfId="1" applyNumberFormat="1" applyFont="1" applyFill="1" applyBorder="1"/>
    <xf numFmtId="9" fontId="27" fillId="0" borderId="2" xfId="1" applyNumberFormat="1" applyFont="1" applyFill="1" applyBorder="1"/>
    <xf numFmtId="9" fontId="27" fillId="0" borderId="0" xfId="1" applyNumberFormat="1" applyFont="1" applyFill="1" applyBorder="1"/>
    <xf numFmtId="9" fontId="27" fillId="0" borderId="29" xfId="1" applyNumberFormat="1" applyFont="1" applyFill="1" applyBorder="1"/>
    <xf numFmtId="9" fontId="27" fillId="0" borderId="2" xfId="2" applyFont="1" applyFill="1" applyBorder="1"/>
    <xf numFmtId="9" fontId="27" fillId="0" borderId="29" xfId="2" applyFont="1" applyFill="1" applyBorder="1"/>
    <xf numFmtId="9" fontId="29" fillId="3" borderId="34" xfId="2" applyFont="1" applyFill="1" applyBorder="1"/>
    <xf numFmtId="9" fontId="29" fillId="3" borderId="37" xfId="2" applyFont="1" applyFill="1" applyBorder="1"/>
    <xf numFmtId="9" fontId="27" fillId="0" borderId="0" xfId="2" applyFont="1" applyFill="1" applyBorder="1"/>
    <xf numFmtId="9" fontId="29" fillId="3" borderId="38" xfId="2" applyFont="1" applyFill="1" applyBorder="1"/>
    <xf numFmtId="9" fontId="27" fillId="0" borderId="41" xfId="2" applyFont="1" applyFill="1" applyBorder="1"/>
    <xf numFmtId="13" fontId="0" fillId="0" borderId="0" xfId="0" applyNumberFormat="1"/>
    <xf numFmtId="2" fontId="0" fillId="0" borderId="0" xfId="0" applyNumberFormat="1"/>
    <xf numFmtId="9" fontId="2" fillId="3" borderId="34" xfId="2" applyFont="1" applyFill="1" applyBorder="1" applyAlignment="1">
      <alignment horizontal="center"/>
    </xf>
    <xf numFmtId="0" fontId="0" fillId="0" borderId="25" xfId="0" applyFont="1" applyFill="1" applyBorder="1" applyAlignment="1">
      <alignment horizontal="left" vertical="center" indent="1"/>
    </xf>
    <xf numFmtId="43" fontId="7" fillId="0" borderId="36" xfId="1" applyFont="1" applyFill="1" applyBorder="1"/>
    <xf numFmtId="43" fontId="7" fillId="0" borderId="27" xfId="1" applyFont="1" applyFill="1" applyBorder="1"/>
    <xf numFmtId="9" fontId="2" fillId="3" borderId="38" xfId="2" applyFont="1" applyFill="1" applyBorder="1" applyAlignment="1">
      <alignment horizontal="center"/>
    </xf>
    <xf numFmtId="43" fontId="1" fillId="0" borderId="39" xfId="1" applyFont="1" applyFill="1" applyBorder="1"/>
    <xf numFmtId="0" fontId="30" fillId="0" borderId="0" xfId="0" applyFont="1"/>
    <xf numFmtId="0" fontId="31" fillId="0" borderId="0" xfId="0" applyFont="1"/>
    <xf numFmtId="0" fontId="0" fillId="0" borderId="33" xfId="0" applyFont="1" applyFill="1" applyBorder="1" applyAlignment="1">
      <alignment horizontal="left" vertical="center" indent="1"/>
    </xf>
    <xf numFmtId="0" fontId="0" fillId="0" borderId="37" xfId="0" applyFill="1" applyBorder="1"/>
    <xf numFmtId="0" fontId="2" fillId="3" borderId="34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32" fillId="3" borderId="33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32" fillId="3" borderId="37" xfId="0" applyFont="1" applyFill="1" applyBorder="1" applyAlignment="1">
      <alignment vertical="center"/>
    </xf>
    <xf numFmtId="0" fontId="2" fillId="3" borderId="49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0" fillId="4" borderId="0" xfId="0" applyFill="1"/>
    <xf numFmtId="0" fontId="30" fillId="0" borderId="0" xfId="0" applyFont="1" applyAlignment="1">
      <alignment horizontal="center"/>
    </xf>
    <xf numFmtId="43" fontId="13" fillId="3" borderId="49" xfId="1" applyFont="1" applyFill="1" applyBorder="1" applyAlignment="1">
      <alignment horizontal="center" vertical="center"/>
    </xf>
    <xf numFmtId="43" fontId="13" fillId="3" borderId="34" xfId="1" applyFont="1" applyFill="1" applyBorder="1" applyAlignment="1">
      <alignment horizontal="center" vertical="center"/>
    </xf>
    <xf numFmtId="43" fontId="13" fillId="3" borderId="38" xfId="1" applyFont="1" applyFill="1" applyBorder="1" applyAlignment="1">
      <alignment horizontal="center" vertical="center"/>
    </xf>
    <xf numFmtId="43" fontId="1" fillId="0" borderId="50" xfId="1" applyFont="1" applyBorder="1" applyAlignment="1">
      <alignment horizontal="right" vertical="center"/>
    </xf>
    <xf numFmtId="43" fontId="1" fillId="0" borderId="35" xfId="1" applyFont="1" applyBorder="1" applyAlignment="1">
      <alignment horizontal="right" vertical="center"/>
    </xf>
    <xf numFmtId="43" fontId="1" fillId="0" borderId="24" xfId="1" applyFont="1" applyBorder="1" applyAlignment="1">
      <alignment horizontal="right" vertical="center"/>
    </xf>
    <xf numFmtId="0" fontId="17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31" fillId="0" borderId="0" xfId="0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indent="1"/>
    </xf>
    <xf numFmtId="43" fontId="1" fillId="0" borderId="0" xfId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43" fontId="13" fillId="0" borderId="0" xfId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/>
    </xf>
    <xf numFmtId="43" fontId="0" fillId="0" borderId="35" xfId="0" applyNumberFormat="1" applyFont="1" applyFill="1" applyBorder="1" applyAlignment="1">
      <alignment vertical="center"/>
    </xf>
    <xf numFmtId="43" fontId="2" fillId="3" borderId="34" xfId="2" applyNumberFormat="1" applyFont="1" applyFill="1" applyBorder="1" applyAlignment="1">
      <alignment horizontal="center"/>
    </xf>
    <xf numFmtId="43" fontId="2" fillId="3" borderId="34" xfId="1" applyFont="1" applyFill="1" applyBorder="1" applyAlignment="1">
      <alignment horizontal="center"/>
    </xf>
    <xf numFmtId="43" fontId="2" fillId="3" borderId="38" xfId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vertical="center"/>
    </xf>
    <xf numFmtId="0" fontId="0" fillId="0" borderId="22" xfId="0" applyFont="1" applyFill="1" applyBorder="1" applyAlignment="1">
      <alignment horizontal="left" vertical="center" indent="1"/>
    </xf>
    <xf numFmtId="0" fontId="24" fillId="0" borderId="0" xfId="0" applyFont="1" applyAlignment="1">
      <alignment horizontal="right"/>
    </xf>
    <xf numFmtId="43" fontId="0" fillId="0" borderId="24" xfId="0" applyNumberFormat="1" applyFont="1" applyFill="1" applyBorder="1" applyAlignment="1">
      <alignment vertical="center" wrapText="1"/>
    </xf>
    <xf numFmtId="0" fontId="0" fillId="0" borderId="0" xfId="0" applyFont="1"/>
    <xf numFmtId="43" fontId="0" fillId="0" borderId="0" xfId="0" applyNumberFormat="1" applyFont="1"/>
    <xf numFmtId="43" fontId="0" fillId="0" borderId="50" xfId="0" applyNumberFormat="1" applyFont="1" applyFill="1" applyBorder="1" applyAlignment="1">
      <alignment vertical="center"/>
    </xf>
    <xf numFmtId="43" fontId="1" fillId="0" borderId="52" xfId="1" applyFont="1" applyFill="1" applyBorder="1"/>
    <xf numFmtId="43" fontId="2" fillId="3" borderId="49" xfId="1" applyFont="1" applyFill="1" applyBorder="1"/>
    <xf numFmtId="43" fontId="2" fillId="0" borderId="51" xfId="1" applyFont="1" applyFill="1" applyBorder="1"/>
    <xf numFmtId="43" fontId="0" fillId="0" borderId="43" xfId="0" applyNumberFormat="1" applyFont="1" applyFill="1" applyBorder="1" applyAlignment="1">
      <alignment vertical="center"/>
    </xf>
    <xf numFmtId="43" fontId="2" fillId="3" borderId="57" xfId="1" applyFont="1" applyFill="1" applyBorder="1"/>
    <xf numFmtId="43" fontId="2" fillId="0" borderId="56" xfId="1" applyFont="1" applyFill="1" applyBorder="1"/>
    <xf numFmtId="43" fontId="2" fillId="0" borderId="58" xfId="1" applyFont="1" applyFill="1" applyBorder="1"/>
    <xf numFmtId="2" fontId="2" fillId="0" borderId="0" xfId="0" applyNumberFormat="1" applyFont="1"/>
    <xf numFmtId="0" fontId="4" fillId="0" borderId="16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left" indent="17"/>
    </xf>
    <xf numFmtId="0" fontId="2" fillId="0" borderId="16" xfId="0" applyFont="1" applyBorder="1" applyAlignment="1">
      <alignment horizontal="left" indent="25"/>
    </xf>
    <xf numFmtId="0" fontId="3" fillId="0" borderId="16" xfId="0" applyFont="1" applyBorder="1" applyAlignment="1">
      <alignment horizontal="left" indent="1"/>
    </xf>
    <xf numFmtId="0" fontId="28" fillId="0" borderId="0" xfId="0" applyFont="1"/>
    <xf numFmtId="0" fontId="0" fillId="0" borderId="0" xfId="0" applyFont="1" applyFill="1" applyBorder="1"/>
    <xf numFmtId="0" fontId="7" fillId="0" borderId="25" xfId="0" applyFont="1" applyFill="1" applyBorder="1" applyAlignment="1">
      <alignment horizontal="left" vertical="center" indent="1"/>
    </xf>
    <xf numFmtId="43" fontId="0" fillId="0" borderId="0" xfId="0" applyNumberFormat="1" applyFill="1" applyBorder="1"/>
    <xf numFmtId="43" fontId="1" fillId="0" borderId="24" xfId="1" applyFont="1" applyFill="1" applyBorder="1"/>
    <xf numFmtId="43" fontId="1" fillId="0" borderId="50" xfId="1" applyFont="1" applyFill="1" applyBorder="1"/>
    <xf numFmtId="43" fontId="1" fillId="0" borderId="43" xfId="1" applyFont="1" applyFill="1" applyBorder="1"/>
    <xf numFmtId="43" fontId="36" fillId="0" borderId="56" xfId="1" applyFont="1" applyFill="1" applyBorder="1"/>
    <xf numFmtId="43" fontId="2" fillId="0" borderId="55" xfId="1" applyFont="1" applyFill="1" applyBorder="1"/>
    <xf numFmtId="0" fontId="37" fillId="0" borderId="0" xfId="0" applyFont="1"/>
    <xf numFmtId="43" fontId="2" fillId="0" borderId="52" xfId="1" applyFont="1" applyFill="1" applyBorder="1"/>
    <xf numFmtId="43" fontId="34" fillId="0" borderId="2" xfId="1" applyFont="1" applyFill="1" applyBorder="1"/>
    <xf numFmtId="43" fontId="34" fillId="0" borderId="39" xfId="1" applyFont="1" applyFill="1" applyBorder="1"/>
    <xf numFmtId="0" fontId="34" fillId="0" borderId="0" xfId="0" applyFont="1"/>
    <xf numFmtId="43" fontId="34" fillId="0" borderId="52" xfId="1" applyFont="1" applyFill="1" applyBorder="1"/>
    <xf numFmtId="43" fontId="34" fillId="0" borderId="3" xfId="1" applyFont="1" applyFill="1" applyBorder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43" fontId="0" fillId="2" borderId="0" xfId="1" applyFont="1" applyFill="1" applyProtection="1">
      <protection locked="0"/>
    </xf>
    <xf numFmtId="1" fontId="0" fillId="2" borderId="0" xfId="2" applyNumberFormat="1" applyFont="1" applyFill="1" applyAlignment="1" applyProtection="1">
      <alignment horizontal="center"/>
      <protection locked="0"/>
    </xf>
    <xf numFmtId="10" fontId="7" fillId="2" borderId="3" xfId="2" applyNumberFormat="1" applyFont="1" applyFill="1" applyBorder="1" applyAlignment="1" applyProtection="1">
      <alignment horizontal="left" indent="4"/>
      <protection locked="0"/>
    </xf>
    <xf numFmtId="0" fontId="0" fillId="2" borderId="0" xfId="0" applyFill="1" applyAlignment="1" applyProtection="1">
      <alignment horizontal="left" indent="1"/>
      <protection locked="0"/>
    </xf>
    <xf numFmtId="43" fontId="0" fillId="2" borderId="1" xfId="1" applyFont="1" applyFill="1" applyBorder="1" applyProtection="1">
      <protection locked="0"/>
    </xf>
    <xf numFmtId="43" fontId="0" fillId="2" borderId="2" xfId="1" applyFont="1" applyFill="1" applyBorder="1" applyProtection="1">
      <protection locked="0"/>
    </xf>
    <xf numFmtId="43" fontId="0" fillId="2" borderId="3" xfId="1" applyFont="1" applyFill="1" applyBorder="1" applyProtection="1">
      <protection locked="0"/>
    </xf>
    <xf numFmtId="43" fontId="0" fillId="2" borderId="1" xfId="1" applyFont="1" applyFill="1" applyBorder="1" applyAlignment="1" applyProtection="1">
      <alignment horizontal="left" indent="1"/>
      <protection locked="0"/>
    </xf>
    <xf numFmtId="0" fontId="0" fillId="2" borderId="0" xfId="0" applyFill="1" applyProtection="1">
      <protection locked="0"/>
    </xf>
    <xf numFmtId="9" fontId="0" fillId="2" borderId="0" xfId="2" applyFont="1" applyFill="1" applyAlignment="1" applyProtection="1">
      <alignment horizontal="center"/>
      <protection locked="0"/>
    </xf>
    <xf numFmtId="0" fontId="0" fillId="2" borderId="21" xfId="2" applyNumberFormat="1" applyFont="1" applyFill="1" applyBorder="1" applyAlignment="1" applyProtection="1">
      <alignment horizontal="center"/>
      <protection locked="0"/>
    </xf>
    <xf numFmtId="9" fontId="0" fillId="2" borderId="21" xfId="2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 indent="1"/>
    </xf>
    <xf numFmtId="43" fontId="33" fillId="0" borderId="56" xfId="1" applyFont="1" applyFill="1" applyBorder="1"/>
    <xf numFmtId="0" fontId="38" fillId="0" borderId="20" xfId="0" applyFont="1" applyBorder="1" applyAlignment="1">
      <alignment horizontal="right"/>
    </xf>
    <xf numFmtId="43" fontId="2" fillId="0" borderId="24" xfId="0" applyNumberFormat="1" applyFont="1" applyFill="1" applyBorder="1" applyAlignment="1">
      <alignment vertical="center"/>
    </xf>
    <xf numFmtId="0" fontId="16" fillId="0" borderId="0" xfId="0" applyFont="1" applyAlignment="1">
      <alignment horizontal="left" indent="2"/>
    </xf>
    <xf numFmtId="0" fontId="39" fillId="0" borderId="0" xfId="0" applyFont="1" applyAlignment="1">
      <alignment horizontal="left" indent="4"/>
    </xf>
    <xf numFmtId="0" fontId="39" fillId="0" borderId="0" xfId="0" applyFont="1" applyAlignment="1">
      <alignment horizontal="left"/>
    </xf>
    <xf numFmtId="0" fontId="7" fillId="2" borderId="3" xfId="0" applyFont="1" applyFill="1" applyBorder="1" applyAlignment="1" applyProtection="1">
      <alignment horizontal="center"/>
      <protection locked="0"/>
    </xf>
    <xf numFmtId="0" fontId="8" fillId="4" borderId="0" xfId="0" applyFont="1" applyFill="1"/>
    <xf numFmtId="0" fontId="40" fillId="0" borderId="0" xfId="0" applyFont="1"/>
    <xf numFmtId="43" fontId="2" fillId="0" borderId="55" xfId="0" applyNumberFormat="1" applyFont="1" applyFill="1" applyBorder="1" applyAlignment="1">
      <alignment vertical="center"/>
    </xf>
    <xf numFmtId="10" fontId="28" fillId="0" borderId="0" xfId="0" applyNumberFormat="1" applyFont="1" applyBorder="1"/>
    <xf numFmtId="0" fontId="0" fillId="0" borderId="0" xfId="0" applyBorder="1" applyAlignment="1">
      <alignment horizontal="left" indent="1"/>
    </xf>
    <xf numFmtId="0" fontId="0" fillId="0" borderId="2" xfId="0" applyBorder="1"/>
    <xf numFmtId="0" fontId="0" fillId="0" borderId="39" xfId="0" applyBorder="1"/>
    <xf numFmtId="4" fontId="7" fillId="0" borderId="39" xfId="1" applyNumberFormat="1" applyFont="1" applyBorder="1"/>
    <xf numFmtId="4" fontId="2" fillId="0" borderId="48" xfId="1" applyNumberFormat="1" applyFont="1" applyBorder="1"/>
    <xf numFmtId="0" fontId="0" fillId="0" borderId="36" xfId="0" applyBorder="1"/>
    <xf numFmtId="0" fontId="0" fillId="0" borderId="40" xfId="0" applyBorder="1"/>
    <xf numFmtId="0" fontId="42" fillId="0" borderId="0" xfId="0" applyFont="1"/>
    <xf numFmtId="0" fontId="45" fillId="0" borderId="0" xfId="0" applyFont="1"/>
    <xf numFmtId="0" fontId="2" fillId="0" borderId="0" xfId="0" applyFont="1" applyBorder="1" applyAlignment="1">
      <alignment horizontal="left" indent="5"/>
    </xf>
    <xf numFmtId="0" fontId="2" fillId="0" borderId="0" xfId="0" applyFont="1" applyBorder="1" applyAlignment="1">
      <alignment horizontal="left" indent="25"/>
    </xf>
    <xf numFmtId="0" fontId="3" fillId="0" borderId="0" xfId="0" applyFont="1" applyBorder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43" fontId="13" fillId="0" borderId="33" xfId="0" applyNumberFormat="1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0" fillId="0" borderId="0" xfId="0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3" xfId="1" applyFont="1" applyFill="1" applyBorder="1" applyAlignment="1">
      <alignment horizontal="center"/>
    </xf>
    <xf numFmtId="43" fontId="43" fillId="0" borderId="1" xfId="1" applyFont="1" applyFill="1" applyBorder="1" applyAlignment="1">
      <alignment horizontal="center"/>
    </xf>
    <xf numFmtId="43" fontId="44" fillId="0" borderId="1" xfId="1" applyFont="1" applyFill="1" applyBorder="1" applyAlignment="1">
      <alignment horizontal="center"/>
    </xf>
    <xf numFmtId="40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0" fontId="0" fillId="2" borderId="0" xfId="0" applyFill="1" applyAlignment="1" applyProtection="1">
      <alignment horizontal="left"/>
      <protection locked="0"/>
    </xf>
    <xf numFmtId="164" fontId="0" fillId="2" borderId="0" xfId="0" applyNumberFormat="1" applyFill="1" applyAlignment="1" applyProtection="1">
      <alignment horizontal="left"/>
      <protection locked="0"/>
    </xf>
    <xf numFmtId="0" fontId="19" fillId="2" borderId="0" xfId="3" applyFill="1" applyAlignment="1" applyProtection="1">
      <alignment horizontal="left"/>
      <protection locked="0"/>
    </xf>
    <xf numFmtId="0" fontId="7" fillId="0" borderId="0" xfId="0" applyFont="1" applyAlignment="1">
      <alignment horizontal="left" wrapText="1" indent="5"/>
    </xf>
    <xf numFmtId="17" fontId="0" fillId="2" borderId="0" xfId="0" applyNumberFormat="1" applyFill="1" applyAlignment="1" applyProtection="1">
      <alignment horizontal="left"/>
      <protection locked="0"/>
    </xf>
    <xf numFmtId="17" fontId="0" fillId="0" borderId="0" xfId="0" applyNumberFormat="1" applyFill="1" applyAlignment="1" applyProtection="1">
      <alignment horizontal="left"/>
      <protection locked="0"/>
    </xf>
    <xf numFmtId="43" fontId="2" fillId="3" borderId="44" xfId="1" applyFont="1" applyFill="1" applyBorder="1" applyAlignment="1">
      <alignment horizontal="center"/>
    </xf>
    <xf numFmtId="43" fontId="2" fillId="3" borderId="42" xfId="1" applyFont="1" applyFill="1" applyBorder="1" applyAlignment="1">
      <alignment horizontal="center"/>
    </xf>
    <xf numFmtId="43" fontId="1" fillId="0" borderId="43" xfId="1" applyFont="1" applyFill="1" applyBorder="1" applyAlignment="1">
      <alignment horizontal="center"/>
    </xf>
    <xf numFmtId="43" fontId="1" fillId="0" borderId="46" xfId="1" applyFont="1" applyFill="1" applyBorder="1" applyAlignment="1">
      <alignment horizontal="center"/>
    </xf>
    <xf numFmtId="43" fontId="2" fillId="0" borderId="45" xfId="1" applyFont="1" applyFill="1" applyBorder="1" applyAlignment="1">
      <alignment horizontal="center"/>
    </xf>
    <xf numFmtId="43" fontId="2" fillId="0" borderId="47" xfId="1" applyFont="1" applyFill="1" applyBorder="1" applyAlignment="1">
      <alignment horizontal="center"/>
    </xf>
    <xf numFmtId="43" fontId="1" fillId="0" borderId="24" xfId="1" applyFont="1" applyFill="1" applyBorder="1" applyAlignment="1">
      <alignment horizontal="center"/>
    </xf>
    <xf numFmtId="43" fontId="2" fillId="0" borderId="27" xfId="1" applyFont="1" applyFill="1" applyBorder="1" applyAlignment="1">
      <alignment horizontal="center"/>
    </xf>
    <xf numFmtId="43" fontId="1" fillId="0" borderId="44" xfId="1" applyFont="1" applyFill="1" applyBorder="1" applyAlignment="1">
      <alignment horizontal="center"/>
    </xf>
    <xf numFmtId="43" fontId="1" fillId="0" borderId="42" xfId="1" applyFont="1" applyFill="1" applyBorder="1" applyAlignment="1">
      <alignment horizont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43" fontId="2" fillId="3" borderId="38" xfId="1" applyFont="1" applyFill="1" applyBorder="1" applyAlignment="1">
      <alignment horizontal="center"/>
    </xf>
    <xf numFmtId="43" fontId="1" fillId="0" borderId="38" xfId="1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</cellXfs>
  <cellStyles count="4">
    <cellStyle name="Lien hypertexte" xfId="3" builtinId="8"/>
    <cellStyle name="Milliers" xfId="1" builtinId="3"/>
    <cellStyle name="Normal" xfId="0" builtinId="0"/>
    <cellStyle name="Pourcentag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5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1"/>
  <sheetViews>
    <sheetView showGridLines="0" topLeftCell="B126" zoomScale="64" zoomScaleNormal="64" workbookViewId="0">
      <selection activeCell="D112" sqref="D112"/>
    </sheetView>
  </sheetViews>
  <sheetFormatPr baseColWidth="10" defaultColWidth="0" defaultRowHeight="15" zeroHeight="1" x14ac:dyDescent="0.25"/>
  <cols>
    <col min="1" max="1" width="40" customWidth="1"/>
    <col min="2" max="2" width="18.140625" customWidth="1"/>
    <col min="3" max="4" width="19.85546875" customWidth="1"/>
    <col min="5" max="5" width="19.28515625" customWidth="1"/>
    <col min="6" max="6" width="21.5703125" customWidth="1"/>
    <col min="7" max="7" width="11.42578125" customWidth="1"/>
    <col min="8" max="8" width="11.85546875" customWidth="1"/>
    <col min="9" max="9" width="15.42578125" bestFit="1" customWidth="1"/>
    <col min="10" max="10" width="12.140625" style="125" customWidth="1"/>
    <col min="11" max="11" width="28.28515625" hidden="1" customWidth="1"/>
    <col min="12" max="16384" width="11.42578125" hidden="1"/>
  </cols>
  <sheetData>
    <row r="1" spans="1:15" ht="23.25" x14ac:dyDescent="0.35">
      <c r="A1" s="3" t="s">
        <v>5</v>
      </c>
    </row>
    <row r="2" spans="1:15" ht="21" x14ac:dyDescent="0.35">
      <c r="A2" s="272" t="s">
        <v>278</v>
      </c>
    </row>
    <row r="3" spans="1:15" ht="15" customHeight="1" x14ac:dyDescent="0.25">
      <c r="K3" t="s">
        <v>3</v>
      </c>
      <c r="L3" t="s">
        <v>95</v>
      </c>
      <c r="M3" t="s">
        <v>111</v>
      </c>
      <c r="O3" t="s">
        <v>112</v>
      </c>
    </row>
    <row r="4" spans="1:15" ht="18.75" customHeight="1" x14ac:dyDescent="0.3">
      <c r="A4" s="271" t="s">
        <v>66</v>
      </c>
      <c r="K4" t="s">
        <v>116</v>
      </c>
      <c r="L4" t="s">
        <v>96</v>
      </c>
      <c r="M4" t="s">
        <v>99</v>
      </c>
      <c r="O4" t="s">
        <v>94</v>
      </c>
    </row>
    <row r="5" spans="1:15" ht="15" customHeight="1" x14ac:dyDescent="0.25">
      <c r="K5" t="s">
        <v>115</v>
      </c>
      <c r="M5" t="s">
        <v>123</v>
      </c>
    </row>
    <row r="6" spans="1:15" ht="15" customHeight="1" x14ac:dyDescent="0.25">
      <c r="A6" s="1" t="s">
        <v>0</v>
      </c>
      <c r="B6" s="290" t="s">
        <v>284</v>
      </c>
      <c r="C6" s="290"/>
      <c r="K6" t="s">
        <v>117</v>
      </c>
    </row>
    <row r="7" spans="1:15" ht="15" customHeight="1" x14ac:dyDescent="0.25">
      <c r="A7" s="1" t="s">
        <v>1</v>
      </c>
      <c r="B7" s="290" t="s">
        <v>285</v>
      </c>
      <c r="C7" s="290"/>
      <c r="D7" s="103" t="s">
        <v>6</v>
      </c>
      <c r="K7" t="s">
        <v>118</v>
      </c>
    </row>
    <row r="8" spans="1:15" ht="15" customHeight="1" x14ac:dyDescent="0.25">
      <c r="A8" s="1" t="s">
        <v>2</v>
      </c>
      <c r="B8" s="290" t="s">
        <v>117</v>
      </c>
      <c r="C8" s="290"/>
      <c r="D8" s="103" t="s">
        <v>113</v>
      </c>
      <c r="K8" t="s">
        <v>119</v>
      </c>
    </row>
    <row r="9" spans="1:15" ht="15" customHeight="1" x14ac:dyDescent="0.25">
      <c r="A9" s="1" t="s">
        <v>4</v>
      </c>
      <c r="B9" s="291"/>
      <c r="C9" s="291"/>
    </row>
    <row r="10" spans="1:15" ht="15" customHeight="1" x14ac:dyDescent="0.25">
      <c r="A10" s="1" t="s">
        <v>71</v>
      </c>
      <c r="B10" s="292"/>
      <c r="C10" s="292"/>
    </row>
    <row r="11" spans="1:15" ht="15" customHeight="1" x14ac:dyDescent="0.25">
      <c r="A11" s="1" t="s">
        <v>263</v>
      </c>
      <c r="B11" s="290"/>
      <c r="C11" s="290"/>
      <c r="K11" t="s">
        <v>3</v>
      </c>
      <c r="L11" t="s">
        <v>120</v>
      </c>
    </row>
    <row r="12" spans="1:15" ht="15.75" customHeight="1" x14ac:dyDescent="0.25">
      <c r="A12" s="250"/>
      <c r="B12" s="295"/>
      <c r="C12" s="295"/>
      <c r="K12" t="s">
        <v>116</v>
      </c>
      <c r="L12" t="s">
        <v>120</v>
      </c>
    </row>
    <row r="13" spans="1:15" x14ac:dyDescent="0.25">
      <c r="A13" s="1" t="s">
        <v>98</v>
      </c>
      <c r="B13" s="294" t="s">
        <v>99</v>
      </c>
      <c r="C13" s="294"/>
      <c r="D13" s="294"/>
      <c r="E13" s="103" t="s">
        <v>113</v>
      </c>
      <c r="K13" t="s">
        <v>115</v>
      </c>
      <c r="L13" t="s">
        <v>121</v>
      </c>
    </row>
    <row r="14" spans="1:15" ht="27.75" customHeight="1" x14ac:dyDescent="0.3">
      <c r="A14" s="17" t="s">
        <v>62</v>
      </c>
      <c r="K14" t="s">
        <v>117</v>
      </c>
      <c r="L14" t="s">
        <v>121</v>
      </c>
    </row>
    <row r="15" spans="1:15" x14ac:dyDescent="0.25">
      <c r="A15" s="5" t="s">
        <v>257</v>
      </c>
      <c r="K15" t="s">
        <v>118</v>
      </c>
      <c r="L15" t="s">
        <v>121</v>
      </c>
    </row>
    <row r="16" spans="1:15" x14ac:dyDescent="0.25">
      <c r="B16" s="251" t="s">
        <v>261</v>
      </c>
      <c r="K16" t="s">
        <v>119</v>
      </c>
      <c r="L16" t="s">
        <v>121</v>
      </c>
    </row>
    <row r="17" spans="1:3" ht="15" customHeight="1" x14ac:dyDescent="0.25">
      <c r="A17" s="235" t="s">
        <v>288</v>
      </c>
      <c r="B17" s="237">
        <v>10000</v>
      </c>
      <c r="C17" s="6" t="s">
        <v>245</v>
      </c>
    </row>
    <row r="18" spans="1:3" ht="15" customHeight="1" x14ac:dyDescent="0.25">
      <c r="A18" s="235" t="s">
        <v>7</v>
      </c>
      <c r="B18" s="237">
        <v>3000</v>
      </c>
      <c r="C18" s="6" t="s">
        <v>256</v>
      </c>
    </row>
    <row r="19" spans="1:3" ht="15" customHeight="1" x14ac:dyDescent="0.25">
      <c r="A19" s="235" t="s">
        <v>246</v>
      </c>
      <c r="B19" s="237">
        <v>10000</v>
      </c>
      <c r="C19" s="6"/>
    </row>
    <row r="20" spans="1:3" ht="15" customHeight="1" x14ac:dyDescent="0.25">
      <c r="A20" s="235" t="s">
        <v>37</v>
      </c>
      <c r="B20" s="237">
        <v>4000</v>
      </c>
      <c r="C20" s="6" t="s">
        <v>9</v>
      </c>
    </row>
    <row r="21" spans="1:3" ht="15" customHeight="1" x14ac:dyDescent="0.25">
      <c r="A21" s="235" t="s">
        <v>38</v>
      </c>
      <c r="B21" s="237"/>
      <c r="C21" s="6" t="s">
        <v>10</v>
      </c>
    </row>
    <row r="22" spans="1:3" ht="15" customHeight="1" x14ac:dyDescent="0.25">
      <c r="A22" s="235" t="s">
        <v>11</v>
      </c>
      <c r="B22" s="237"/>
      <c r="C22" s="6" t="s">
        <v>12</v>
      </c>
    </row>
    <row r="23" spans="1:3" ht="15" customHeight="1" x14ac:dyDescent="0.25">
      <c r="A23" s="235" t="s">
        <v>13</v>
      </c>
      <c r="B23" s="237">
        <v>8000</v>
      </c>
      <c r="C23" s="6"/>
    </row>
    <row r="24" spans="1:3" ht="15" customHeight="1" x14ac:dyDescent="0.25">
      <c r="A24" s="235" t="s">
        <v>39</v>
      </c>
      <c r="B24" s="237"/>
      <c r="C24" s="6"/>
    </row>
    <row r="25" spans="1:3" ht="15" customHeight="1" x14ac:dyDescent="0.25">
      <c r="A25" s="235" t="s">
        <v>51</v>
      </c>
      <c r="B25" s="237">
        <v>5000</v>
      </c>
      <c r="C25" s="6" t="s">
        <v>247</v>
      </c>
    </row>
    <row r="26" spans="1:3" ht="15.75" customHeight="1" x14ac:dyDescent="0.25">
      <c r="A26" s="235" t="s">
        <v>40</v>
      </c>
      <c r="B26" s="237">
        <v>12000</v>
      </c>
      <c r="C26" s="6" t="s">
        <v>14</v>
      </c>
    </row>
    <row r="27" spans="1:3" x14ac:dyDescent="0.25">
      <c r="A27" s="235" t="s">
        <v>21</v>
      </c>
      <c r="B27" s="237">
        <v>20000</v>
      </c>
      <c r="C27" s="6" t="s">
        <v>22</v>
      </c>
    </row>
    <row r="28" spans="1:3" x14ac:dyDescent="0.25">
      <c r="A28" s="235" t="s">
        <v>77</v>
      </c>
      <c r="B28" s="237"/>
      <c r="C28" s="6" t="s">
        <v>248</v>
      </c>
    </row>
    <row r="29" spans="1:3" x14ac:dyDescent="0.25">
      <c r="A29" s="235" t="s">
        <v>41</v>
      </c>
      <c r="B29" s="237">
        <v>30000</v>
      </c>
      <c r="C29" s="6" t="s">
        <v>15</v>
      </c>
    </row>
    <row r="30" spans="1:3" x14ac:dyDescent="0.25">
      <c r="A30" s="235" t="s">
        <v>42</v>
      </c>
      <c r="B30" s="237">
        <v>500000</v>
      </c>
      <c r="C30" s="6" t="s">
        <v>16</v>
      </c>
    </row>
    <row r="31" spans="1:3" x14ac:dyDescent="0.25">
      <c r="A31" s="235" t="s">
        <v>17</v>
      </c>
      <c r="B31" s="237">
        <v>300000</v>
      </c>
      <c r="C31" s="6" t="s">
        <v>18</v>
      </c>
    </row>
    <row r="32" spans="1:3" x14ac:dyDescent="0.25">
      <c r="A32" s="235" t="s">
        <v>19</v>
      </c>
      <c r="B32" s="237"/>
      <c r="C32" s="6" t="s">
        <v>20</v>
      </c>
    </row>
    <row r="33" spans="1:14" ht="15.75" thickBot="1" x14ac:dyDescent="0.3">
      <c r="A33" s="235" t="s">
        <v>43</v>
      </c>
      <c r="B33" s="237">
        <v>50000</v>
      </c>
      <c r="C33" s="256" t="s">
        <v>281</v>
      </c>
    </row>
    <row r="34" spans="1:14" ht="15.75" thickBot="1" x14ac:dyDescent="0.3">
      <c r="A34" s="9" t="s">
        <v>50</v>
      </c>
      <c r="B34" s="11">
        <f>SUM(B17:B33)</f>
        <v>952000</v>
      </c>
      <c r="C34" s="8"/>
    </row>
    <row r="35" spans="1:14" x14ac:dyDescent="0.25">
      <c r="C35" s="8"/>
    </row>
    <row r="36" spans="1:14" ht="21.75" customHeight="1" x14ac:dyDescent="0.25">
      <c r="A36" s="2" t="s">
        <v>255</v>
      </c>
      <c r="C36" s="238">
        <v>5</v>
      </c>
      <c r="D36" s="4" t="s">
        <v>264</v>
      </c>
    </row>
    <row r="37" spans="1:14" ht="10.5" customHeight="1" x14ac:dyDescent="0.25">
      <c r="C37" s="8"/>
    </row>
    <row r="38" spans="1:14" ht="18" customHeight="1" x14ac:dyDescent="0.25">
      <c r="B38" s="277" t="s">
        <v>107</v>
      </c>
      <c r="C38" s="277" t="s">
        <v>44</v>
      </c>
      <c r="D38" s="277" t="s">
        <v>45</v>
      </c>
      <c r="E38" s="277" t="s">
        <v>46</v>
      </c>
      <c r="F38" s="277" t="s">
        <v>102</v>
      </c>
      <c r="G38" s="86"/>
      <c r="H38" s="86"/>
      <c r="I38" s="86"/>
      <c r="J38" s="277" t="s">
        <v>103</v>
      </c>
      <c r="K38" s="86" t="s">
        <v>104</v>
      </c>
      <c r="L38" s="86" t="s">
        <v>105</v>
      </c>
      <c r="M38" s="86" t="s">
        <v>106</v>
      </c>
      <c r="N38" s="86" t="s">
        <v>50</v>
      </c>
    </row>
    <row r="39" spans="1:14" ht="20.25" customHeight="1" x14ac:dyDescent="0.25">
      <c r="B39" s="278">
        <f>SUM(B17,B19,B21,B25:B31)</f>
        <v>887000</v>
      </c>
      <c r="C39" s="279">
        <f t="shared" ref="C39:C51" si="0">IF(ISERROR($B39/$C$36),0,$B39/$C$36)</f>
        <v>177400</v>
      </c>
      <c r="D39" s="279">
        <f>IF($B39&gt;(SUM(C39:$C39)),IF(ISERROR($B39/$C$36),"",$B39/$C$36),0)</f>
        <v>177400</v>
      </c>
      <c r="E39" s="279">
        <f>IF($B39&gt;(SUM($C39:D39)),IF(ISERROR($B39/$C$36),"",$B39/$C$36),0)</f>
        <v>177400</v>
      </c>
      <c r="F39" s="279">
        <f>IF($B39&gt;(SUM($C39:E39)),IF(ISERROR($B39/$C$36),"",$B39/$C$36),0)</f>
        <v>177400</v>
      </c>
      <c r="G39" s="126"/>
      <c r="H39" s="126"/>
      <c r="I39" s="126"/>
      <c r="J39" s="279">
        <f>IF($B39&gt;(SUM($C39:F39)),IF(ISERROR($B39/$C$36),"",$B39/$C$36),0)</f>
        <v>177400</v>
      </c>
      <c r="K39" s="126">
        <f>IF($B39&gt;(SUM($C39:J39)),IF(ISERROR($B39/$C$36),"",$B39/$C$36),0)</f>
        <v>0</v>
      </c>
      <c r="L39" s="126">
        <f>IF($B39&gt;(SUM($C39:K39)),IF(ISERROR($B39/$C$36),"",$B39/$C$36),0)</f>
        <v>0</v>
      </c>
      <c r="M39" s="126">
        <f>IF($B39&gt;(SUM($C39:L39)),IF(ISERROR($B39/$C$36),"",$B39/$C$36),0)</f>
        <v>0</v>
      </c>
      <c r="N39" s="127">
        <f t="shared" ref="N39:N51" si="1">SUM(C39:M39)</f>
        <v>887000</v>
      </c>
    </row>
    <row r="40" spans="1:14" ht="19.5" customHeight="1" x14ac:dyDescent="0.25">
      <c r="A40" t="str">
        <f>A17</f>
        <v>Frais de constitution</v>
      </c>
      <c r="B40" s="125">
        <f t="shared" ref="B40:B44" si="2">B17</f>
        <v>10000</v>
      </c>
      <c r="C40" s="277">
        <f t="shared" si="0"/>
        <v>2000</v>
      </c>
      <c r="D40" s="277">
        <f>IF($B40&gt;(SUM(C40:$C40)),IF(ISERROR($B40/$C$36),"",$B40/$C$36),0)</f>
        <v>2000</v>
      </c>
      <c r="E40" s="277">
        <f>IF($B40&gt;(SUM($C40:D40)),IF(ISERROR($B40/$C$36),"",$B40/$C$36),0)</f>
        <v>2000</v>
      </c>
      <c r="F40" s="277">
        <f>IF($B40&gt;(SUM($C40:E40)),IF(ISERROR($B40/$C$36),"",$B40/$C$36),0)</f>
        <v>2000</v>
      </c>
      <c r="G40" s="86"/>
      <c r="H40" s="86"/>
      <c r="I40" s="86"/>
      <c r="J40" s="277">
        <f>IF($B40&gt;(SUM($C40:F40)),IF(ISERROR($B40/$C$36),"",$B40/$C$36),0)</f>
        <v>2000</v>
      </c>
      <c r="K40" s="86">
        <f>IF($B40&gt;(SUM($C40:J40)),IF(ISERROR($B40/$C$36),"",$B40/$C$36),0)</f>
        <v>0</v>
      </c>
      <c r="L40" s="86">
        <f>IF($B40&gt;(SUM($C40:K40)),IF(ISERROR($B40/$C$36),"",$B40/$C$36),0)</f>
        <v>0</v>
      </c>
      <c r="M40" s="86">
        <f>IF($B40&gt;(SUM($C40:L40)),IF(ISERROR($B40/$C$36),"",$B40/$C$36),0)</f>
        <v>0</v>
      </c>
      <c r="N40" s="86">
        <f t="shared" si="1"/>
        <v>10000</v>
      </c>
    </row>
    <row r="41" spans="1:14" ht="33.75" customHeight="1" x14ac:dyDescent="0.25">
      <c r="B41" s="125"/>
      <c r="C41" s="277"/>
      <c r="D41" s="277"/>
      <c r="E41" s="277"/>
      <c r="F41" s="277"/>
      <c r="G41" s="86"/>
      <c r="H41" s="86"/>
      <c r="I41" s="86"/>
      <c r="J41" s="277"/>
      <c r="K41" s="86">
        <f>IF($B41&gt;(SUM($C41:J41)),IF(ISERROR($B41/$C$36),"",$B41/$C$36),0)</f>
        <v>0</v>
      </c>
      <c r="L41" s="86">
        <f>IF($B41&gt;(SUM($C41:K41)),IF(ISERROR($B41/$C$36),"",$B41/$C$36),0)</f>
        <v>0</v>
      </c>
      <c r="M41" s="86">
        <f>IF($B41&gt;(SUM($C41:L41)),IF(ISERROR($B41/$C$36),"",$B41/$C$36),0)</f>
        <v>0</v>
      </c>
      <c r="N41" s="86">
        <f t="shared" si="1"/>
        <v>0</v>
      </c>
    </row>
    <row r="42" spans="1:14" ht="20.25" customHeight="1" x14ac:dyDescent="0.25">
      <c r="A42" t="str">
        <f t="shared" ref="A42" si="3">A19</f>
        <v>Logiciels, formations</v>
      </c>
      <c r="B42" s="125">
        <f t="shared" si="2"/>
        <v>10000</v>
      </c>
      <c r="C42" s="277">
        <f t="shared" si="0"/>
        <v>2000</v>
      </c>
      <c r="D42" s="277">
        <f>IF($B42&gt;(SUM(C42:$C42)),IF(ISERROR($B42/$C$36),"",$B42/$C$36),0)</f>
        <v>2000</v>
      </c>
      <c r="E42" s="277">
        <f>IF($B42&gt;(SUM($C42:D42)),IF(ISERROR($B42/$C$36),"",$B42/$C$36),0)</f>
        <v>2000</v>
      </c>
      <c r="F42" s="277">
        <f>IF($B42&gt;(SUM($C42:E42)),IF(ISERROR($B42/$C$36),"",$B42/$C$36),0)</f>
        <v>2000</v>
      </c>
      <c r="G42" s="86"/>
      <c r="H42" s="86"/>
      <c r="I42" s="86"/>
      <c r="J42" s="277">
        <f>IF($B42&gt;(SUM($C42:F42)),IF(ISERROR($B42/$C$36),"",$B42/$C$36),0)</f>
        <v>2000</v>
      </c>
      <c r="K42" s="86">
        <f>IF($B42&gt;(SUM($C42:J42)),IF(ISERROR($B42/$C$36),"",$B42/$C$36),0)</f>
        <v>0</v>
      </c>
      <c r="L42" s="86">
        <f>IF($B42&gt;(SUM($C42:K42)),IF(ISERROR($B42/$C$36),"",$B42/$C$36),0)</f>
        <v>0</v>
      </c>
      <c r="M42" s="86">
        <f>IF($B42&gt;(SUM($C42:L42)),IF(ISERROR($B42/$C$36),"",$B42/$C$36),0)</f>
        <v>0</v>
      </c>
      <c r="N42" s="86">
        <f t="shared" si="1"/>
        <v>10000</v>
      </c>
    </row>
    <row r="43" spans="1:14" ht="18.75" customHeight="1" x14ac:dyDescent="0.25">
      <c r="B43" s="125"/>
      <c r="C43" s="277"/>
      <c r="D43" s="277"/>
      <c r="E43" s="277"/>
      <c r="F43" s="277"/>
      <c r="G43" s="86"/>
      <c r="H43" s="86"/>
      <c r="I43" s="86"/>
      <c r="J43" s="277"/>
      <c r="K43" s="86">
        <f>IF($B43&gt;(SUM($C43:J43)),IF(ISERROR($B43/$C$36),"",$B43/$C$36),0)</f>
        <v>0</v>
      </c>
      <c r="L43" s="86">
        <f>IF($B43&gt;(SUM($C43:K43)),IF(ISERROR($B43/$C$36),"",$B43/$C$36),0)</f>
        <v>0</v>
      </c>
      <c r="M43" s="86">
        <f>IF($B43&gt;(SUM($C43:L43)),IF(ISERROR($B43/$C$36),"",$B43/$C$36),0)</f>
        <v>0</v>
      </c>
      <c r="N43" s="86">
        <f t="shared" si="1"/>
        <v>0</v>
      </c>
    </row>
    <row r="44" spans="1:14" ht="18.75" customHeight="1" x14ac:dyDescent="0.25">
      <c r="A44" t="str">
        <f t="shared" ref="A44" si="4">A21</f>
        <v>Droits d’entrée</v>
      </c>
      <c r="B44" s="125">
        <f t="shared" si="2"/>
        <v>0</v>
      </c>
      <c r="C44" s="277">
        <f t="shared" si="0"/>
        <v>0</v>
      </c>
      <c r="D44" s="277">
        <f>IF($B44&gt;(SUM(C44:$C44)),IF(ISERROR($B44/$C$36),"",$B44/$C$36),0)</f>
        <v>0</v>
      </c>
      <c r="E44" s="277">
        <f>IF($B44&gt;(SUM($C44:D44)),IF(ISERROR($B44/$C$36),"",$B44/$C$36),0)</f>
        <v>0</v>
      </c>
      <c r="F44" s="277">
        <f>IF($B44&gt;(SUM($C44:E44)),IF(ISERROR($B44/$C$36),"",$B44/$C$36),0)</f>
        <v>0</v>
      </c>
      <c r="G44" s="86"/>
      <c r="H44" s="86"/>
      <c r="I44" s="86"/>
      <c r="J44" s="277">
        <f>IF($B44&gt;(SUM($C44:F44)),IF(ISERROR($B44/$C$36),"",$B44/$C$36),0)</f>
        <v>0</v>
      </c>
      <c r="K44" s="86">
        <f>IF($B44&gt;(SUM($C44:J44)),IF(ISERROR($B44/$C$36),"",$B44/$C$36),0)</f>
        <v>0</v>
      </c>
      <c r="L44" s="86">
        <f>IF($B44&gt;(SUM($C44:K44)),IF(ISERROR($B44/$C$36),"",$B44/$C$36),0)</f>
        <v>0</v>
      </c>
      <c r="M44" s="86">
        <f>IF($B44&gt;(SUM($C44:L44)),IF(ISERROR($B44/$C$36),"",$B44/$C$36),0)</f>
        <v>0</v>
      </c>
      <c r="N44" s="86">
        <f t="shared" si="1"/>
        <v>0</v>
      </c>
    </row>
    <row r="45" spans="1:14" ht="13.5" customHeight="1" x14ac:dyDescent="0.25">
      <c r="A45" t="str">
        <f t="shared" ref="A45:B51" si="5">A25</f>
        <v>Frais de dossier</v>
      </c>
      <c r="B45" s="125">
        <f t="shared" si="5"/>
        <v>5000</v>
      </c>
      <c r="C45" s="277">
        <f t="shared" si="0"/>
        <v>1000</v>
      </c>
      <c r="D45" s="277">
        <f>IF($B45&gt;(SUM(C45:$C45)),IF(ISERROR($B45/$C$36),"",$B45/$C$36),0)</f>
        <v>1000</v>
      </c>
      <c r="E45" s="277">
        <f>IF($B45&gt;(SUM($C45:D45)),IF(ISERROR($B45/$C$36),"",$B45/$C$36),0)</f>
        <v>1000</v>
      </c>
      <c r="F45" s="277">
        <f>IF($B45&gt;(SUM($C45:E45)),IF(ISERROR($B45/$C$36),"",$B45/$C$36),0)</f>
        <v>1000</v>
      </c>
      <c r="G45" s="277"/>
      <c r="H45" s="277"/>
      <c r="I45" s="277"/>
      <c r="J45" s="277">
        <f>IF($B45&gt;(SUM($C45:F45)),IF(ISERROR($B45/$C$36),"",$B45/$C$36),0)</f>
        <v>1000</v>
      </c>
      <c r="K45" s="86">
        <f>IF($B45&gt;(SUM($C45:J45)),IF(ISERROR($B45/$C$36),"",$B45/$C$36),0)</f>
        <v>0</v>
      </c>
      <c r="L45" s="86">
        <f>IF($B45&gt;(SUM($C45:K45)),IF(ISERROR($B45/$C$36),"",$B45/$C$36),0)</f>
        <v>0</v>
      </c>
      <c r="M45" s="86">
        <f>IF($B45&gt;(SUM($C45:L45)),IF(ISERROR($B45/$C$36),"",$B45/$C$36),0)</f>
        <v>0</v>
      </c>
      <c r="N45" s="86">
        <f t="shared" si="1"/>
        <v>5000</v>
      </c>
    </row>
    <row r="46" spans="1:14" ht="16.5" customHeight="1" x14ac:dyDescent="0.25">
      <c r="A46" t="str">
        <f t="shared" si="5"/>
        <v>Frais de notaire ou d’avocat</v>
      </c>
      <c r="B46" s="125">
        <f t="shared" si="5"/>
        <v>12000</v>
      </c>
      <c r="C46" s="277">
        <f t="shared" si="0"/>
        <v>2400</v>
      </c>
      <c r="D46" s="277">
        <f>IF($B46&gt;(SUM(C46:$C46)),IF(ISERROR($B46/$C$36),"",$B46/$C$36),0)</f>
        <v>2400</v>
      </c>
      <c r="E46" s="277">
        <f>IF($B46&gt;(SUM($C46:D46)),IF(ISERROR($B46/$C$36),"",$B46/$C$36),0)</f>
        <v>2400</v>
      </c>
      <c r="F46" s="277">
        <f>IF($B46&gt;(SUM($C46:E46)),IF(ISERROR($B46/$C$36),"",$B46/$C$36),0)</f>
        <v>2400</v>
      </c>
      <c r="G46" s="277"/>
      <c r="H46" s="277"/>
      <c r="I46" s="277"/>
      <c r="J46" s="277">
        <f>IF($B46&gt;(SUM($C46:F46)),IF(ISERROR($B46/$C$36),"",$B46/$C$36),0)</f>
        <v>2400</v>
      </c>
      <c r="K46" s="86">
        <f>IF($B46&gt;(SUM($C46:J46)),IF(ISERROR($B46/$C$36),"",$B46/$C$36),0)</f>
        <v>0</v>
      </c>
      <c r="L46" s="86">
        <f>IF($B46&gt;(SUM($C46:K46)),IF(ISERROR($B46/$C$36),"",$B46/$C$36),0)</f>
        <v>0</v>
      </c>
      <c r="M46" s="86">
        <f>IF($B46&gt;(SUM($C46:L46)),IF(ISERROR($B46/$C$36),"",$B46/$C$36),0)</f>
        <v>0</v>
      </c>
      <c r="N46" s="86">
        <f t="shared" si="1"/>
        <v>12000</v>
      </c>
    </row>
    <row r="47" spans="1:14" x14ac:dyDescent="0.25">
      <c r="A47" t="str">
        <f t="shared" si="5"/>
        <v>Enseigne et éléments de communication</v>
      </c>
      <c r="B47" s="125">
        <f t="shared" si="5"/>
        <v>20000</v>
      </c>
      <c r="C47" s="277">
        <f t="shared" si="0"/>
        <v>4000</v>
      </c>
      <c r="D47" s="277">
        <f>IF($B47&gt;(SUM(C47:$C47)),IF(ISERROR($B47/$C$36),"",$B47/$C$36),0)</f>
        <v>4000</v>
      </c>
      <c r="E47" s="277">
        <f>IF($B47&gt;(SUM($C47:D47)),IF(ISERROR($B47/$C$36),"",$B47/$C$36),0)</f>
        <v>4000</v>
      </c>
      <c r="F47" s="277">
        <f>IF($B47&gt;(SUM($C47:E47)),IF(ISERROR($B47/$C$36),"",$B47/$C$36),0)</f>
        <v>4000</v>
      </c>
      <c r="G47" s="277"/>
      <c r="H47" s="277"/>
      <c r="I47" s="277"/>
      <c r="J47" s="277">
        <f>IF($B47&gt;(SUM($C47:F47)),IF(ISERROR($B47/$C$36),"",$B47/$C$36),0)</f>
        <v>4000</v>
      </c>
      <c r="K47" s="86">
        <f>IF($B47&gt;(SUM($C47:J47)),IF(ISERROR($B47/$C$36),"",$B47/$C$36),0)</f>
        <v>0</v>
      </c>
      <c r="L47" s="86">
        <f>IF($B47&gt;(SUM($C47:K47)),IF(ISERROR($B47/$C$36),"",$B47/$C$36),0)</f>
        <v>0</v>
      </c>
      <c r="M47" s="86">
        <f>IF($B47&gt;(SUM($C47:L47)),IF(ISERROR($B47/$C$36),"",$B47/$C$36),0)</f>
        <v>0</v>
      </c>
      <c r="N47" s="86">
        <f t="shared" si="1"/>
        <v>20000</v>
      </c>
    </row>
    <row r="48" spans="1:14" x14ac:dyDescent="0.25">
      <c r="A48" t="str">
        <f t="shared" si="5"/>
        <v>Achat immobilier</v>
      </c>
      <c r="B48" s="125">
        <f t="shared" si="5"/>
        <v>0</v>
      </c>
      <c r="C48" s="277">
        <f t="shared" si="0"/>
        <v>0</v>
      </c>
      <c r="D48" s="277">
        <f>IF($B48&gt;(SUM(C48:$C48)),IF(ISERROR($B48/$C$36),"",$B48/$C$36),0)</f>
        <v>0</v>
      </c>
      <c r="E48" s="277">
        <f>IF($B48&gt;(SUM($C48:D48)),IF(ISERROR($B48/$C$36),"",$B48/$C$36),0)</f>
        <v>0</v>
      </c>
      <c r="F48" s="277">
        <f>IF($B48&gt;(SUM($C48:E48)),IF(ISERROR($B48/$C$36),"",$B48/$C$36),0)</f>
        <v>0</v>
      </c>
      <c r="G48" s="277"/>
      <c r="H48" s="277"/>
      <c r="I48" s="277"/>
      <c r="J48" s="277">
        <f>IF($B48&gt;(SUM($C48:F48)),IF(ISERROR($B48/$C$36),"",$B48/$C$36),0)</f>
        <v>0</v>
      </c>
      <c r="K48" s="86">
        <f>IF($B48&gt;(SUM($C48:J48)),IF(ISERROR($B48/$C$36),"",$B48/$C$36),0)</f>
        <v>0</v>
      </c>
      <c r="L48" s="86">
        <f>IF($B48&gt;(SUM($C48:K48)),IF(ISERROR($B48/$C$36),"",$B48/$C$36),0)</f>
        <v>0</v>
      </c>
      <c r="M48" s="86">
        <f>IF($B48&gt;(SUM($C48:L48)),IF(ISERROR($B48/$C$36),"",$B48/$C$36),0)</f>
        <v>0</v>
      </c>
      <c r="N48" s="86">
        <f t="shared" si="1"/>
        <v>0</v>
      </c>
    </row>
    <row r="49" spans="1:14" ht="12" customHeight="1" x14ac:dyDescent="0.25">
      <c r="A49" t="str">
        <f t="shared" si="5"/>
        <v>Travaux et aménagements</v>
      </c>
      <c r="B49" s="125">
        <f t="shared" si="5"/>
        <v>30000</v>
      </c>
      <c r="C49" s="277">
        <f t="shared" si="0"/>
        <v>6000</v>
      </c>
      <c r="D49" s="277">
        <f>IF($B49&gt;(SUM(C49:$C49)),IF(ISERROR($B49/$C$36),"",$B49/$C$36),0)</f>
        <v>6000</v>
      </c>
      <c r="E49" s="277">
        <f>IF($B49&gt;(SUM($C49:D49)),IF(ISERROR($B49/$C$36),"",$B49/$C$36),0)</f>
        <v>6000</v>
      </c>
      <c r="F49" s="277">
        <f>IF($B49&gt;(SUM($C49:E49)),IF(ISERROR($B49/$C$36),"",$B49/$C$36),0)</f>
        <v>6000</v>
      </c>
      <c r="G49" s="277"/>
      <c r="H49" s="277"/>
      <c r="I49" s="277"/>
      <c r="J49" s="277">
        <f>IF($B49&gt;(SUM($C49:F49)),IF(ISERROR($B49/$C$36),"",$B49/$C$36),0)</f>
        <v>6000</v>
      </c>
      <c r="K49" s="86">
        <f>IF($B49&gt;(SUM($C49:J49)),IF(ISERROR($B49/$C$36),"",$B49/$C$36),0)</f>
        <v>0</v>
      </c>
      <c r="L49" s="86">
        <f>IF($B49&gt;(SUM($C49:K49)),IF(ISERROR($B49/$C$36),"",$B49/$C$36),0)</f>
        <v>0</v>
      </c>
      <c r="M49" s="86">
        <f>IF($B49&gt;(SUM($C49:L49)),IF(ISERROR($B49/$C$36),"",$B49/$C$36),0)</f>
        <v>0</v>
      </c>
      <c r="N49" s="86">
        <f t="shared" si="1"/>
        <v>30000</v>
      </c>
    </row>
    <row r="50" spans="1:14" ht="18.75" customHeight="1" x14ac:dyDescent="0.25">
      <c r="A50" t="str">
        <f t="shared" si="5"/>
        <v>Matériel</v>
      </c>
      <c r="B50" s="125">
        <f t="shared" si="5"/>
        <v>500000</v>
      </c>
      <c r="C50" s="277">
        <f t="shared" si="0"/>
        <v>100000</v>
      </c>
      <c r="D50" s="277">
        <f>IF($B50&gt;(SUM(C50:$C50)),IF(ISERROR($B50/$C$36),"",$B50/$C$36),0)</f>
        <v>100000</v>
      </c>
      <c r="E50" s="277">
        <f>IF($B50&gt;(SUM($C50:D50)),IF(ISERROR($B50/$C$36),"",$B50/$C$36),0)</f>
        <v>100000</v>
      </c>
      <c r="F50" s="277">
        <f>IF($B50&gt;(SUM($C50:E50)),IF(ISERROR($B50/$C$36),"",$B50/$C$36),0)</f>
        <v>100000</v>
      </c>
      <c r="G50" s="277"/>
      <c r="H50" s="277"/>
      <c r="I50" s="277"/>
      <c r="J50" s="277">
        <f>IF($B50&gt;(SUM($C50:F50)),IF(ISERROR($B50/$C$36),"",$B50/$C$36),0)</f>
        <v>100000</v>
      </c>
      <c r="K50" s="86">
        <f>IF($B50&gt;(SUM($C50:J50)),IF(ISERROR($B50/$C$36),"",$B50/$C$36),0)</f>
        <v>0</v>
      </c>
      <c r="L50" s="86">
        <f>IF($B50&gt;(SUM($C50:K50)),IF(ISERROR($B50/$C$36),"",$B50/$C$36),0)</f>
        <v>0</v>
      </c>
      <c r="M50" s="86">
        <f>IF($B50&gt;(SUM($C50:L50)),IF(ISERROR($B50/$C$36),"",$B50/$C$36),0)</f>
        <v>0</v>
      </c>
      <c r="N50" s="86">
        <f t="shared" si="1"/>
        <v>500000</v>
      </c>
    </row>
    <row r="51" spans="1:14" ht="20.25" customHeight="1" x14ac:dyDescent="0.25">
      <c r="A51" t="str">
        <f t="shared" si="5"/>
        <v>Matériel de bureau</v>
      </c>
      <c r="B51" s="125">
        <f t="shared" si="5"/>
        <v>300000</v>
      </c>
      <c r="C51" s="277">
        <f t="shared" si="0"/>
        <v>60000</v>
      </c>
      <c r="D51" s="277">
        <f>IF($B51&gt;(SUM(C51:$C51)),IF(ISERROR($B51/$C$36),"",$B51/$C$36),0)</f>
        <v>60000</v>
      </c>
      <c r="E51" s="277">
        <f>IF($B51&gt;(SUM($C51:D51)),IF(ISERROR($B51/$C$36),"",$B51/$C$36),0)</f>
        <v>60000</v>
      </c>
      <c r="F51" s="277">
        <f>IF($B51&gt;(SUM($C51:E51)),IF(ISERROR($B51/$C$36),"",$B51/$C$36),0)</f>
        <v>60000</v>
      </c>
      <c r="G51" s="277"/>
      <c r="H51" s="277"/>
      <c r="I51" s="277"/>
      <c r="J51" s="277">
        <f>IF($B51&gt;(SUM($C51:F51)),IF(ISERROR($B51/$C$36),"",$B51/$C$36),0)</f>
        <v>60000</v>
      </c>
      <c r="K51" s="86">
        <f>IF($B51&gt;(SUM($C51:J51)),IF(ISERROR($B51/$C$36),"",$B51/$C$36),0)</f>
        <v>0</v>
      </c>
      <c r="L51" s="86">
        <f>IF($B51&gt;(SUM($C51:K51)),IF(ISERROR($B51/$C$36),"",$B51/$C$36),0)</f>
        <v>0</v>
      </c>
      <c r="M51" s="86">
        <f>IF($B51&gt;(SUM($C51:L51)),IF(ISERROR($B51/$C$36),"",$B51/$C$36),0)</f>
        <v>0</v>
      </c>
      <c r="N51" s="86">
        <f t="shared" si="1"/>
        <v>300000</v>
      </c>
    </row>
    <row r="52" spans="1:14" ht="5.25" customHeight="1" x14ac:dyDescent="0.25">
      <c r="A52" s="87"/>
      <c r="B52" s="86"/>
      <c r="C52" s="86"/>
      <c r="D52" s="86"/>
      <c r="E52" s="86"/>
      <c r="F52" s="86"/>
      <c r="G52" s="86"/>
      <c r="H52" s="86"/>
      <c r="I52" s="86"/>
      <c r="J52" s="277"/>
      <c r="K52" s="86"/>
      <c r="L52" s="86"/>
      <c r="M52" s="86"/>
    </row>
    <row r="53" spans="1:14" ht="18.75" x14ac:dyDescent="0.3">
      <c r="A53" s="17" t="s">
        <v>63</v>
      </c>
    </row>
    <row r="54" spans="1:14" x14ac:dyDescent="0.25">
      <c r="A54" s="5"/>
    </row>
    <row r="55" spans="1:14" x14ac:dyDescent="0.25">
      <c r="B55" s="251" t="s">
        <v>261</v>
      </c>
    </row>
    <row r="56" spans="1:14" ht="15" customHeight="1" x14ac:dyDescent="0.25">
      <c r="A56" s="235" t="s">
        <v>280</v>
      </c>
      <c r="B56" s="237">
        <v>452000</v>
      </c>
      <c r="C56" s="7"/>
    </row>
    <row r="57" spans="1:14" ht="15" customHeight="1" x14ac:dyDescent="0.25">
      <c r="A57" s="235" t="s">
        <v>82</v>
      </c>
      <c r="B57" s="237"/>
      <c r="C57" s="257" t="s">
        <v>72</v>
      </c>
      <c r="D57" s="258" t="s">
        <v>265</v>
      </c>
    </row>
    <row r="58" spans="1:14" ht="15" customHeight="1" x14ac:dyDescent="0.25">
      <c r="A58" s="240" t="s">
        <v>144</v>
      </c>
      <c r="B58" s="237">
        <v>500000</v>
      </c>
      <c r="C58" s="239">
        <v>0.05</v>
      </c>
      <c r="D58" s="259">
        <v>120</v>
      </c>
      <c r="E58" s="156"/>
      <c r="F58" s="98"/>
      <c r="G58" s="98"/>
      <c r="H58" s="98"/>
      <c r="I58" s="98"/>
    </row>
    <row r="59" spans="1:14" ht="15" customHeight="1" x14ac:dyDescent="0.25">
      <c r="A59" s="240" t="s">
        <v>145</v>
      </c>
      <c r="B59" s="237"/>
      <c r="C59" s="239"/>
      <c r="D59" s="259"/>
    </row>
    <row r="60" spans="1:14" ht="15" customHeight="1" x14ac:dyDescent="0.25">
      <c r="A60" s="240" t="s">
        <v>146</v>
      </c>
      <c r="B60" s="237"/>
      <c r="C60" s="239"/>
      <c r="D60" s="259"/>
    </row>
    <row r="61" spans="1:14" ht="15" customHeight="1" x14ac:dyDescent="0.25">
      <c r="A61" s="240" t="s">
        <v>147</v>
      </c>
      <c r="B61" s="237"/>
      <c r="C61" s="7"/>
    </row>
    <row r="62" spans="1:14" ht="15" customHeight="1" x14ac:dyDescent="0.25">
      <c r="A62" s="240" t="s">
        <v>148</v>
      </c>
      <c r="B62" s="237"/>
      <c r="C62" s="7"/>
    </row>
    <row r="63" spans="1:14" ht="15.75" customHeight="1" thickBot="1" x14ac:dyDescent="0.3">
      <c r="A63" s="240" t="s">
        <v>149</v>
      </c>
      <c r="B63" s="237"/>
      <c r="C63" s="7"/>
    </row>
    <row r="64" spans="1:14" ht="15.75" customHeight="1" thickBot="1" x14ac:dyDescent="0.3">
      <c r="A64" s="9" t="s">
        <v>50</v>
      </c>
      <c r="B64" s="11">
        <f>SUM(B56:B63)</f>
        <v>952000</v>
      </c>
      <c r="C64" s="19" t="str">
        <f>IF(B64=B34,"","Le total doit être égal au total du tableau précédent, veuillez modifier les chiffres")</f>
        <v/>
      </c>
    </row>
    <row r="65" spans="1:13" x14ac:dyDescent="0.25">
      <c r="A65" s="9"/>
      <c r="B65" s="88"/>
      <c r="C65" s="19"/>
    </row>
    <row r="66" spans="1:13" ht="30.75" customHeight="1" x14ac:dyDescent="0.25">
      <c r="A66" s="1" t="s">
        <v>109</v>
      </c>
      <c r="B66" s="9" t="s">
        <v>108</v>
      </c>
      <c r="C66" s="89" t="s">
        <v>183</v>
      </c>
      <c r="D66" s="90" t="s">
        <v>184</v>
      </c>
      <c r="E66" s="9" t="s">
        <v>185</v>
      </c>
      <c r="F66" s="9" t="s">
        <v>110</v>
      </c>
      <c r="G66" s="137" t="s">
        <v>286</v>
      </c>
      <c r="H66" s="137" t="s">
        <v>287</v>
      </c>
      <c r="I66" s="137" t="s">
        <v>179</v>
      </c>
      <c r="J66" s="280" t="s">
        <v>180</v>
      </c>
      <c r="K66" s="137" t="s">
        <v>181</v>
      </c>
      <c r="L66" s="137" t="s">
        <v>182</v>
      </c>
    </row>
    <row r="67" spans="1:13" ht="11.25" customHeight="1" x14ac:dyDescent="0.25">
      <c r="A67" t="s">
        <v>52</v>
      </c>
      <c r="B67" s="288">
        <f>IF(ISERROR((PMT(C58/12,D58,B58))*-1),0,(PMT(C58/12,D58,B58))*-1)</f>
        <v>5303.2757619537615</v>
      </c>
      <c r="C67" s="288">
        <f>B67*D58</f>
        <v>636393.0914344514</v>
      </c>
      <c r="D67" s="288">
        <f>IF(ISERROR(B58/D58),0,B58/D58)</f>
        <v>4166.666666666667</v>
      </c>
      <c r="E67" s="288">
        <f>B67-D67</f>
        <v>1136.6090952870945</v>
      </c>
      <c r="F67" s="288">
        <f>E67*D58</f>
        <v>136393.09143445134</v>
      </c>
      <c r="G67" s="288">
        <f>IF($D58&gt;12,$E67*12,$E67*$D58)</f>
        <v>13639.309143445134</v>
      </c>
      <c r="H67" s="288">
        <f>IF($D58-12&lt;0,0,IF($D58&gt;24,$E67*12,($D58-12)*$E67))</f>
        <v>13639.309143445134</v>
      </c>
      <c r="I67" s="288">
        <f>IF($D58-24&lt;0,0,IF($D58&gt;36,$E67*12,($D58-24)*$E67))</f>
        <v>13639.309143445134</v>
      </c>
      <c r="J67" s="288">
        <f>IF($D58&gt;12,$D67*12,$D67*$D58)</f>
        <v>50000</v>
      </c>
      <c r="K67" s="157">
        <f>IF($D58-12&lt;0,0,IF($D58&gt;24,$D67*12,($D58-12)*$D67))</f>
        <v>50000</v>
      </c>
      <c r="L67" s="157">
        <f>IF($D58-24&lt;0,0,IF($D58&gt;36,$D67*12,($D58-24)*$D67))</f>
        <v>50000</v>
      </c>
    </row>
    <row r="68" spans="1:13" ht="16.5" customHeight="1" x14ac:dyDescent="0.25">
      <c r="A68" t="s">
        <v>53</v>
      </c>
      <c r="B68" s="288">
        <f t="shared" ref="B68:B69" si="6">IF(ISERROR((PMT(C59/12,D59,B59))*-1),0,(PMT(C59/12,D59,B59))*-1)</f>
        <v>0</v>
      </c>
      <c r="C68" s="288">
        <f t="shared" ref="C68:C69" si="7">B68*D59</f>
        <v>0</v>
      </c>
      <c r="D68" s="288">
        <f t="shared" ref="D68:D69" si="8">IF(ISERROR(B59/D59),0,B59/D59)</f>
        <v>0</v>
      </c>
      <c r="E68" s="288">
        <f t="shared" ref="E68:E69" si="9">B68-D68</f>
        <v>0</v>
      </c>
      <c r="F68" s="288">
        <f t="shared" ref="F68:F69" si="10">E68*D59</f>
        <v>0</v>
      </c>
      <c r="G68" s="288">
        <f>IF($D59&gt;12,$E68*12,$E68*$D59)</f>
        <v>0</v>
      </c>
      <c r="H68" s="288">
        <f>IF($D59-12&lt;0,0,IF($D59&gt;24,$E68*12,($D59-12)*$E68))</f>
        <v>0</v>
      </c>
      <c r="I68" s="288">
        <f>IF($D59-24&lt;0,0,IF($D59&gt;36,$E68*12,($D59-24)*$E68))</f>
        <v>0</v>
      </c>
      <c r="J68" s="288">
        <f>IF($D59&gt;12,$D68*12,$D68*$D59)</f>
        <v>0</v>
      </c>
      <c r="K68" s="157">
        <f>IF($D59-12&lt;0,0,IF($D59&gt;24,$D68*12,($D59-12)*$D68))</f>
        <v>0</v>
      </c>
      <c r="L68" s="157">
        <f>IF($D59-24&lt;0,0,IF($D59&gt;36,$D68*12,($D59-24)*$D68))</f>
        <v>0</v>
      </c>
    </row>
    <row r="69" spans="1:13" ht="15.75" customHeight="1" x14ac:dyDescent="0.25">
      <c r="A69" t="s">
        <v>54</v>
      </c>
      <c r="B69" s="288">
        <f t="shared" si="6"/>
        <v>0</v>
      </c>
      <c r="C69" s="288">
        <f t="shared" si="7"/>
        <v>0</v>
      </c>
      <c r="D69" s="288">
        <f t="shared" si="8"/>
        <v>0</v>
      </c>
      <c r="E69" s="288">
        <f t="shared" si="9"/>
        <v>0</v>
      </c>
      <c r="F69" s="288">
        <f t="shared" si="10"/>
        <v>0</v>
      </c>
      <c r="G69" s="288">
        <f>IF($D60&gt;12,$E69*12,$E69*$D60)</f>
        <v>0</v>
      </c>
      <c r="H69" s="288">
        <f>IF($D60-12&lt;0,0,IF($D60&gt;24,$E69*12,($D60-12)*$E69))</f>
        <v>0</v>
      </c>
      <c r="I69" s="288">
        <f>IF($D60-24&lt;0,0,IF($D60&gt;36,$E69*12,($D60-24)*$E69))</f>
        <v>0</v>
      </c>
      <c r="J69" s="288">
        <f>IF($D60&gt;12,$D69*12,$D69*$D60)</f>
        <v>0</v>
      </c>
      <c r="K69" s="157">
        <f>IF($D60-12&lt;0,0,IF($D60&gt;24,$D69*12,($D60-12)*$D69))</f>
        <v>0</v>
      </c>
      <c r="L69" s="157">
        <f>IF($D60-24&lt;0,0,IF($D60&gt;36,$D69*12,($D60-24)*$D69))</f>
        <v>0</v>
      </c>
    </row>
    <row r="70" spans="1:13" ht="29.25" customHeight="1" x14ac:dyDescent="0.3">
      <c r="A70" s="17" t="s">
        <v>64</v>
      </c>
      <c r="J70" s="281">
        <f t="shared" ref="J70:M70" si="11">SUM(J67:J69)</f>
        <v>50000</v>
      </c>
      <c r="K70" s="214">
        <f t="shared" si="11"/>
        <v>50000</v>
      </c>
      <c r="L70" s="214">
        <f t="shared" si="11"/>
        <v>50000</v>
      </c>
      <c r="M70" s="214">
        <f t="shared" si="11"/>
        <v>0</v>
      </c>
    </row>
    <row r="71" spans="1:13" x14ac:dyDescent="0.25">
      <c r="A71" s="5" t="s">
        <v>282</v>
      </c>
    </row>
    <row r="72" spans="1:13" x14ac:dyDescent="0.25"/>
    <row r="73" spans="1:13" x14ac:dyDescent="0.25">
      <c r="B73" s="252" t="s">
        <v>258</v>
      </c>
      <c r="C73" s="252" t="s">
        <v>259</v>
      </c>
      <c r="D73" s="252" t="s">
        <v>260</v>
      </c>
    </row>
    <row r="74" spans="1:13" x14ac:dyDescent="0.25">
      <c r="A74" s="235" t="s">
        <v>23</v>
      </c>
      <c r="B74" s="241">
        <v>12000</v>
      </c>
      <c r="C74" s="242">
        <v>12000</v>
      </c>
      <c r="D74" s="243">
        <v>12000</v>
      </c>
    </row>
    <row r="75" spans="1:13" ht="15" customHeight="1" x14ac:dyDescent="0.25">
      <c r="A75" s="235" t="s">
        <v>24</v>
      </c>
      <c r="B75" s="241">
        <v>12000</v>
      </c>
      <c r="C75" s="242">
        <v>12000</v>
      </c>
      <c r="D75" s="243">
        <v>12000</v>
      </c>
    </row>
    <row r="76" spans="1:13" ht="15" customHeight="1" x14ac:dyDescent="0.25">
      <c r="A76" s="235" t="s">
        <v>47</v>
      </c>
      <c r="B76" s="241">
        <v>5000</v>
      </c>
      <c r="C76" s="242">
        <v>5000</v>
      </c>
      <c r="D76" s="243">
        <v>5000</v>
      </c>
    </row>
    <row r="77" spans="1:13" ht="15" customHeight="1" x14ac:dyDescent="0.25">
      <c r="A77" s="235" t="s">
        <v>25</v>
      </c>
      <c r="B77" s="241">
        <v>20000</v>
      </c>
      <c r="C77" s="242">
        <v>20000</v>
      </c>
      <c r="D77" s="243">
        <v>20000</v>
      </c>
    </row>
    <row r="78" spans="1:13" ht="15" customHeight="1" x14ac:dyDescent="0.25">
      <c r="A78" s="235" t="s">
        <v>26</v>
      </c>
      <c r="B78" s="241">
        <v>8000</v>
      </c>
      <c r="C78" s="242">
        <v>8000</v>
      </c>
      <c r="D78" s="243">
        <v>8000</v>
      </c>
    </row>
    <row r="79" spans="1:13" ht="15" customHeight="1" x14ac:dyDescent="0.25">
      <c r="A79" s="235" t="s">
        <v>8</v>
      </c>
      <c r="B79" s="241">
        <v>12000</v>
      </c>
      <c r="C79" s="242">
        <v>12000</v>
      </c>
      <c r="D79" s="243">
        <v>12000</v>
      </c>
    </row>
    <row r="80" spans="1:13" ht="15" customHeight="1" x14ac:dyDescent="0.25">
      <c r="A80" s="235" t="s">
        <v>29</v>
      </c>
      <c r="B80" s="241">
        <v>4000</v>
      </c>
      <c r="C80" s="242">
        <v>4000</v>
      </c>
      <c r="D80" s="243">
        <v>4000</v>
      </c>
      <c r="E80" s="6"/>
    </row>
    <row r="81" spans="1:5" ht="15" customHeight="1" x14ac:dyDescent="0.25">
      <c r="A81" s="235" t="s">
        <v>30</v>
      </c>
      <c r="B81" s="241">
        <v>5000</v>
      </c>
      <c r="C81" s="242">
        <v>5000</v>
      </c>
      <c r="D81" s="243">
        <v>5000</v>
      </c>
      <c r="E81" s="6"/>
    </row>
    <row r="82" spans="1:5" ht="15" customHeight="1" x14ac:dyDescent="0.25">
      <c r="A82" s="235" t="s">
        <v>31</v>
      </c>
      <c r="B82" s="241">
        <v>3000</v>
      </c>
      <c r="C82" s="242">
        <v>3000</v>
      </c>
      <c r="D82" s="243">
        <v>3000</v>
      </c>
      <c r="E82" s="6"/>
    </row>
    <row r="83" spans="1:5" ht="15" customHeight="1" x14ac:dyDescent="0.25">
      <c r="A83" s="235" t="s">
        <v>32</v>
      </c>
      <c r="B83" s="241">
        <v>2000</v>
      </c>
      <c r="C83" s="242">
        <v>2000</v>
      </c>
      <c r="D83" s="243">
        <v>2000</v>
      </c>
      <c r="E83" s="6"/>
    </row>
    <row r="84" spans="1:5" ht="15.75" customHeight="1" x14ac:dyDescent="0.25">
      <c r="A84" s="235" t="s">
        <v>48</v>
      </c>
      <c r="B84" s="241">
        <v>6000</v>
      </c>
      <c r="C84" s="242">
        <v>6000</v>
      </c>
      <c r="D84" s="243">
        <v>6000</v>
      </c>
      <c r="E84" s="6"/>
    </row>
    <row r="85" spans="1:5" x14ac:dyDescent="0.25">
      <c r="A85" s="235" t="s">
        <v>33</v>
      </c>
      <c r="B85" s="241">
        <v>5000</v>
      </c>
      <c r="C85" s="242">
        <v>5000</v>
      </c>
      <c r="D85" s="243">
        <v>5000</v>
      </c>
      <c r="E85" s="6"/>
    </row>
    <row r="86" spans="1:5" x14ac:dyDescent="0.25">
      <c r="A86" s="235" t="s">
        <v>34</v>
      </c>
      <c r="B86" s="241">
        <v>10000</v>
      </c>
      <c r="C86" s="242">
        <v>10000</v>
      </c>
      <c r="D86" s="243">
        <v>10000</v>
      </c>
      <c r="E86" s="6"/>
    </row>
    <row r="87" spans="1:5" x14ac:dyDescent="0.25">
      <c r="A87" s="235" t="s">
        <v>35</v>
      </c>
      <c r="B87" s="241">
        <v>1600</v>
      </c>
      <c r="C87" s="242">
        <v>1600</v>
      </c>
      <c r="D87" s="243">
        <v>1600</v>
      </c>
      <c r="E87" s="6"/>
    </row>
    <row r="88" spans="1:5" x14ac:dyDescent="0.25">
      <c r="A88" s="235" t="s">
        <v>289</v>
      </c>
      <c r="B88" s="241">
        <v>4000</v>
      </c>
      <c r="C88" s="242">
        <v>4000</v>
      </c>
      <c r="D88" s="243">
        <v>4000</v>
      </c>
      <c r="E88" s="97"/>
    </row>
    <row r="89" spans="1:5" x14ac:dyDescent="0.25">
      <c r="A89" s="236" t="s">
        <v>49</v>
      </c>
    </row>
    <row r="90" spans="1:5" x14ac:dyDescent="0.25">
      <c r="A90" s="244" t="s">
        <v>273</v>
      </c>
      <c r="B90" s="241"/>
      <c r="C90" s="242"/>
      <c r="D90" s="243"/>
    </row>
    <row r="91" spans="1:5" x14ac:dyDescent="0.25">
      <c r="A91" s="244" t="s">
        <v>274</v>
      </c>
      <c r="B91" s="241"/>
      <c r="C91" s="242"/>
      <c r="D91" s="243"/>
    </row>
    <row r="92" spans="1:5" x14ac:dyDescent="0.25">
      <c r="A92" s="244" t="s">
        <v>275</v>
      </c>
      <c r="B92" s="241"/>
      <c r="C92" s="242"/>
      <c r="D92" s="243"/>
    </row>
    <row r="93" spans="1:5" ht="19.5" customHeight="1" thickBot="1" x14ac:dyDescent="0.3"/>
    <row r="94" spans="1:5" ht="15.75" thickBot="1" x14ac:dyDescent="0.3">
      <c r="A94" s="9" t="s">
        <v>50</v>
      </c>
      <c r="B94" s="11">
        <f>SUM(B74:B92)</f>
        <v>109600</v>
      </c>
      <c r="C94" s="11">
        <f>SUM(C74:C92)</f>
        <v>109600</v>
      </c>
      <c r="D94" s="11">
        <f>SUM(D74:D92)</f>
        <v>109600</v>
      </c>
    </row>
    <row r="95" spans="1:5" x14ac:dyDescent="0.25"/>
    <row r="96" spans="1:5" ht="18.75" x14ac:dyDescent="0.3">
      <c r="A96" s="17" t="s">
        <v>128</v>
      </c>
    </row>
    <row r="97" spans="1:9" x14ac:dyDescent="0.25">
      <c r="A97" s="5" t="s">
        <v>57</v>
      </c>
    </row>
    <row r="98" spans="1:9" x14ac:dyDescent="0.25"/>
    <row r="99" spans="1:9" ht="60" x14ac:dyDescent="0.25">
      <c r="A99" s="100" t="s">
        <v>126</v>
      </c>
      <c r="B99" s="13" t="s">
        <v>55</v>
      </c>
      <c r="C99" s="13" t="s">
        <v>56</v>
      </c>
      <c r="D99" s="13" t="s">
        <v>58</v>
      </c>
      <c r="F99" s="215" t="s">
        <v>127</v>
      </c>
      <c r="G99" s="276" t="s">
        <v>55</v>
      </c>
      <c r="H99" s="276" t="s">
        <v>56</v>
      </c>
      <c r="I99" s="276" t="s">
        <v>58</v>
      </c>
    </row>
    <row r="100" spans="1:9" x14ac:dyDescent="0.25">
      <c r="A100" s="12" t="s">
        <v>221</v>
      </c>
      <c r="B100" s="245"/>
      <c r="C100" s="237"/>
      <c r="D100" s="14">
        <f>B100*C100</f>
        <v>0</v>
      </c>
      <c r="F100" s="216" t="s">
        <v>221</v>
      </c>
      <c r="G100" s="245">
        <v>26</v>
      </c>
      <c r="H100" s="237">
        <v>15000</v>
      </c>
      <c r="I100" s="14">
        <f>G100*H100</f>
        <v>390000</v>
      </c>
    </row>
    <row r="101" spans="1:9" x14ac:dyDescent="0.25">
      <c r="A101" s="12" t="s">
        <v>222</v>
      </c>
      <c r="B101" s="245"/>
      <c r="C101" s="237"/>
      <c r="D101" s="14">
        <f t="shared" ref="D101:D111" si="12">B101*C101</f>
        <v>0</v>
      </c>
      <c r="F101" s="216" t="s">
        <v>222</v>
      </c>
      <c r="G101" s="245">
        <v>26</v>
      </c>
      <c r="H101" s="237">
        <v>15000</v>
      </c>
      <c r="I101" s="14">
        <f t="shared" ref="I101:I111" si="13">G101*H101</f>
        <v>390000</v>
      </c>
    </row>
    <row r="102" spans="1:9" x14ac:dyDescent="0.25">
      <c r="A102" s="12" t="s">
        <v>223</v>
      </c>
      <c r="B102" s="245"/>
      <c r="C102" s="237"/>
      <c r="D102" s="14">
        <f t="shared" si="12"/>
        <v>0</v>
      </c>
      <c r="F102" s="216" t="s">
        <v>223</v>
      </c>
      <c r="G102" s="245">
        <v>26</v>
      </c>
      <c r="H102" s="237">
        <v>15000</v>
      </c>
      <c r="I102" s="14">
        <f t="shared" si="13"/>
        <v>390000</v>
      </c>
    </row>
    <row r="103" spans="1:9" x14ac:dyDescent="0.25">
      <c r="A103" s="12" t="s">
        <v>228</v>
      </c>
      <c r="B103" s="245"/>
      <c r="C103" s="237"/>
      <c r="D103" s="14">
        <f t="shared" si="12"/>
        <v>0</v>
      </c>
      <c r="F103" s="216" t="s">
        <v>228</v>
      </c>
      <c r="G103" s="245">
        <v>26</v>
      </c>
      <c r="H103" s="237">
        <v>15000</v>
      </c>
      <c r="I103" s="14">
        <f t="shared" si="13"/>
        <v>390000</v>
      </c>
    </row>
    <row r="104" spans="1:9" x14ac:dyDescent="0.25">
      <c r="A104" s="12" t="s">
        <v>230</v>
      </c>
      <c r="B104" s="245"/>
      <c r="C104" s="237"/>
      <c r="D104" s="14">
        <f t="shared" si="12"/>
        <v>0</v>
      </c>
      <c r="F104" s="216" t="s">
        <v>230</v>
      </c>
      <c r="G104" s="245">
        <v>26</v>
      </c>
      <c r="H104" s="237">
        <v>15000</v>
      </c>
      <c r="I104" s="14">
        <f t="shared" si="13"/>
        <v>390000</v>
      </c>
    </row>
    <row r="105" spans="1:9" x14ac:dyDescent="0.25">
      <c r="A105" s="12" t="s">
        <v>231</v>
      </c>
      <c r="B105" s="245"/>
      <c r="C105" s="237"/>
      <c r="D105" s="14">
        <f t="shared" si="12"/>
        <v>0</v>
      </c>
      <c r="F105" s="216" t="s">
        <v>231</v>
      </c>
      <c r="G105" s="245">
        <v>26</v>
      </c>
      <c r="H105" s="237">
        <v>15000</v>
      </c>
      <c r="I105" s="14">
        <f t="shared" si="13"/>
        <v>390000</v>
      </c>
    </row>
    <row r="106" spans="1:9" x14ac:dyDescent="0.25">
      <c r="A106" s="12" t="s">
        <v>232</v>
      </c>
      <c r="B106" s="245"/>
      <c r="C106" s="237"/>
      <c r="D106" s="14">
        <f t="shared" si="12"/>
        <v>0</v>
      </c>
      <c r="F106" s="216" t="s">
        <v>232</v>
      </c>
      <c r="G106" s="245">
        <v>26</v>
      </c>
      <c r="H106" s="237">
        <v>15000</v>
      </c>
      <c r="I106" s="14">
        <f t="shared" si="13"/>
        <v>390000</v>
      </c>
    </row>
    <row r="107" spans="1:9" x14ac:dyDescent="0.25">
      <c r="A107" s="12" t="s">
        <v>233</v>
      </c>
      <c r="B107" s="245"/>
      <c r="C107" s="237"/>
      <c r="D107" s="14">
        <f t="shared" si="12"/>
        <v>0</v>
      </c>
      <c r="F107" s="216" t="s">
        <v>233</v>
      </c>
      <c r="G107" s="245">
        <v>26</v>
      </c>
      <c r="H107" s="237">
        <v>15000</v>
      </c>
      <c r="I107" s="14">
        <f t="shared" si="13"/>
        <v>390000</v>
      </c>
    </row>
    <row r="108" spans="1:9" x14ac:dyDescent="0.25">
      <c r="A108" s="12" t="s">
        <v>234</v>
      </c>
      <c r="B108" s="245"/>
      <c r="C108" s="237"/>
      <c r="D108" s="14">
        <f t="shared" si="12"/>
        <v>0</v>
      </c>
      <c r="F108" s="216" t="s">
        <v>234</v>
      </c>
      <c r="G108" s="245">
        <v>26</v>
      </c>
      <c r="H108" s="237">
        <v>15000</v>
      </c>
      <c r="I108" s="14">
        <f t="shared" si="13"/>
        <v>390000</v>
      </c>
    </row>
    <row r="109" spans="1:9" x14ac:dyDescent="0.25">
      <c r="A109" s="12" t="s">
        <v>235</v>
      </c>
      <c r="B109" s="245"/>
      <c r="C109" s="237"/>
      <c r="D109" s="14">
        <f t="shared" si="12"/>
        <v>0</v>
      </c>
      <c r="F109" s="216" t="s">
        <v>235</v>
      </c>
      <c r="G109" s="245">
        <v>26</v>
      </c>
      <c r="H109" s="237">
        <v>15000</v>
      </c>
      <c r="I109" s="14">
        <f t="shared" si="13"/>
        <v>390000</v>
      </c>
    </row>
    <row r="110" spans="1:9" x14ac:dyDescent="0.25">
      <c r="A110" s="12" t="s">
        <v>236</v>
      </c>
      <c r="B110" s="245"/>
      <c r="C110" s="237"/>
      <c r="D110" s="14">
        <f t="shared" si="12"/>
        <v>0</v>
      </c>
      <c r="F110" s="216" t="s">
        <v>236</v>
      </c>
      <c r="G110" s="245">
        <v>26</v>
      </c>
      <c r="H110" s="237">
        <v>15000</v>
      </c>
      <c r="I110" s="14">
        <f t="shared" si="13"/>
        <v>390000</v>
      </c>
    </row>
    <row r="111" spans="1:9" ht="15.75" thickBot="1" x14ac:dyDescent="0.3">
      <c r="A111" s="12" t="s">
        <v>237</v>
      </c>
      <c r="B111" s="245"/>
      <c r="C111" s="237"/>
      <c r="D111" s="14">
        <f t="shared" si="12"/>
        <v>0</v>
      </c>
      <c r="F111" s="216" t="s">
        <v>237</v>
      </c>
      <c r="G111" s="245">
        <v>26</v>
      </c>
      <c r="H111" s="237">
        <v>15000</v>
      </c>
      <c r="I111" s="14">
        <f t="shared" si="13"/>
        <v>390000</v>
      </c>
    </row>
    <row r="112" spans="1:9" ht="15.75" thickBot="1" x14ac:dyDescent="0.3">
      <c r="A112" s="16" t="s">
        <v>50</v>
      </c>
      <c r="D112" s="15">
        <f>SUM(D100:D111)</f>
        <v>0</v>
      </c>
      <c r="F112" s="217" t="s">
        <v>50</v>
      </c>
      <c r="G112" s="274"/>
      <c r="H112" s="274"/>
      <c r="I112" s="15">
        <f>SUM(I100:I111)</f>
        <v>4680000</v>
      </c>
    </row>
    <row r="113" spans="1:9" x14ac:dyDescent="0.25">
      <c r="F113" s="31"/>
      <c r="G113" s="23"/>
      <c r="H113" s="23"/>
    </row>
    <row r="114" spans="1:9" ht="15.75" x14ac:dyDescent="0.25">
      <c r="A114" s="2" t="s">
        <v>59</v>
      </c>
      <c r="D114" s="246">
        <v>0.05</v>
      </c>
      <c r="F114" s="218" t="s">
        <v>125</v>
      </c>
      <c r="G114" s="275"/>
      <c r="H114" s="275"/>
      <c r="I114" s="246">
        <v>0.05</v>
      </c>
    </row>
    <row r="115" spans="1:9" ht="15.75" x14ac:dyDescent="0.25">
      <c r="A115" s="2" t="s">
        <v>60</v>
      </c>
      <c r="D115" s="246">
        <v>0.05</v>
      </c>
      <c r="F115" s="218" t="s">
        <v>124</v>
      </c>
      <c r="G115" s="275"/>
      <c r="H115" s="275"/>
      <c r="I115" s="246">
        <v>0.05</v>
      </c>
    </row>
    <row r="116" spans="1:9" x14ac:dyDescent="0.25"/>
    <row r="117" spans="1:9" ht="18.75" x14ac:dyDescent="0.3">
      <c r="A117" s="17" t="s">
        <v>65</v>
      </c>
    </row>
    <row r="118" spans="1:9" ht="47.25" customHeight="1" x14ac:dyDescent="0.25">
      <c r="A118" s="293" t="s">
        <v>61</v>
      </c>
      <c r="B118" s="293"/>
      <c r="C118" s="293"/>
      <c r="D118" s="293"/>
    </row>
    <row r="119" spans="1:9" x14ac:dyDescent="0.25"/>
    <row r="120" spans="1:9" ht="15.75" x14ac:dyDescent="0.25">
      <c r="A120" s="20" t="s">
        <v>194</v>
      </c>
      <c r="D120" s="248">
        <v>0.5</v>
      </c>
      <c r="E120" s="164" t="s">
        <v>195</v>
      </c>
    </row>
    <row r="121" spans="1:9" x14ac:dyDescent="0.25"/>
    <row r="122" spans="1:9" ht="18.75" x14ac:dyDescent="0.3">
      <c r="A122" s="17" t="s">
        <v>69</v>
      </c>
    </row>
    <row r="123" spans="1:9" ht="18.75" customHeight="1" x14ac:dyDescent="0.3">
      <c r="A123" s="17"/>
    </row>
    <row r="124" spans="1:9" ht="14.25" customHeight="1" x14ac:dyDescent="0.25">
      <c r="B124" s="174"/>
      <c r="C124" s="174" t="s">
        <v>271</v>
      </c>
      <c r="D124" s="247">
        <v>30</v>
      </c>
      <c r="E124" s="164" t="s">
        <v>276</v>
      </c>
    </row>
    <row r="125" spans="1:9" ht="15.75" customHeight="1" x14ac:dyDescent="0.25">
      <c r="A125" s="21"/>
      <c r="C125" s="174" t="s">
        <v>272</v>
      </c>
      <c r="D125" s="247">
        <v>60</v>
      </c>
      <c r="E125" s="164" t="s">
        <v>277</v>
      </c>
    </row>
    <row r="126" spans="1:9" ht="15" customHeight="1" x14ac:dyDescent="0.25"/>
    <row r="127" spans="1:9" ht="18.75" customHeight="1" x14ac:dyDescent="0.3">
      <c r="A127" s="17" t="s">
        <v>90</v>
      </c>
    </row>
    <row r="128" spans="1:9" ht="15" customHeight="1" x14ac:dyDescent="0.25"/>
    <row r="129" spans="1:10" ht="15" customHeight="1" x14ac:dyDescent="0.25">
      <c r="B129" s="282" t="s">
        <v>44</v>
      </c>
      <c r="C129" s="282" t="s">
        <v>45</v>
      </c>
      <c r="D129" s="282" t="s">
        <v>46</v>
      </c>
    </row>
    <row r="130" spans="1:10" ht="15" customHeight="1" x14ac:dyDescent="0.25">
      <c r="A130" t="s">
        <v>266</v>
      </c>
      <c r="B130" s="241">
        <v>800000</v>
      </c>
      <c r="C130" s="242">
        <v>800000</v>
      </c>
      <c r="D130" s="243">
        <v>800000</v>
      </c>
      <c r="E130" s="219" t="s">
        <v>249</v>
      </c>
    </row>
    <row r="131" spans="1:10" ht="15" customHeight="1" x14ac:dyDescent="0.25">
      <c r="A131" t="s">
        <v>267</v>
      </c>
      <c r="B131" s="241">
        <v>500000</v>
      </c>
      <c r="C131" s="242">
        <v>500000</v>
      </c>
      <c r="D131" s="243">
        <v>500000</v>
      </c>
      <c r="E131" s="219" t="s">
        <v>249</v>
      </c>
    </row>
    <row r="132" spans="1:10" ht="15" customHeight="1" x14ac:dyDescent="0.25"/>
    <row r="133" spans="1:10" ht="15.75" customHeight="1" x14ac:dyDescent="0.25">
      <c r="A133" s="289" t="s">
        <v>290</v>
      </c>
      <c r="C133" s="249" t="s">
        <v>96</v>
      </c>
      <c r="D133" s="4" t="s">
        <v>250</v>
      </c>
    </row>
    <row r="134" spans="1:10" ht="15" customHeight="1" x14ac:dyDescent="0.25"/>
    <row r="135" spans="1:10" ht="15" hidden="1" customHeight="1" x14ac:dyDescent="0.25">
      <c r="A135" s="1" t="s">
        <v>100</v>
      </c>
      <c r="B135" s="10" t="s">
        <v>44</v>
      </c>
      <c r="C135" s="10" t="s">
        <v>45</v>
      </c>
      <c r="D135" s="10" t="s">
        <v>46</v>
      </c>
      <c r="F135" s="1" t="s">
        <v>101</v>
      </c>
      <c r="G135" s="1"/>
      <c r="H135" s="1"/>
      <c r="I135" s="1"/>
      <c r="J135" s="282" t="s">
        <v>46</v>
      </c>
    </row>
    <row r="136" spans="1:10" ht="15" hidden="1" customHeight="1" x14ac:dyDescent="0.25">
      <c r="A136" t="s">
        <v>97</v>
      </c>
      <c r="B136" s="84">
        <f>B130*0.74</f>
        <v>592000</v>
      </c>
      <c r="C136" s="84">
        <f>C130*0.74</f>
        <v>592000</v>
      </c>
      <c r="D136" s="84">
        <f>D130*0.74</f>
        <v>592000</v>
      </c>
      <c r="F136" t="s">
        <v>97</v>
      </c>
      <c r="J136" s="283">
        <f>D130*0.74</f>
        <v>592000</v>
      </c>
    </row>
    <row r="137" spans="1:10" ht="15" hidden="1" customHeight="1" x14ac:dyDescent="0.25">
      <c r="A137" t="s">
        <v>3</v>
      </c>
      <c r="B137" s="83">
        <f>+'Plan financier à imprimer'!AG11*13.4%</f>
        <v>0</v>
      </c>
      <c r="C137" s="83">
        <f>+'Plan financier à imprimer'!AH11*13.4%</f>
        <v>0</v>
      </c>
      <c r="D137" s="83">
        <f>+'Plan financier à imprimer'!AI11*13.4%</f>
        <v>0</v>
      </c>
      <c r="E137" s="102" t="s">
        <v>138</v>
      </c>
      <c r="F137" t="s">
        <v>3</v>
      </c>
      <c r="J137" s="284">
        <f>+'Plan financier à imprimer'!AI11*10.1%</f>
        <v>0</v>
      </c>
    </row>
    <row r="138" spans="1:10" ht="15" hidden="1" customHeight="1" x14ac:dyDescent="0.25">
      <c r="A138" t="s">
        <v>3</v>
      </c>
      <c r="B138" s="83">
        <f>+'Plan financier à imprimer'!AG12*23.1%</f>
        <v>1081080</v>
      </c>
      <c r="C138" s="83">
        <f>+'Plan financier à imprimer'!AH12*23.1%</f>
        <v>1135134</v>
      </c>
      <c r="D138" s="83">
        <f>+'Plan financier à imprimer'!AI12*23.1%</f>
        <v>1191890.7</v>
      </c>
      <c r="E138" s="102" t="s">
        <v>139</v>
      </c>
      <c r="F138" t="s">
        <v>3</v>
      </c>
      <c r="J138" s="284">
        <f>+'Plan financier à imprimer'!AI12*17.4%</f>
        <v>897787.79999999993</v>
      </c>
    </row>
    <row r="139" spans="1:10" ht="15" hidden="1" customHeight="1" x14ac:dyDescent="0.25">
      <c r="A139" t="s">
        <v>116</v>
      </c>
      <c r="B139" s="83">
        <f>IF('Plan financier à imprimer'!AG52*32%&lt;1103,1103,'Plan financier à imprimer'!AG52*32%)</f>
        <v>212032</v>
      </c>
      <c r="C139" s="83">
        <f>IF('Plan financier à imprimer'!AH52*32%&lt;1103,1103,'Plan financier à imprimer'!AH52*32%)</f>
        <v>244595.42107409754</v>
      </c>
      <c r="D139" s="83">
        <f>IF('Plan financier à imprimer'!AI52*32%&lt;1103,1103,'Plan financier à imprimer'!AI52*32%)</f>
        <v>272272</v>
      </c>
      <c r="F139" t="s">
        <v>116</v>
      </c>
      <c r="J139" s="285">
        <f>IF('Plan financier à imprimer'!AI52*32%&lt;1103,1103,'Plan financier à imprimer'!AI52*32%)</f>
        <v>272272</v>
      </c>
    </row>
    <row r="140" spans="1:10" ht="15.75" hidden="1" customHeight="1" x14ac:dyDescent="0.25">
      <c r="A140" t="s">
        <v>115</v>
      </c>
      <c r="B140" s="83">
        <f>IF(B131*47%&lt;1103,1103,B131*47%)</f>
        <v>235000</v>
      </c>
      <c r="C140" s="83">
        <f>IF(C131*47%&lt;1103,1103,C131*47%)</f>
        <v>235000</v>
      </c>
      <c r="D140" s="83">
        <f>IF(D131*47%&lt;1103,1103,D131*47%)</f>
        <v>235000</v>
      </c>
      <c r="F140" t="s">
        <v>115</v>
      </c>
      <c r="J140" s="285">
        <f>IF(D131*47%&lt;1103,1103,D131*47%)</f>
        <v>235000</v>
      </c>
    </row>
    <row r="141" spans="1:10" hidden="1" x14ac:dyDescent="0.25">
      <c r="A141" t="s">
        <v>117</v>
      </c>
      <c r="B141" s="83">
        <f>IF(B131*47%&lt;1103,1103,B131*47%)</f>
        <v>235000</v>
      </c>
      <c r="C141" s="83">
        <f>IF(C131*47%&lt;1103,1103,C131*47%)</f>
        <v>235000</v>
      </c>
      <c r="D141" s="83">
        <f>IF(D131*47%&lt;1103,1103,D131*47%)</f>
        <v>235000</v>
      </c>
      <c r="F141" t="s">
        <v>117</v>
      </c>
      <c r="J141" s="285">
        <f>IF(D131*47%&lt;1103,1103,D131*47%)</f>
        <v>235000</v>
      </c>
    </row>
    <row r="142" spans="1:10" hidden="1" x14ac:dyDescent="0.25">
      <c r="A142" t="s">
        <v>118</v>
      </c>
      <c r="B142" s="83">
        <f>B131*70%</f>
        <v>350000</v>
      </c>
      <c r="C142" s="83">
        <f t="shared" ref="C142:D142" si="14">C131*70%</f>
        <v>350000</v>
      </c>
      <c r="D142" s="83">
        <f t="shared" si="14"/>
        <v>350000</v>
      </c>
      <c r="F142" t="s">
        <v>118</v>
      </c>
      <c r="J142" s="286">
        <f>D131*70%</f>
        <v>350000</v>
      </c>
    </row>
    <row r="143" spans="1:10" hidden="1" x14ac:dyDescent="0.25">
      <c r="A143" t="s">
        <v>119</v>
      </c>
      <c r="B143" s="83">
        <f>B131*70%</f>
        <v>350000</v>
      </c>
      <c r="C143" s="83">
        <f t="shared" ref="C143:D143" si="15">C131*70%</f>
        <v>350000</v>
      </c>
      <c r="D143" s="83">
        <f t="shared" si="15"/>
        <v>350000</v>
      </c>
      <c r="F143" t="s">
        <v>119</v>
      </c>
      <c r="J143" s="286">
        <f>D131*70%</f>
        <v>350000</v>
      </c>
    </row>
    <row r="144" spans="1:10" hidden="1" x14ac:dyDescent="0.25">
      <c r="A144" s="1" t="s">
        <v>114</v>
      </c>
      <c r="B144" s="84">
        <f>SUMIF($A$137:$A$143,$B$8,B137:B143)</f>
        <v>235000</v>
      </c>
      <c r="C144" s="84">
        <f>SUMIF($A$137:$A$143,$B$8,C137:C143)</f>
        <v>235000</v>
      </c>
      <c r="D144" s="84">
        <f>SUMIF($A$137:$A$143,$B$8,D137:D143)</f>
        <v>235000</v>
      </c>
      <c r="F144" s="1" t="s">
        <v>114</v>
      </c>
      <c r="G144" s="1"/>
      <c r="H144" s="1"/>
      <c r="I144" s="1"/>
      <c r="J144" s="287">
        <f>SUMIF($A$137:$A$143,$B$8,J137:J143)</f>
        <v>235000</v>
      </c>
    </row>
    <row r="145" spans="1:5" x14ac:dyDescent="0.25">
      <c r="B145" s="61"/>
      <c r="C145" s="61"/>
      <c r="D145" s="61"/>
    </row>
    <row r="146" spans="1:5" ht="18.75" customHeight="1" x14ac:dyDescent="0.3">
      <c r="A146" s="17" t="s">
        <v>88</v>
      </c>
      <c r="B146" s="22"/>
      <c r="C146" s="22"/>
      <c r="D146" s="22"/>
    </row>
    <row r="147" spans="1:5" ht="15.75" customHeight="1" thickBot="1" x14ac:dyDescent="0.3">
      <c r="D147" s="251" t="s">
        <v>268</v>
      </c>
    </row>
    <row r="148" spans="1:5" ht="16.5" customHeight="1" thickBot="1" x14ac:dyDescent="0.3">
      <c r="A148" s="21" t="s">
        <v>67</v>
      </c>
      <c r="D148" s="18" t="str">
        <f>IF(ISERROR(+IF('Plan financier à imprimer'!BA20&gt;0,"Rentable","Non rentable")),"",+IF('Plan financier à imprimer'!BA20&gt;0,"Rentable","Non rentable"))</f>
        <v>Non rentable</v>
      </c>
      <c r="E148" s="260" t="str">
        <f>IF(D148="Non rentable","  Veuillez améliorer vos chiffres !","")</f>
        <v xml:space="preserve">  Veuillez améliorer vos chiffres !</v>
      </c>
    </row>
    <row r="149" spans="1:5" ht="15" customHeight="1" x14ac:dyDescent="0.25">
      <c r="E149" s="177"/>
    </row>
    <row r="150" spans="1:5" ht="18.75" customHeight="1" x14ac:dyDescent="0.3">
      <c r="A150" s="17" t="s">
        <v>89</v>
      </c>
      <c r="E150" s="177"/>
    </row>
    <row r="151" spans="1:5" ht="15.75" customHeight="1" thickBot="1" x14ac:dyDescent="0.3">
      <c r="D151" s="251" t="s">
        <v>268</v>
      </c>
      <c r="E151" s="177"/>
    </row>
    <row r="152" spans="1:5" ht="16.5" customHeight="1" thickBot="1" x14ac:dyDescent="0.3">
      <c r="A152" s="21" t="s">
        <v>68</v>
      </c>
      <c r="D152" s="18" t="str">
        <f>IF(ISERROR(IF('Plan financier à imprimer'!CF41&lt;0,"Trop faible","Adéquate")),"",+IF('Plan financier à imprimer'!CF41&lt;0,"Trop faible","Adéquate"))</f>
        <v>Adéquate</v>
      </c>
      <c r="E152" s="260" t="str">
        <f>IF(D152="Trop faible","  Prévoyez plus de trésorerie de départ !","")</f>
        <v/>
      </c>
    </row>
    <row r="153" spans="1:5" ht="15" customHeight="1" x14ac:dyDescent="0.25">
      <c r="E153" s="177"/>
    </row>
    <row r="154" spans="1:5" ht="26.25" customHeight="1" x14ac:dyDescent="0.4">
      <c r="A154" s="261" t="s">
        <v>269</v>
      </c>
    </row>
    <row r="155" spans="1:5" ht="15.75" customHeight="1" x14ac:dyDescent="0.25"/>
    <row r="156" spans="1:5" x14ac:dyDescent="0.25"/>
    <row r="157" spans="1:5" x14ac:dyDescent="0.25"/>
    <row r="158" spans="1:5" x14ac:dyDescent="0.25"/>
    <row r="159" spans="1:5" x14ac:dyDescent="0.25"/>
    <row r="160" spans="1:5" x14ac:dyDescent="0.25"/>
    <row r="161" x14ac:dyDescent="0.25"/>
  </sheetData>
  <sheetProtection pivotTables="0"/>
  <mergeCells count="9">
    <mergeCell ref="B6:C6"/>
    <mergeCell ref="B7:C7"/>
    <mergeCell ref="B9:C9"/>
    <mergeCell ref="B10:C10"/>
    <mergeCell ref="A118:D118"/>
    <mergeCell ref="B13:D13"/>
    <mergeCell ref="B8:C8"/>
    <mergeCell ref="B11:C11"/>
    <mergeCell ref="B12:C12"/>
  </mergeCells>
  <conditionalFormatting sqref="D148">
    <cfRule type="cellIs" dxfId="3" priority="3" operator="equal">
      <formula>"Non rentable"</formula>
    </cfRule>
    <cfRule type="containsText" dxfId="2" priority="4" operator="containsText" text="Rentable">
      <formula>NOT(ISERROR(SEARCH("Rentable",D148)))</formula>
    </cfRule>
  </conditionalFormatting>
  <conditionalFormatting sqref="D152">
    <cfRule type="cellIs" dxfId="1" priority="1" operator="equal">
      <formula>"Trop faible"</formula>
    </cfRule>
    <cfRule type="cellIs" dxfId="0" priority="2" operator="equal">
      <formula>"Adéquate"</formula>
    </cfRule>
  </conditionalFormatting>
  <dataValidations count="5">
    <dataValidation type="date" allowBlank="1" showInputMessage="1" showErrorMessage="1" sqref="B12">
      <formula1>40179</formula1>
      <formula2>72686</formula2>
    </dataValidation>
    <dataValidation type="list" allowBlank="1" showInputMessage="1" showErrorMessage="1" sqref="C133">
      <formula1>$L$3:$L$4</formula1>
    </dataValidation>
    <dataValidation type="list" allowBlank="1" showInputMessage="1" showErrorMessage="1" sqref="B13:D13">
      <formula1>$M$3:$M$5</formula1>
    </dataValidation>
    <dataValidation type="list" allowBlank="1" showInputMessage="1" showErrorMessage="1" sqref="B8">
      <formula1>$K$3:$K$9</formula1>
    </dataValidation>
    <dataValidation type="decimal" allowBlank="1" showInputMessage="1" showErrorMessage="1" sqref="C58:C60">
      <formula1>0</formula1>
      <formula2>50</formula2>
    </dataValidation>
  </dataValidations>
  <pageMargins left="0.70866141732283472" right="0.70866141732283472" top="0.74803149606299213" bottom="0.74803149606299213" header="0.31496062992125984" footer="0.31496062992125984"/>
  <pageSetup paperSize="9" scale="44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F55"/>
  <sheetViews>
    <sheetView showGridLines="0" tabSelected="1" topLeftCell="AS1" zoomScale="64" zoomScaleNormal="64" workbookViewId="0">
      <selection activeCell="AL2" sqref="AL2:AT4"/>
    </sheetView>
  </sheetViews>
  <sheetFormatPr baseColWidth="10" defaultRowHeight="15" customHeight="1" x14ac:dyDescent="0.25"/>
  <cols>
    <col min="1" max="1" width="2.85546875" customWidth="1"/>
    <col min="9" max="10" width="3.5703125" customWidth="1"/>
    <col min="11" max="15" width="11.42578125" customWidth="1"/>
    <col min="17" max="17" width="19.7109375" bestFit="1" customWidth="1"/>
    <col min="18" max="18" width="3" customWidth="1"/>
    <col min="19" max="19" width="3.5703125" customWidth="1"/>
    <col min="20" max="23" width="11.42578125" customWidth="1"/>
    <col min="24" max="24" width="20.42578125" bestFit="1" customWidth="1"/>
    <col min="25" max="26" width="16.85546875" bestFit="1" customWidth="1"/>
    <col min="27" max="27" width="3" customWidth="1"/>
    <col min="28" max="28" width="3.5703125" customWidth="1"/>
    <col min="29" max="32" width="11.42578125" customWidth="1"/>
    <col min="33" max="35" width="19.140625" bestFit="1" customWidth="1"/>
    <col min="36" max="36" width="3" customWidth="1"/>
    <col min="37" max="37" width="3.5703125" customWidth="1"/>
    <col min="38" max="40" width="11.42578125" customWidth="1"/>
    <col min="41" max="41" width="19.140625" bestFit="1" customWidth="1"/>
    <col min="42" max="42" width="7" customWidth="1"/>
    <col min="43" max="43" width="19.140625" bestFit="1" customWidth="1"/>
    <col min="44" max="44" width="6" bestFit="1" customWidth="1"/>
    <col min="45" max="45" width="19.140625" bestFit="1" customWidth="1"/>
    <col min="46" max="46" width="7" customWidth="1"/>
    <col min="47" max="47" width="2.85546875" customWidth="1"/>
    <col min="48" max="48" width="3.5703125" customWidth="1"/>
    <col min="49" max="52" width="11.42578125" customWidth="1"/>
    <col min="53" max="55" width="19.140625" bestFit="1" customWidth="1"/>
    <col min="56" max="56" width="3" customWidth="1"/>
    <col min="57" max="57" width="3.5703125" customWidth="1"/>
    <col min="58" max="60" width="11.42578125" customWidth="1"/>
    <col min="61" max="61" width="11.85546875" bestFit="1" customWidth="1"/>
    <col min="62" max="64" width="14.28515625" bestFit="1" customWidth="1"/>
    <col min="65" max="65" width="3" customWidth="1"/>
    <col min="66" max="66" width="3.5703125" customWidth="1"/>
    <col min="67" max="69" width="11.42578125" customWidth="1"/>
    <col min="70" max="70" width="18.7109375" style="204" bestFit="1" customWidth="1"/>
    <col min="71" max="73" width="16.85546875" style="204" bestFit="1" customWidth="1"/>
    <col min="74" max="74" width="18" style="204" bestFit="1" customWidth="1"/>
    <col min="75" max="75" width="3" customWidth="1"/>
    <col min="76" max="76" width="3.85546875" customWidth="1"/>
    <col min="77" max="77" width="22.85546875" bestFit="1" customWidth="1"/>
    <col min="78" max="79" width="18.7109375" bestFit="1" customWidth="1"/>
    <col min="80" max="84" width="14.28515625" bestFit="1" customWidth="1"/>
    <col min="85" max="85" width="2.5703125" customWidth="1"/>
  </cols>
  <sheetData>
    <row r="1" spans="2:84" ht="27.75" customHeight="1" thickBot="1" x14ac:dyDescent="0.3"/>
    <row r="2" spans="2:84" ht="15" customHeight="1" thickTop="1" x14ac:dyDescent="0.25">
      <c r="B2" s="28"/>
      <c r="C2" s="29"/>
      <c r="D2" s="29"/>
      <c r="E2" s="29"/>
      <c r="F2" s="29"/>
      <c r="G2" s="29"/>
      <c r="H2" s="30"/>
      <c r="K2" s="314" t="s">
        <v>141</v>
      </c>
      <c r="L2" s="315"/>
      <c r="M2" s="315"/>
      <c r="N2" s="315"/>
      <c r="O2" s="315"/>
      <c r="P2" s="315"/>
      <c r="Q2" s="316"/>
      <c r="T2" s="314" t="s">
        <v>152</v>
      </c>
      <c r="U2" s="315"/>
      <c r="V2" s="315"/>
      <c r="W2" s="315"/>
      <c r="X2" s="315"/>
      <c r="Y2" s="315"/>
      <c r="Z2" s="316"/>
      <c r="AC2" s="314" t="s">
        <v>84</v>
      </c>
      <c r="AD2" s="315"/>
      <c r="AE2" s="315"/>
      <c r="AF2" s="315"/>
      <c r="AG2" s="315"/>
      <c r="AH2" s="315"/>
      <c r="AI2" s="316"/>
      <c r="AL2" s="314" t="s">
        <v>164</v>
      </c>
      <c r="AM2" s="315"/>
      <c r="AN2" s="315"/>
      <c r="AO2" s="315"/>
      <c r="AP2" s="315"/>
      <c r="AQ2" s="315"/>
      <c r="AR2" s="315"/>
      <c r="AS2" s="315"/>
      <c r="AT2" s="316"/>
      <c r="AW2" s="314" t="s">
        <v>186</v>
      </c>
      <c r="AX2" s="315"/>
      <c r="AY2" s="315"/>
      <c r="AZ2" s="315"/>
      <c r="BA2" s="315"/>
      <c r="BB2" s="315"/>
      <c r="BC2" s="316"/>
      <c r="BF2" s="314" t="s">
        <v>204</v>
      </c>
      <c r="BG2" s="315"/>
      <c r="BH2" s="315"/>
      <c r="BI2" s="315"/>
      <c r="BJ2" s="315"/>
      <c r="BK2" s="315"/>
      <c r="BL2" s="316"/>
      <c r="BO2" s="314" t="s">
        <v>220</v>
      </c>
      <c r="BP2" s="315"/>
      <c r="BQ2" s="315"/>
      <c r="BR2" s="315"/>
      <c r="BS2" s="315"/>
      <c r="BT2" s="315"/>
      <c r="BU2" s="315"/>
      <c r="BV2" s="316"/>
      <c r="BY2" s="314" t="s">
        <v>229</v>
      </c>
      <c r="BZ2" s="315"/>
      <c r="CA2" s="315"/>
      <c r="CB2" s="315"/>
      <c r="CC2" s="315"/>
      <c r="CD2" s="315"/>
      <c r="CE2" s="315"/>
      <c r="CF2" s="316"/>
    </row>
    <row r="3" spans="2:84" ht="15" customHeight="1" x14ac:dyDescent="0.25">
      <c r="B3" s="31"/>
      <c r="C3" s="23"/>
      <c r="D3" s="23"/>
      <c r="E3" s="273"/>
      <c r="F3" s="264"/>
      <c r="G3" s="264"/>
      <c r="H3" s="32"/>
      <c r="K3" s="317"/>
      <c r="L3" s="318"/>
      <c r="M3" s="318"/>
      <c r="N3" s="318"/>
      <c r="O3" s="318"/>
      <c r="P3" s="318"/>
      <c r="Q3" s="319"/>
      <c r="T3" s="317"/>
      <c r="U3" s="318"/>
      <c r="V3" s="318"/>
      <c r="W3" s="318"/>
      <c r="X3" s="318"/>
      <c r="Y3" s="318"/>
      <c r="Z3" s="319"/>
      <c r="AC3" s="317"/>
      <c r="AD3" s="318"/>
      <c r="AE3" s="318"/>
      <c r="AF3" s="318"/>
      <c r="AG3" s="318"/>
      <c r="AH3" s="318"/>
      <c r="AI3" s="319"/>
      <c r="AL3" s="317"/>
      <c r="AM3" s="318"/>
      <c r="AN3" s="318"/>
      <c r="AO3" s="318"/>
      <c r="AP3" s="318"/>
      <c r="AQ3" s="318"/>
      <c r="AR3" s="318"/>
      <c r="AS3" s="318"/>
      <c r="AT3" s="319"/>
      <c r="AW3" s="317"/>
      <c r="AX3" s="318"/>
      <c r="AY3" s="318"/>
      <c r="AZ3" s="318"/>
      <c r="BA3" s="318"/>
      <c r="BB3" s="318"/>
      <c r="BC3" s="319"/>
      <c r="BF3" s="317"/>
      <c r="BG3" s="318"/>
      <c r="BH3" s="318"/>
      <c r="BI3" s="318"/>
      <c r="BJ3" s="318"/>
      <c r="BK3" s="318"/>
      <c r="BL3" s="319"/>
      <c r="BO3" s="317"/>
      <c r="BP3" s="318"/>
      <c r="BQ3" s="318"/>
      <c r="BR3" s="318"/>
      <c r="BS3" s="318"/>
      <c r="BT3" s="318"/>
      <c r="BU3" s="318"/>
      <c r="BV3" s="319"/>
      <c r="BY3" s="317"/>
      <c r="BZ3" s="318"/>
      <c r="CA3" s="318"/>
      <c r="CB3" s="318"/>
      <c r="CC3" s="318"/>
      <c r="CD3" s="318"/>
      <c r="CE3" s="318"/>
      <c r="CF3" s="319"/>
    </row>
    <row r="4" spans="2:84" ht="15" customHeight="1" thickBot="1" x14ac:dyDescent="0.3">
      <c r="B4" s="31"/>
      <c r="C4" s="23"/>
      <c r="D4" s="23"/>
      <c r="E4" s="273"/>
      <c r="F4" s="264"/>
      <c r="G4" s="264"/>
      <c r="H4" s="32"/>
      <c r="K4" s="320"/>
      <c r="L4" s="321"/>
      <c r="M4" s="321"/>
      <c r="N4" s="321"/>
      <c r="O4" s="321"/>
      <c r="P4" s="321"/>
      <c r="Q4" s="322"/>
      <c r="T4" s="320"/>
      <c r="U4" s="321"/>
      <c r="V4" s="321"/>
      <c r="W4" s="321"/>
      <c r="X4" s="321"/>
      <c r="Y4" s="321"/>
      <c r="Z4" s="322"/>
      <c r="AC4" s="320"/>
      <c r="AD4" s="321"/>
      <c r="AE4" s="321"/>
      <c r="AF4" s="321"/>
      <c r="AG4" s="321"/>
      <c r="AH4" s="321"/>
      <c r="AI4" s="322"/>
      <c r="AL4" s="320"/>
      <c r="AM4" s="321"/>
      <c r="AN4" s="321"/>
      <c r="AO4" s="321"/>
      <c r="AP4" s="321"/>
      <c r="AQ4" s="321"/>
      <c r="AR4" s="321"/>
      <c r="AS4" s="321"/>
      <c r="AT4" s="322"/>
      <c r="AW4" s="320"/>
      <c r="AX4" s="321"/>
      <c r="AY4" s="321"/>
      <c r="AZ4" s="321"/>
      <c r="BA4" s="321"/>
      <c r="BB4" s="321"/>
      <c r="BC4" s="322"/>
      <c r="BF4" s="320"/>
      <c r="BG4" s="321"/>
      <c r="BH4" s="321"/>
      <c r="BI4" s="321"/>
      <c r="BJ4" s="321"/>
      <c r="BK4" s="321"/>
      <c r="BL4" s="322"/>
      <c r="BO4" s="320"/>
      <c r="BP4" s="321"/>
      <c r="BQ4" s="321"/>
      <c r="BR4" s="321"/>
      <c r="BS4" s="321"/>
      <c r="BT4" s="321"/>
      <c r="BU4" s="321"/>
      <c r="BV4" s="322"/>
      <c r="BY4" s="320"/>
      <c r="BZ4" s="321"/>
      <c r="CA4" s="321"/>
      <c r="CB4" s="321"/>
      <c r="CC4" s="321"/>
      <c r="CD4" s="321"/>
      <c r="CE4" s="321"/>
      <c r="CF4" s="322"/>
    </row>
    <row r="5" spans="2:84" ht="15" customHeight="1" x14ac:dyDescent="0.25">
      <c r="B5" s="31"/>
      <c r="C5" s="23"/>
      <c r="D5" s="23"/>
      <c r="E5" s="273"/>
      <c r="F5" s="264"/>
      <c r="G5" s="264"/>
      <c r="H5" s="32"/>
    </row>
    <row r="6" spans="2:84" ht="15" customHeight="1" x14ac:dyDescent="0.25">
      <c r="B6" s="31"/>
      <c r="C6" s="23"/>
      <c r="D6" s="23"/>
      <c r="E6" s="337" t="s">
        <v>70</v>
      </c>
      <c r="F6" s="337"/>
      <c r="G6" s="337"/>
      <c r="H6" s="32"/>
      <c r="K6" s="1" t="s">
        <v>73</v>
      </c>
      <c r="M6" s="4" t="str">
        <f>IF(ISBLANK('Données à saisir'!$B7),"",('Données à saisir'!$B7))</f>
        <v>info</v>
      </c>
      <c r="T6" s="1" t="s">
        <v>73</v>
      </c>
      <c r="V6" s="4" t="str">
        <f>IF(ISBLANK('Données à saisir'!$B7),"",('Données à saisir'!$B7))</f>
        <v>info</v>
      </c>
      <c r="AC6" s="1" t="s">
        <v>73</v>
      </c>
      <c r="AE6" s="4" t="str">
        <f>IF(ISBLANK('Données à saisir'!$B7),"",('Données à saisir'!$B7))</f>
        <v>info</v>
      </c>
      <c r="AL6" s="1" t="s">
        <v>73</v>
      </c>
      <c r="AN6" s="4" t="str">
        <f>IF(ISBLANK('Données à saisir'!$B7),"",('Données à saisir'!$B7))</f>
        <v>info</v>
      </c>
      <c r="AW6" s="1" t="s">
        <v>73</v>
      </c>
      <c r="AY6" s="4" t="str">
        <f>IF(ISBLANK('Données à saisir'!$B7),"",('Données à saisir'!$B7))</f>
        <v>info</v>
      </c>
      <c r="BF6" s="1" t="s">
        <v>73</v>
      </c>
      <c r="BH6" s="4" t="str">
        <f>IF(ISBLANK('Données à saisir'!$B7),"",('Données à saisir'!$B7))</f>
        <v>info</v>
      </c>
      <c r="BO6" s="1" t="s">
        <v>73</v>
      </c>
      <c r="BQ6" s="4" t="str">
        <f>IF(ISBLANK('Données à saisir'!$B7),"",('Données à saisir'!$B7))</f>
        <v>info</v>
      </c>
      <c r="BV6" s="202" t="s">
        <v>227</v>
      </c>
      <c r="BY6" s="1" t="s">
        <v>73</v>
      </c>
      <c r="CA6" s="4" t="str">
        <f>IF(ISBLANK('Données à saisir'!$B7),"",('Données à saisir'!$B7))</f>
        <v>info</v>
      </c>
      <c r="CF6" s="202" t="s">
        <v>227</v>
      </c>
    </row>
    <row r="7" spans="2:84" ht="15" customHeight="1" x14ac:dyDescent="0.25">
      <c r="B7" s="31"/>
      <c r="C7" s="23"/>
      <c r="D7" s="23"/>
      <c r="E7" s="337"/>
      <c r="F7" s="337"/>
      <c r="G7" s="337"/>
      <c r="H7" s="32"/>
      <c r="K7" s="1" t="s">
        <v>74</v>
      </c>
      <c r="M7" s="4" t="str">
        <f>IF(ISBLANK('Données à saisir'!$B6),"",('Données à saisir'!$B6))</f>
        <v>demo</v>
      </c>
      <c r="T7" s="1" t="s">
        <v>74</v>
      </c>
      <c r="V7" s="4" t="str">
        <f>IF(ISBLANK('Données à saisir'!$B6),"",('Données à saisir'!$B6))</f>
        <v>demo</v>
      </c>
      <c r="AC7" s="1" t="s">
        <v>74</v>
      </c>
      <c r="AE7" s="4" t="str">
        <f>IF(ISBLANK('Données à saisir'!$B6),"",('Données à saisir'!$B6))</f>
        <v>demo</v>
      </c>
      <c r="AL7" s="1" t="s">
        <v>74</v>
      </c>
      <c r="AN7" s="4" t="str">
        <f>IF(ISBLANK('Données à saisir'!$B6),"",('Données à saisir'!$B6))</f>
        <v>demo</v>
      </c>
      <c r="AW7" s="1" t="s">
        <v>74</v>
      </c>
      <c r="AY7" s="4" t="str">
        <f>IF(ISBLANK('Données à saisir'!$B6),"",('Données à saisir'!$B6))</f>
        <v>demo</v>
      </c>
      <c r="BF7" s="1" t="s">
        <v>74</v>
      </c>
      <c r="BH7" s="4" t="str">
        <f>IF(ISBLANK('Données à saisir'!$B6),"",('Données à saisir'!$B6))</f>
        <v>demo</v>
      </c>
      <c r="BO7" s="1" t="s">
        <v>74</v>
      </c>
      <c r="BQ7" s="4" t="str">
        <f>IF(ISBLANK('Données à saisir'!$B6),"",('Données à saisir'!$B6))</f>
        <v>demo</v>
      </c>
      <c r="BR7"/>
      <c r="BY7" s="1" t="s">
        <v>74</v>
      </c>
      <c r="CA7" s="4" t="str">
        <f>IF(ISBLANK('Données à saisir'!$B6),"",('Données à saisir'!$B6))</f>
        <v>demo</v>
      </c>
    </row>
    <row r="8" spans="2:84" ht="15" customHeight="1" thickBot="1" x14ac:dyDescent="0.3">
      <c r="B8" s="33"/>
      <c r="C8" s="34"/>
      <c r="D8" s="34"/>
      <c r="E8" s="104"/>
      <c r="F8" s="34"/>
      <c r="G8" s="34"/>
      <c r="H8" s="254"/>
      <c r="T8" s="1"/>
      <c r="AG8" s="333" t="s">
        <v>44</v>
      </c>
      <c r="AH8" s="335" t="s">
        <v>45</v>
      </c>
      <c r="AI8" s="323" t="s">
        <v>46</v>
      </c>
    </row>
    <row r="9" spans="2:84" ht="15" customHeight="1" thickTop="1" x14ac:dyDescent="0.25">
      <c r="K9" s="327" t="s">
        <v>142</v>
      </c>
      <c r="L9" s="328"/>
      <c r="M9" s="328"/>
      <c r="N9" s="328"/>
      <c r="O9" s="328"/>
      <c r="P9" s="328"/>
      <c r="Q9" s="325" t="s">
        <v>79</v>
      </c>
      <c r="U9" s="1" t="s">
        <v>153</v>
      </c>
      <c r="X9" t="str">
        <f>C33</f>
        <v>SARL (IS)</v>
      </c>
      <c r="AC9" s="62"/>
      <c r="AG9" s="334"/>
      <c r="AH9" s="336"/>
      <c r="AI9" s="324"/>
      <c r="BA9" s="350" t="s">
        <v>44</v>
      </c>
      <c r="BB9" s="335" t="s">
        <v>45</v>
      </c>
      <c r="BC9" s="352" t="s">
        <v>46</v>
      </c>
    </row>
    <row r="10" spans="2:84" ht="15" customHeight="1" x14ac:dyDescent="0.25">
      <c r="K10" s="330"/>
      <c r="L10" s="331"/>
      <c r="M10" s="331"/>
      <c r="N10" s="331"/>
      <c r="O10" s="331"/>
      <c r="P10" s="331"/>
      <c r="Q10" s="326"/>
      <c r="U10" s="1" t="s">
        <v>251</v>
      </c>
      <c r="X10" t="str">
        <f>IF(ISBLANK('Données à saisir'!C133),"",'Données à saisir'!C133)</f>
        <v>Non</v>
      </c>
      <c r="AC10" s="63" t="s">
        <v>131</v>
      </c>
      <c r="AD10" s="64"/>
      <c r="AE10" s="64"/>
      <c r="AF10" s="64"/>
      <c r="AG10" s="72">
        <f>SUM(AG11:AG12)</f>
        <v>4680000</v>
      </c>
      <c r="AH10" s="72">
        <f t="shared" ref="AH10:AI10" si="0">SUM(AH11:AH12)</f>
        <v>4914000</v>
      </c>
      <c r="AI10" s="255">
        <f t="shared" si="0"/>
        <v>5159700</v>
      </c>
      <c r="AW10" s="62"/>
      <c r="BA10" s="351"/>
      <c r="BB10" s="336"/>
      <c r="BC10" s="353"/>
    </row>
    <row r="11" spans="2:84" ht="15" customHeight="1" thickBot="1" x14ac:dyDescent="0.35">
      <c r="K11" s="38"/>
      <c r="L11" s="39"/>
      <c r="M11" s="39"/>
      <c r="N11" s="39"/>
      <c r="O11" s="39"/>
      <c r="P11" s="39"/>
      <c r="Q11" s="45"/>
      <c r="U11" s="1" t="s">
        <v>159</v>
      </c>
      <c r="X11" t="str">
        <f>IF(X9="sas (is)","Assimilé-salarié",IF(X9="sasu (is)","Assimilé-salarié","TNS cotisant au RSI"))</f>
        <v>TNS cotisant au RSI</v>
      </c>
      <c r="AC11" s="56" t="s">
        <v>129</v>
      </c>
      <c r="AD11" s="55"/>
      <c r="AE11" s="55"/>
      <c r="AF11" s="55"/>
      <c r="AG11" s="74">
        <f>'Données à saisir'!D112</f>
        <v>0</v>
      </c>
      <c r="AH11" s="74">
        <f>AG11+AG11*'Données à saisir'!D114</f>
        <v>0</v>
      </c>
      <c r="AI11" s="66">
        <f>AH11+AH11*'Données à saisir'!D115</f>
        <v>0</v>
      </c>
      <c r="AO11" s="333" t="s">
        <v>44</v>
      </c>
      <c r="AP11" s="335" t="s">
        <v>178</v>
      </c>
      <c r="AQ11" s="335" t="s">
        <v>45</v>
      </c>
      <c r="AR11" s="335" t="s">
        <v>178</v>
      </c>
      <c r="AS11" s="335" t="s">
        <v>46</v>
      </c>
      <c r="AT11" s="323" t="s">
        <v>178</v>
      </c>
      <c r="AW11" s="63" t="s">
        <v>205</v>
      </c>
      <c r="AX11" s="64"/>
      <c r="AY11" s="64"/>
      <c r="AZ11" s="64"/>
      <c r="BA11" s="72">
        <f>AG10</f>
        <v>4680000</v>
      </c>
      <c r="BB11" s="72">
        <f>AH10</f>
        <v>4914000</v>
      </c>
      <c r="BC11" s="255">
        <f>AI10</f>
        <v>5159700</v>
      </c>
      <c r="BO11" s="228" t="s">
        <v>254</v>
      </c>
    </row>
    <row r="12" spans="2:84" ht="15" customHeight="1" thickTop="1" thickBot="1" x14ac:dyDescent="0.3">
      <c r="B12" s="28"/>
      <c r="C12" s="29"/>
      <c r="D12" s="29"/>
      <c r="E12" s="29"/>
      <c r="F12" s="29"/>
      <c r="G12" s="29"/>
      <c r="H12" s="30"/>
      <c r="K12" s="43" t="s">
        <v>78</v>
      </c>
      <c r="L12" s="23"/>
      <c r="M12" s="23"/>
      <c r="N12" s="23"/>
      <c r="O12" s="23"/>
      <c r="P12" s="23"/>
      <c r="Q12" s="46">
        <f>SUM(Q13:Q22)</f>
        <v>52000</v>
      </c>
      <c r="AC12" s="56" t="s">
        <v>130</v>
      </c>
      <c r="AD12" s="55"/>
      <c r="AE12" s="55"/>
      <c r="AF12" s="55"/>
      <c r="AG12" s="74">
        <f>'Données à saisir'!I112</f>
        <v>4680000</v>
      </c>
      <c r="AH12" s="74">
        <f>AG12+AG12*'Données à saisir'!I114</f>
        <v>4914000</v>
      </c>
      <c r="AI12" s="66">
        <f>AH12+AH12*'Données à saisir'!I115</f>
        <v>5159700</v>
      </c>
      <c r="AL12" s="62"/>
      <c r="AO12" s="341"/>
      <c r="AP12" s="336"/>
      <c r="AQ12" s="342"/>
      <c r="AR12" s="336"/>
      <c r="AS12" s="342"/>
      <c r="AT12" s="340"/>
      <c r="AW12" s="136" t="s">
        <v>85</v>
      </c>
      <c r="AX12" s="55"/>
      <c r="AY12" s="55"/>
      <c r="AZ12" s="55"/>
      <c r="BA12" s="114">
        <f>AO15</f>
        <v>2340000</v>
      </c>
      <c r="BB12" s="114">
        <f>AQ15</f>
        <v>2457000</v>
      </c>
      <c r="BC12" s="132">
        <f>AS15</f>
        <v>2579850</v>
      </c>
      <c r="BJ12" s="350" t="s">
        <v>44</v>
      </c>
      <c r="BK12" s="335" t="s">
        <v>45</v>
      </c>
      <c r="BL12" s="352" t="s">
        <v>46</v>
      </c>
    </row>
    <row r="13" spans="2:84" ht="15" customHeight="1" x14ac:dyDescent="0.25">
      <c r="B13" s="31"/>
      <c r="C13" s="23"/>
      <c r="D13" s="23"/>
      <c r="E13" s="23"/>
      <c r="F13" s="23"/>
      <c r="G13" s="23"/>
      <c r="H13" s="32"/>
      <c r="K13" s="49" t="str">
        <f>'Données à saisir'!A17</f>
        <v>Frais de constitution</v>
      </c>
      <c r="L13" s="23"/>
      <c r="M13" s="23"/>
      <c r="N13" s="23"/>
      <c r="O13" s="23"/>
      <c r="P13" s="23"/>
      <c r="Q13" s="47">
        <f>IF(ISBLANK('Données à saisir'!B17),"",'Données à saisir'!B17)</f>
        <v>10000</v>
      </c>
      <c r="X13" s="93" t="s">
        <v>44</v>
      </c>
      <c r="Y13" s="95" t="s">
        <v>45</v>
      </c>
      <c r="Z13" s="91" t="s">
        <v>46</v>
      </c>
      <c r="AC13" s="42" t="s">
        <v>132</v>
      </c>
      <c r="AD13" s="55"/>
      <c r="AE13" s="55"/>
      <c r="AF13" s="55"/>
      <c r="AG13" s="69">
        <f>AG14</f>
        <v>2340000</v>
      </c>
      <c r="AH13" s="69">
        <f>AH14</f>
        <v>2457000</v>
      </c>
      <c r="AI13" s="65">
        <f>AI14</f>
        <v>2579850</v>
      </c>
      <c r="AL13" s="130" t="s">
        <v>165</v>
      </c>
      <c r="AM13" s="129"/>
      <c r="AN13" s="129"/>
      <c r="AO13" s="131">
        <f>AG10</f>
        <v>4680000</v>
      </c>
      <c r="AP13" s="143">
        <v>1</v>
      </c>
      <c r="AQ13" s="131">
        <f>AH10</f>
        <v>4914000</v>
      </c>
      <c r="AR13" s="144">
        <v>1</v>
      </c>
      <c r="AS13" s="131">
        <f>AI10</f>
        <v>5159700</v>
      </c>
      <c r="AT13" s="145">
        <v>1</v>
      </c>
      <c r="AW13" s="136" t="s">
        <v>187</v>
      </c>
      <c r="AX13" s="55"/>
      <c r="AY13" s="55"/>
      <c r="AZ13" s="55"/>
      <c r="BA13" s="114">
        <f>BA12</f>
        <v>2340000</v>
      </c>
      <c r="BB13" s="114">
        <f t="shared" ref="BB13:BC13" si="1">BB12</f>
        <v>2457000</v>
      </c>
      <c r="BC13" s="132">
        <f t="shared" si="1"/>
        <v>2579850</v>
      </c>
      <c r="BF13" s="62"/>
      <c r="BJ13" s="351"/>
      <c r="BK13" s="336"/>
      <c r="BL13" s="353"/>
      <c r="BR13" s="350" t="s">
        <v>221</v>
      </c>
      <c r="BS13" s="335" t="s">
        <v>222</v>
      </c>
      <c r="BT13" s="335" t="s">
        <v>223</v>
      </c>
      <c r="BU13" s="335" t="s">
        <v>228</v>
      </c>
      <c r="BV13" s="352" t="s">
        <v>230</v>
      </c>
      <c r="BY13" s="350" t="s">
        <v>231</v>
      </c>
      <c r="BZ13" s="335" t="s">
        <v>232</v>
      </c>
      <c r="CA13" s="335" t="s">
        <v>233</v>
      </c>
      <c r="CB13" s="335" t="s">
        <v>234</v>
      </c>
      <c r="CC13" s="335" t="s">
        <v>235</v>
      </c>
      <c r="CD13" s="335" t="s">
        <v>236</v>
      </c>
      <c r="CE13" s="344" t="s">
        <v>237</v>
      </c>
      <c r="CF13" s="354" t="s">
        <v>50</v>
      </c>
    </row>
    <row r="14" spans="2:84" ht="15" customHeight="1" x14ac:dyDescent="0.25">
      <c r="B14" s="311" t="s">
        <v>262</v>
      </c>
      <c r="C14" s="312"/>
      <c r="D14" s="312"/>
      <c r="E14" s="312"/>
      <c r="F14" s="312"/>
      <c r="G14" s="312"/>
      <c r="H14" s="313"/>
      <c r="K14" s="49" t="str">
        <f>'Données à saisir'!A18</f>
        <v>Frais d’ouverture de compteurs</v>
      </c>
      <c r="L14" s="23"/>
      <c r="M14" s="23"/>
      <c r="N14" s="23"/>
      <c r="O14" s="23"/>
      <c r="P14" s="23"/>
      <c r="Q14" s="47">
        <f>IF(ISBLANK('Données à saisir'!B18),"",'Données à saisir'!B18)</f>
        <v>3000</v>
      </c>
      <c r="T14" s="62"/>
      <c r="X14" s="94"/>
      <c r="Y14" s="96"/>
      <c r="Z14" s="92"/>
      <c r="AC14" s="56" t="s">
        <v>85</v>
      </c>
      <c r="AD14" s="55"/>
      <c r="AE14" s="55"/>
      <c r="AF14" s="55"/>
      <c r="AG14" s="74">
        <f>'Données à saisir'!$D$120*'Plan financier à imprimer'!AG12</f>
        <v>2340000</v>
      </c>
      <c r="AH14" s="74">
        <f>'Données à saisir'!$D$120*'Plan financier à imprimer'!AH12</f>
        <v>2457000</v>
      </c>
      <c r="AI14" s="74">
        <f>'Données à saisir'!$D$120*'Plan financier à imprimer'!AI12</f>
        <v>2579850</v>
      </c>
      <c r="AL14" s="54" t="s">
        <v>166</v>
      </c>
      <c r="AM14" s="55"/>
      <c r="AN14" s="55"/>
      <c r="AO14" s="114">
        <f>AG10</f>
        <v>4680000</v>
      </c>
      <c r="AP14" s="146">
        <v>1</v>
      </c>
      <c r="AQ14" s="114">
        <f>AH10</f>
        <v>4914000</v>
      </c>
      <c r="AR14" s="147">
        <v>1</v>
      </c>
      <c r="AS14" s="114">
        <f>AI10</f>
        <v>5159700</v>
      </c>
      <c r="AT14" s="148">
        <v>1</v>
      </c>
      <c r="AW14" s="136" t="s">
        <v>188</v>
      </c>
      <c r="AX14" s="55"/>
      <c r="AY14" s="55"/>
      <c r="AZ14" s="55"/>
      <c r="BA14" s="69">
        <f>BA11-BA13</f>
        <v>2340000</v>
      </c>
      <c r="BB14" s="69">
        <f t="shared" ref="BB14:BC14" si="2">BB11-BB13</f>
        <v>2457000</v>
      </c>
      <c r="BC14" s="65">
        <f t="shared" si="2"/>
        <v>2579850</v>
      </c>
      <c r="BF14" s="195" t="s">
        <v>212</v>
      </c>
      <c r="BG14" s="64"/>
      <c r="BH14" s="64"/>
      <c r="BI14" s="64"/>
      <c r="BJ14" s="196">
        <f>Q12+Q23</f>
        <v>902000</v>
      </c>
      <c r="BK14" s="72"/>
      <c r="BL14" s="73"/>
      <c r="BO14" s="62"/>
      <c r="BR14" s="351"/>
      <c r="BS14" s="336"/>
      <c r="BT14" s="336"/>
      <c r="BU14" s="336"/>
      <c r="BV14" s="353"/>
      <c r="BY14" s="351"/>
      <c r="BZ14" s="336"/>
      <c r="CA14" s="336"/>
      <c r="CB14" s="336"/>
      <c r="CC14" s="336"/>
      <c r="CD14" s="336"/>
      <c r="CE14" s="345"/>
      <c r="CF14" s="355"/>
    </row>
    <row r="15" spans="2:84" ht="15" customHeight="1" x14ac:dyDescent="0.25">
      <c r="B15" s="311"/>
      <c r="C15" s="312"/>
      <c r="D15" s="312"/>
      <c r="E15" s="312"/>
      <c r="F15" s="312"/>
      <c r="G15" s="312"/>
      <c r="H15" s="313"/>
      <c r="K15" s="49" t="str">
        <f>'Données à saisir'!A19</f>
        <v>Logiciels, formations</v>
      </c>
      <c r="L15" s="23"/>
      <c r="M15" s="23"/>
      <c r="N15" s="23"/>
      <c r="O15" s="23"/>
      <c r="P15" s="23"/>
      <c r="Q15" s="47">
        <f>IF(ISBLANK('Données à saisir'!B19),"",'Données à saisir'!B19)</f>
        <v>10000</v>
      </c>
      <c r="T15" s="63" t="s">
        <v>157</v>
      </c>
      <c r="U15" s="64"/>
      <c r="V15" s="64"/>
      <c r="W15" s="64"/>
      <c r="X15" s="72">
        <f>'Données à saisir'!B131</f>
        <v>500000</v>
      </c>
      <c r="Y15" s="72">
        <f>'Données à saisir'!C131</f>
        <v>500000</v>
      </c>
      <c r="Z15" s="73">
        <f>'Données à saisir'!D131</f>
        <v>500000</v>
      </c>
      <c r="AC15" s="79"/>
      <c r="AD15" s="55"/>
      <c r="AE15" s="55"/>
      <c r="AF15" s="55"/>
      <c r="AG15" s="74"/>
      <c r="AH15" s="74"/>
      <c r="AI15" s="81"/>
      <c r="AL15" s="82" t="s">
        <v>85</v>
      </c>
      <c r="AM15" s="55"/>
      <c r="AN15" s="55"/>
      <c r="AO15" s="114">
        <f>AG14</f>
        <v>2340000</v>
      </c>
      <c r="AP15" s="149">
        <f>AO15/$AO$14</f>
        <v>0.5</v>
      </c>
      <c r="AQ15" s="114">
        <f>AH14</f>
        <v>2457000</v>
      </c>
      <c r="AR15" s="149">
        <f>AQ15/$AQ$14</f>
        <v>0.5</v>
      </c>
      <c r="AS15" s="114">
        <f>AI14</f>
        <v>2579850</v>
      </c>
      <c r="AT15" s="150">
        <f>AS15/$AS$14</f>
        <v>0.5</v>
      </c>
      <c r="AW15" s="75" t="s">
        <v>206</v>
      </c>
      <c r="AX15" s="76"/>
      <c r="AY15" s="76"/>
      <c r="AZ15" s="76"/>
      <c r="BA15" s="158">
        <f>IF(ISERROR(BA14/BA11),0,BA14/BA11)</f>
        <v>0.5</v>
      </c>
      <c r="BB15" s="158">
        <f t="shared" ref="BB15:BC15" si="3">IF(ISERROR(BB14/BB11),0,BB14/BB11)</f>
        <v>0.5</v>
      </c>
      <c r="BC15" s="162">
        <f t="shared" si="3"/>
        <v>0.5</v>
      </c>
      <c r="BF15" s="136" t="s">
        <v>210</v>
      </c>
      <c r="BG15" s="55"/>
      <c r="BH15" s="55"/>
      <c r="BI15" s="55"/>
      <c r="BJ15" s="114">
        <f>BA39</f>
        <v>0</v>
      </c>
      <c r="BK15" s="114">
        <f>BB39-BA39</f>
        <v>0</v>
      </c>
      <c r="BL15" s="132">
        <f>+BC39-BB39</f>
        <v>0</v>
      </c>
      <c r="BO15" s="201" t="s">
        <v>213</v>
      </c>
      <c r="BP15" s="64"/>
      <c r="BQ15" s="64"/>
      <c r="BR15" s="196">
        <f>BJ18</f>
        <v>452000</v>
      </c>
      <c r="BS15" s="196"/>
      <c r="BT15" s="196"/>
      <c r="BU15" s="196"/>
      <c r="BV15" s="203"/>
      <c r="BY15" s="206"/>
      <c r="BZ15" s="196"/>
      <c r="CA15" s="196"/>
      <c r="CB15" s="196"/>
      <c r="CC15" s="196"/>
      <c r="CD15" s="196"/>
      <c r="CE15" s="210"/>
      <c r="CF15" s="262">
        <f t="shared" ref="CF15:CF18" si="4">SUM(BR15:CE15)</f>
        <v>452000</v>
      </c>
    </row>
    <row r="16" spans="2:84" ht="15" customHeight="1" x14ac:dyDescent="0.25">
      <c r="B16" s="311"/>
      <c r="C16" s="312"/>
      <c r="D16" s="312"/>
      <c r="E16" s="312"/>
      <c r="F16" s="312"/>
      <c r="G16" s="312"/>
      <c r="H16" s="313"/>
      <c r="K16" s="49" t="str">
        <f>'Données à saisir'!A20</f>
        <v>Dépôt marque, brevet, modèle</v>
      </c>
      <c r="L16" s="23"/>
      <c r="M16" s="23"/>
      <c r="N16" s="23"/>
      <c r="O16" s="23"/>
      <c r="P16" s="23"/>
      <c r="Q16" s="47">
        <f>IF(ISBLANK('Données à saisir'!B20),"",'Données à saisir'!B20)</f>
        <v>4000</v>
      </c>
      <c r="T16" s="56"/>
      <c r="U16" s="99" t="s">
        <v>154</v>
      </c>
      <c r="V16" s="55"/>
      <c r="W16" s="55"/>
      <c r="X16" s="74"/>
      <c r="Y16" s="112">
        <f>IF(ISERROR((Y15-X15)/X15),"",(Y15-X15)/X15)</f>
        <v>0</v>
      </c>
      <c r="Z16" s="113">
        <f>IF(ISERROR((Z15-Y15)/Y15),"",(Z15-Y15)/Y15)</f>
        <v>0</v>
      </c>
      <c r="AC16" s="75" t="s">
        <v>133</v>
      </c>
      <c r="AD16" s="76"/>
      <c r="AE16" s="76"/>
      <c r="AF16" s="76"/>
      <c r="AG16" s="77">
        <f>AG10-AG13</f>
        <v>2340000</v>
      </c>
      <c r="AH16" s="77">
        <f>AH10-AH13</f>
        <v>2457000</v>
      </c>
      <c r="AI16" s="78">
        <f>AI10-AI13</f>
        <v>2579850</v>
      </c>
      <c r="AL16" s="75" t="s">
        <v>168</v>
      </c>
      <c r="AM16" s="76"/>
      <c r="AN16" s="76"/>
      <c r="AO16" s="77">
        <f>AO14-AO15</f>
        <v>2340000</v>
      </c>
      <c r="AP16" s="151">
        <f t="shared" ref="AP16:AP28" si="5">AO16/$AO$14</f>
        <v>0.5</v>
      </c>
      <c r="AQ16" s="77">
        <f t="shared" ref="AQ16:AS16" si="6">AQ14-AQ15</f>
        <v>2457000</v>
      </c>
      <c r="AR16" s="152">
        <f t="shared" ref="AR16:AR28" si="7">AQ16/$AQ$14</f>
        <v>0.5</v>
      </c>
      <c r="AS16" s="77">
        <f t="shared" si="6"/>
        <v>2579850</v>
      </c>
      <c r="AT16" s="154">
        <f t="shared" ref="AT16:AT28" si="8">AS16/$AS$14</f>
        <v>0.5</v>
      </c>
      <c r="AW16" s="136" t="s">
        <v>189</v>
      </c>
      <c r="AX16" s="55"/>
      <c r="AY16" s="55"/>
      <c r="AZ16" s="55"/>
      <c r="BA16" s="114">
        <f>SUM(AO17,AO19,AO20,AO22,AO24)</f>
        <v>2412400</v>
      </c>
      <c r="BB16" s="114">
        <f>SUM(AQ17,AQ19,AQ20,AQ22,AQ24)</f>
        <v>2427639.309143445</v>
      </c>
      <c r="BC16" s="163">
        <f>SUM(AS17,AS19,AS20,AS22,AS24)</f>
        <v>2464000</v>
      </c>
      <c r="BF16" s="136" t="s">
        <v>211</v>
      </c>
      <c r="BG16" s="55"/>
      <c r="BH16" s="55"/>
      <c r="BI16" s="55"/>
      <c r="BJ16" s="114">
        <f>AO45</f>
        <v>50000</v>
      </c>
      <c r="BK16" s="114">
        <f>AQ45</f>
        <v>50000</v>
      </c>
      <c r="BL16" s="132">
        <f>AS45</f>
        <v>0</v>
      </c>
      <c r="BO16" s="136" t="s">
        <v>214</v>
      </c>
      <c r="BP16" s="55"/>
      <c r="BQ16" s="55"/>
      <c r="BR16" s="114">
        <f>BJ19</f>
        <v>500000</v>
      </c>
      <c r="BS16" s="114"/>
      <c r="BT16" s="114"/>
      <c r="BU16" s="114"/>
      <c r="BV16" s="132"/>
      <c r="BY16" s="207"/>
      <c r="BZ16" s="114"/>
      <c r="CA16" s="114"/>
      <c r="CB16" s="114"/>
      <c r="CC16" s="114"/>
      <c r="CD16" s="114"/>
      <c r="CE16" s="141"/>
      <c r="CF16" s="212">
        <f t="shared" si="4"/>
        <v>500000</v>
      </c>
    </row>
    <row r="17" spans="2:84" ht="15" customHeight="1" x14ac:dyDescent="0.25">
      <c r="B17" s="311"/>
      <c r="C17" s="312"/>
      <c r="D17" s="312"/>
      <c r="E17" s="312"/>
      <c r="F17" s="312"/>
      <c r="G17" s="312"/>
      <c r="H17" s="313"/>
      <c r="K17" s="49" t="str">
        <f>'Données à saisir'!A21</f>
        <v>Droits d’entrée</v>
      </c>
      <c r="L17" s="23"/>
      <c r="M17" s="23"/>
      <c r="N17" s="23"/>
      <c r="O17" s="23"/>
      <c r="P17" s="23"/>
      <c r="Q17" s="47" t="str">
        <f>IF(ISBLANK('Données à saisir'!B21),"",'Données à saisir'!B21)</f>
        <v/>
      </c>
      <c r="T17" s="42" t="s">
        <v>158</v>
      </c>
      <c r="U17" s="55"/>
      <c r="V17" s="55"/>
      <c r="W17" s="55"/>
      <c r="X17" s="69">
        <f>AG40</f>
        <v>235000</v>
      </c>
      <c r="Y17" s="69">
        <f>AH40</f>
        <v>235000</v>
      </c>
      <c r="Z17" s="65">
        <f>AI40</f>
        <v>235000</v>
      </c>
      <c r="AC17" s="42" t="s">
        <v>134</v>
      </c>
      <c r="AD17" s="55"/>
      <c r="AE17" s="55"/>
      <c r="AF17" s="55"/>
      <c r="AG17" s="69">
        <f>SUM(AG18:AG33)</f>
        <v>104000</v>
      </c>
      <c r="AH17" s="69">
        <f>SUM(AH18:AH33)</f>
        <v>104000</v>
      </c>
      <c r="AI17" s="80">
        <f>SUM(AI18:AI33)</f>
        <v>104000</v>
      </c>
      <c r="AL17" s="82" t="s">
        <v>86</v>
      </c>
      <c r="AM17" s="55"/>
      <c r="AN17" s="55"/>
      <c r="AO17" s="114">
        <f>AG17</f>
        <v>104000</v>
      </c>
      <c r="AP17" s="149">
        <f t="shared" si="5"/>
        <v>2.2222222222222223E-2</v>
      </c>
      <c r="AQ17" s="114">
        <f>AH17</f>
        <v>104000</v>
      </c>
      <c r="AR17" s="153">
        <f t="shared" si="7"/>
        <v>2.1164021164021163E-2</v>
      </c>
      <c r="AS17" s="114">
        <f>AI17</f>
        <v>104000</v>
      </c>
      <c r="AT17" s="150">
        <f t="shared" si="8"/>
        <v>2.0156210632401108E-2</v>
      </c>
      <c r="AW17" s="75" t="s">
        <v>207</v>
      </c>
      <c r="AX17" s="76"/>
      <c r="AY17" s="76"/>
      <c r="AZ17" s="76"/>
      <c r="BA17" s="77">
        <f>BA12+BA16</f>
        <v>4752400</v>
      </c>
      <c r="BB17" s="77">
        <f t="shared" ref="BB17:BC17" si="9">BB12+BB16</f>
        <v>4884639.3091434445</v>
      </c>
      <c r="BC17" s="78">
        <f t="shared" si="9"/>
        <v>5043850</v>
      </c>
      <c r="BF17" s="75" t="s">
        <v>209</v>
      </c>
      <c r="BG17" s="76"/>
      <c r="BH17" s="76"/>
      <c r="BI17" s="76"/>
      <c r="BJ17" s="197">
        <f>SUM(BJ14:BJ16)</f>
        <v>952000</v>
      </c>
      <c r="BK17" s="198">
        <f t="shared" ref="BK17:BL17" si="10">SUM(BK14:BK16)</f>
        <v>50000</v>
      </c>
      <c r="BL17" s="199">
        <f t="shared" si="10"/>
        <v>0</v>
      </c>
      <c r="BO17" s="136" t="s">
        <v>215</v>
      </c>
      <c r="BP17" s="55"/>
      <c r="BQ17" s="55"/>
      <c r="BR17" s="114">
        <f>BJ20</f>
        <v>0</v>
      </c>
      <c r="BS17" s="114"/>
      <c r="BT17" s="114"/>
      <c r="BU17" s="114"/>
      <c r="BV17" s="132"/>
      <c r="BY17" s="207"/>
      <c r="BZ17" s="114"/>
      <c r="CA17" s="114"/>
      <c r="CB17" s="114"/>
      <c r="CC17" s="114"/>
      <c r="CD17" s="114"/>
      <c r="CE17" s="141"/>
      <c r="CF17" s="212">
        <f t="shared" si="4"/>
        <v>0</v>
      </c>
    </row>
    <row r="18" spans="2:84" ht="15" customHeight="1" x14ac:dyDescent="0.25">
      <c r="B18" s="311"/>
      <c r="C18" s="312"/>
      <c r="D18" s="312"/>
      <c r="E18" s="312"/>
      <c r="F18" s="312"/>
      <c r="G18" s="312"/>
      <c r="H18" s="313"/>
      <c r="K18" s="49" t="str">
        <f>'Données à saisir'!A22</f>
        <v>Achat fonds de commerce ou parts</v>
      </c>
      <c r="L18" s="23"/>
      <c r="M18" s="23"/>
      <c r="N18" s="23"/>
      <c r="O18" s="23"/>
      <c r="P18" s="23"/>
      <c r="Q18" s="47" t="str">
        <f>IF(ISBLANK('Données à saisir'!B22),"",'Données à saisir'!B22)</f>
        <v/>
      </c>
      <c r="T18" s="42"/>
      <c r="U18" s="55"/>
      <c r="V18" s="55"/>
      <c r="W18" s="55"/>
      <c r="X18" s="69"/>
      <c r="Y18" s="69"/>
      <c r="Z18" s="65"/>
      <c r="AC18" s="49" t="str">
        <f>'Données à saisir'!A74</f>
        <v>Assurances</v>
      </c>
      <c r="AD18" s="55"/>
      <c r="AE18" s="55"/>
      <c r="AF18" s="55"/>
      <c r="AG18" s="74">
        <f>IF(ISBLANK('Données à saisir'!B74),0,'Données à saisir'!B74)</f>
        <v>12000</v>
      </c>
      <c r="AH18" s="74">
        <f>IF(ISBLANK('Données à saisir'!C74),0,'Données à saisir'!C74)</f>
        <v>12000</v>
      </c>
      <c r="AI18" s="66">
        <f>IF(ISBLANK('Données à saisir'!D74),0,'Données à saisir'!D74)</f>
        <v>12000</v>
      </c>
      <c r="AL18" s="75" t="s">
        <v>135</v>
      </c>
      <c r="AM18" s="76"/>
      <c r="AN18" s="76"/>
      <c r="AO18" s="77">
        <f>AO16-AO17</f>
        <v>2236000</v>
      </c>
      <c r="AP18" s="151">
        <f t="shared" si="5"/>
        <v>0.4777777777777778</v>
      </c>
      <c r="AQ18" s="77">
        <f t="shared" ref="AQ18:AS18" si="11">AQ16-AQ17</f>
        <v>2353000</v>
      </c>
      <c r="AR18" s="152">
        <f t="shared" si="7"/>
        <v>0.47883597883597884</v>
      </c>
      <c r="AS18" s="77">
        <f t="shared" si="11"/>
        <v>2475850</v>
      </c>
      <c r="AT18" s="154">
        <f t="shared" si="8"/>
        <v>0.47984378936759892</v>
      </c>
      <c r="AW18" s="136" t="s">
        <v>190</v>
      </c>
      <c r="AX18" s="55"/>
      <c r="AY18" s="55"/>
      <c r="AZ18" s="55"/>
      <c r="BA18" s="114">
        <f>AG44</f>
        <v>-72400</v>
      </c>
      <c r="BB18" s="114">
        <f>AH44</f>
        <v>29360.690856554866</v>
      </c>
      <c r="BC18" s="163">
        <f>AI44</f>
        <v>115850</v>
      </c>
      <c r="BF18" s="136" t="s">
        <v>213</v>
      </c>
      <c r="BG18" s="55"/>
      <c r="BH18" s="55"/>
      <c r="BI18" s="55"/>
      <c r="BJ18" s="114">
        <f>Q37</f>
        <v>452000</v>
      </c>
      <c r="BK18" s="114"/>
      <c r="BL18" s="163"/>
      <c r="BO18" s="136" t="s">
        <v>216</v>
      </c>
      <c r="BP18" s="55"/>
      <c r="BQ18" s="55"/>
      <c r="BR18" s="114" t="str">
        <f>BJ21</f>
        <v/>
      </c>
      <c r="BS18" s="114"/>
      <c r="BT18" s="114"/>
      <c r="BU18" s="114"/>
      <c r="BV18" s="132"/>
      <c r="BY18" s="207"/>
      <c r="BZ18" s="114"/>
      <c r="CA18" s="114"/>
      <c r="CB18" s="114"/>
      <c r="CC18" s="114"/>
      <c r="CD18" s="114"/>
      <c r="CE18" s="141"/>
      <c r="CF18" s="212">
        <f t="shared" si="4"/>
        <v>0</v>
      </c>
    </row>
    <row r="19" spans="2:84" ht="15" customHeight="1" x14ac:dyDescent="0.25">
      <c r="B19" s="311"/>
      <c r="C19" s="312"/>
      <c r="D19" s="312"/>
      <c r="E19" s="312"/>
      <c r="F19" s="312"/>
      <c r="G19" s="312"/>
      <c r="H19" s="313"/>
      <c r="K19" s="49" t="str">
        <f>'Données à saisir'!A23</f>
        <v>Droit au bail</v>
      </c>
      <c r="L19" s="23"/>
      <c r="M19" s="23"/>
      <c r="N19" s="23"/>
      <c r="O19" s="23"/>
      <c r="P19" s="23"/>
      <c r="Q19" s="47">
        <f>IF(ISBLANK('Données à saisir'!B23),"",'Données à saisir'!B23)</f>
        <v>8000</v>
      </c>
      <c r="T19" s="63" t="s">
        <v>155</v>
      </c>
      <c r="U19" s="64"/>
      <c r="V19" s="64"/>
      <c r="W19" s="64"/>
      <c r="X19" s="72">
        <f>'Données à saisir'!B130</f>
        <v>800000</v>
      </c>
      <c r="Y19" s="72">
        <f>'Données à saisir'!C130</f>
        <v>800000</v>
      </c>
      <c r="Z19" s="73">
        <f>'Données à saisir'!D130</f>
        <v>800000</v>
      </c>
      <c r="AC19" s="49" t="str">
        <f>'Données à saisir'!A75</f>
        <v>Téléphone, internet</v>
      </c>
      <c r="AD19" s="55"/>
      <c r="AE19" s="55"/>
      <c r="AF19" s="55"/>
      <c r="AG19" s="74">
        <f>IF(ISBLANK('Données à saisir'!B75),0,'Données à saisir'!B75)</f>
        <v>12000</v>
      </c>
      <c r="AH19" s="74">
        <f>IF(ISBLANK('Données à saisir'!C75),0,'Données à saisir'!C75)</f>
        <v>12000</v>
      </c>
      <c r="AI19" s="66">
        <f>IF(ISBLANK('Données à saisir'!D75),0,'Données à saisir'!D75)</f>
        <v>12000</v>
      </c>
      <c r="AL19" s="54" t="s">
        <v>87</v>
      </c>
      <c r="AM19" s="58"/>
      <c r="AN19" s="58"/>
      <c r="AO19" s="114">
        <f>AG36</f>
        <v>4000</v>
      </c>
      <c r="AP19" s="149">
        <f t="shared" si="5"/>
        <v>8.547008547008547E-4</v>
      </c>
      <c r="AQ19" s="114">
        <f>AH36</f>
        <v>4000</v>
      </c>
      <c r="AR19" s="153">
        <f t="shared" si="7"/>
        <v>8.1400081400081396E-4</v>
      </c>
      <c r="AS19" s="114">
        <f>AI36</f>
        <v>4000</v>
      </c>
      <c r="AT19" s="150">
        <f t="shared" si="8"/>
        <v>7.7523887047696572E-4</v>
      </c>
      <c r="AW19" s="75" t="s">
        <v>208</v>
      </c>
      <c r="AX19" s="76"/>
      <c r="AY19" s="76"/>
      <c r="AZ19" s="76"/>
      <c r="BA19" s="77">
        <f>IF(ISERROR(BA16/BA15),0,BA16/BA15)</f>
        <v>4824800</v>
      </c>
      <c r="BB19" s="77">
        <f t="shared" ref="BB19:BC19" si="12">IF(ISERROR(BB16/BB15),0,BB16/BB15)</f>
        <v>4855278.61828689</v>
      </c>
      <c r="BC19" s="78">
        <f t="shared" si="12"/>
        <v>4928000</v>
      </c>
      <c r="BF19" s="136" t="s">
        <v>214</v>
      </c>
      <c r="BG19" s="55"/>
      <c r="BH19" s="55"/>
      <c r="BI19" s="55"/>
      <c r="BJ19" s="114">
        <f>Q40</f>
        <v>500000</v>
      </c>
      <c r="BK19" s="114"/>
      <c r="BL19" s="163"/>
      <c r="BO19" s="201" t="s">
        <v>224</v>
      </c>
      <c r="BP19" s="129"/>
      <c r="BQ19" s="129"/>
      <c r="BR19" s="131">
        <f>'Données à saisir'!D100</f>
        <v>0</v>
      </c>
      <c r="BS19" s="131">
        <f>'Données à saisir'!D101</f>
        <v>0</v>
      </c>
      <c r="BT19" s="131">
        <f>'Données à saisir'!D102</f>
        <v>0</v>
      </c>
      <c r="BU19" s="131">
        <f>'Données à saisir'!D103</f>
        <v>0</v>
      </c>
      <c r="BV19" s="223">
        <f>'Données à saisir'!D104</f>
        <v>0</v>
      </c>
      <c r="BY19" s="224">
        <f>'Données à saisir'!D105</f>
        <v>0</v>
      </c>
      <c r="BZ19" s="131">
        <f>'Données à saisir'!D106</f>
        <v>0</v>
      </c>
      <c r="CA19" s="131">
        <f>'Données à saisir'!D107</f>
        <v>0</v>
      </c>
      <c r="CB19" s="131">
        <f>'Données à saisir'!D108</f>
        <v>0</v>
      </c>
      <c r="CC19" s="131">
        <f>'Données à saisir'!D109</f>
        <v>0</v>
      </c>
      <c r="CD19" s="131">
        <f>'Données à saisir'!D110</f>
        <v>0</v>
      </c>
      <c r="CE19" s="225">
        <f>'Données à saisir'!D111</f>
        <v>0</v>
      </c>
      <c r="CF19" s="227">
        <f>SUM(BR19:CE19)</f>
        <v>0</v>
      </c>
    </row>
    <row r="20" spans="2:84" ht="15" customHeight="1" x14ac:dyDescent="0.25">
      <c r="B20" s="311"/>
      <c r="C20" s="312"/>
      <c r="D20" s="312"/>
      <c r="E20" s="312"/>
      <c r="F20" s="312"/>
      <c r="G20" s="312"/>
      <c r="H20" s="313"/>
      <c r="K20" s="49" t="str">
        <f>'Données à saisir'!A24</f>
        <v>Caution ou dépôt de garantie</v>
      </c>
      <c r="L20" s="23"/>
      <c r="M20" s="23"/>
      <c r="N20" s="23"/>
      <c r="O20" s="23"/>
      <c r="P20" s="23"/>
      <c r="Q20" s="47" t="str">
        <f>IF(ISBLANK('Données à saisir'!B24),"",'Données à saisir'!B24)</f>
        <v/>
      </c>
      <c r="T20" s="56"/>
      <c r="U20" s="99" t="s">
        <v>154</v>
      </c>
      <c r="V20" s="55"/>
      <c r="W20" s="55"/>
      <c r="X20" s="74"/>
      <c r="Y20" s="112">
        <f>IF(ISERROR((Y19-X19)/X19),"",(Y19-X19)/X19)</f>
        <v>0</v>
      </c>
      <c r="Z20" s="113">
        <f>IF(ISERROR((Z19-Y19)/Y19),"",(Z19-Y19)/Y19)</f>
        <v>0</v>
      </c>
      <c r="AC20" s="49" t="str">
        <f>'Données à saisir'!A76</f>
        <v>Autres abonnements</v>
      </c>
      <c r="AD20" s="55"/>
      <c r="AE20" s="55"/>
      <c r="AF20" s="55"/>
      <c r="AG20" s="74">
        <f>IF(ISBLANK('Données à saisir'!B76),0,'Données à saisir'!B76)</f>
        <v>5000</v>
      </c>
      <c r="AH20" s="74">
        <f>IF(ISBLANK('Données à saisir'!C76),0,'Données à saisir'!C76)</f>
        <v>5000</v>
      </c>
      <c r="AI20" s="66">
        <f>IF(ISBLANK('Données à saisir'!D76),0,'Données à saisir'!D76)</f>
        <v>5000</v>
      </c>
      <c r="AL20" s="54" t="s">
        <v>167</v>
      </c>
      <c r="AM20" s="58"/>
      <c r="AN20" s="58"/>
      <c r="AO20" s="114">
        <f>SUM(AG37:AG40)</f>
        <v>2127000</v>
      </c>
      <c r="AP20" s="149">
        <f t="shared" si="5"/>
        <v>0.45448717948717948</v>
      </c>
      <c r="AQ20" s="114">
        <f>SUM(AH37:AH40)</f>
        <v>2127000</v>
      </c>
      <c r="AR20" s="153">
        <f t="shared" si="7"/>
        <v>0.43284493284493286</v>
      </c>
      <c r="AS20" s="114">
        <f>SUM(AI37:AI40)</f>
        <v>2127000</v>
      </c>
      <c r="AT20" s="150">
        <f t="shared" si="8"/>
        <v>0.41223326937612653</v>
      </c>
      <c r="AW20" s="136" t="s">
        <v>191</v>
      </c>
      <c r="AX20" s="55"/>
      <c r="AY20" s="55"/>
      <c r="AZ20" s="55"/>
      <c r="BA20" s="114">
        <f>BA11-BA19</f>
        <v>-144800</v>
      </c>
      <c r="BB20" s="114">
        <f t="shared" ref="BB20:BC20" si="13">BB11-BB19</f>
        <v>58721.381713110022</v>
      </c>
      <c r="BC20" s="132">
        <f t="shared" si="13"/>
        <v>231700</v>
      </c>
      <c r="BF20" s="136" t="s">
        <v>215</v>
      </c>
      <c r="BG20" s="55"/>
      <c r="BH20" s="55"/>
      <c r="BI20" s="55"/>
      <c r="BJ20" s="114">
        <f>Q44+Q45</f>
        <v>0</v>
      </c>
      <c r="BK20" s="114"/>
      <c r="BL20" s="163"/>
      <c r="BO20" s="136" t="s">
        <v>225</v>
      </c>
      <c r="BP20" s="55"/>
      <c r="BQ20" s="55"/>
      <c r="BR20" s="114">
        <f>'Données à saisir'!I100</f>
        <v>390000</v>
      </c>
      <c r="BS20" s="114">
        <f>'Données à saisir'!I101</f>
        <v>390000</v>
      </c>
      <c r="BT20" s="114">
        <f>'Données à saisir'!I102</f>
        <v>390000</v>
      </c>
      <c r="BU20" s="114">
        <f>'Données à saisir'!I103</f>
        <v>390000</v>
      </c>
      <c r="BV20" s="163">
        <f>'Données à saisir'!I104</f>
        <v>390000</v>
      </c>
      <c r="BY20" s="207">
        <f>'Données à saisir'!I105</f>
        <v>390000</v>
      </c>
      <c r="BZ20" s="114">
        <f>'Données à saisir'!I106</f>
        <v>390000</v>
      </c>
      <c r="CA20" s="114">
        <f>'Données à saisir'!I107</f>
        <v>390000</v>
      </c>
      <c r="CB20" s="114">
        <f>'Données à saisir'!I108</f>
        <v>390000</v>
      </c>
      <c r="CC20" s="114">
        <f>'Données à saisir'!I109</f>
        <v>390000</v>
      </c>
      <c r="CD20" s="114">
        <f>'Données à saisir'!I110</f>
        <v>390000</v>
      </c>
      <c r="CE20" s="141">
        <f>'Données à saisir'!I111</f>
        <v>390000</v>
      </c>
      <c r="CF20" s="212">
        <f t="shared" ref="CF20:CF24" si="14">SUM(BR20:CE20)</f>
        <v>4680000</v>
      </c>
    </row>
    <row r="21" spans="2:84" ht="15" customHeight="1" x14ac:dyDescent="0.25">
      <c r="B21" s="36"/>
      <c r="C21" s="26"/>
      <c r="D21" s="26"/>
      <c r="E21" s="26"/>
      <c r="F21" s="26"/>
      <c r="G21" s="26"/>
      <c r="H21" s="37"/>
      <c r="K21" s="49" t="str">
        <f>'Données à saisir'!A25</f>
        <v>Frais de dossier</v>
      </c>
      <c r="L21" s="23"/>
      <c r="M21" s="23"/>
      <c r="N21" s="23"/>
      <c r="O21" s="23"/>
      <c r="P21" s="23"/>
      <c r="Q21" s="47">
        <f>IF(ISBLANK('Données à saisir'!B25),"",'Données à saisir'!B25)</f>
        <v>5000</v>
      </c>
      <c r="T21" s="42" t="s">
        <v>156</v>
      </c>
      <c r="U21" s="55"/>
      <c r="V21" s="55"/>
      <c r="W21" s="55"/>
      <c r="X21" s="69">
        <f>'Données à saisir'!B136</f>
        <v>592000</v>
      </c>
      <c r="Y21" s="69">
        <f>'Données à saisir'!C136</f>
        <v>592000</v>
      </c>
      <c r="Z21" s="65">
        <f>'Données à saisir'!D136</f>
        <v>592000</v>
      </c>
      <c r="AC21" s="49" t="str">
        <f>'Données à saisir'!A77</f>
        <v>Carburant</v>
      </c>
      <c r="AD21" s="55"/>
      <c r="AE21" s="55"/>
      <c r="AF21" s="55"/>
      <c r="AG21" s="74">
        <f>IF(ISBLANK('Données à saisir'!B77),0,'Données à saisir'!B77)</f>
        <v>20000</v>
      </c>
      <c r="AH21" s="74">
        <f>IF(ISBLANK('Données à saisir'!C77),0,'Données à saisir'!C77)</f>
        <v>20000</v>
      </c>
      <c r="AI21" s="66">
        <f>IF(ISBLANK('Données à saisir'!D77),0,'Données à saisir'!D77)</f>
        <v>20000</v>
      </c>
      <c r="AL21" s="75" t="s">
        <v>136</v>
      </c>
      <c r="AM21" s="76"/>
      <c r="AN21" s="76"/>
      <c r="AO21" s="77">
        <f>AO18-AO19-AO20</f>
        <v>105000</v>
      </c>
      <c r="AP21" s="151">
        <f t="shared" si="5"/>
        <v>2.2435897435897436E-2</v>
      </c>
      <c r="AQ21" s="77">
        <f t="shared" ref="AQ21:AS21" si="15">AQ18-AQ19-AQ20</f>
        <v>222000</v>
      </c>
      <c r="AR21" s="152">
        <f t="shared" si="7"/>
        <v>4.5177045177045176E-2</v>
      </c>
      <c r="AS21" s="77">
        <f t="shared" si="15"/>
        <v>344850</v>
      </c>
      <c r="AT21" s="154">
        <f t="shared" si="8"/>
        <v>6.6835281120995405E-2</v>
      </c>
      <c r="AW21" s="221" t="s">
        <v>192</v>
      </c>
      <c r="AX21" s="60"/>
      <c r="AY21" s="60"/>
      <c r="AZ21" s="60"/>
      <c r="BA21" s="160">
        <f>BA19/250</f>
        <v>19299.2</v>
      </c>
      <c r="BB21" s="160">
        <f t="shared" ref="BB21:BC21" si="16">BB19/250</f>
        <v>19421.114473147562</v>
      </c>
      <c r="BC21" s="161">
        <f t="shared" si="16"/>
        <v>19712</v>
      </c>
      <c r="BF21" s="136" t="s">
        <v>216</v>
      </c>
      <c r="BG21" s="55"/>
      <c r="BH21" s="55"/>
      <c r="BI21" s="55"/>
      <c r="BJ21" s="114" t="str">
        <f>Q46</f>
        <v/>
      </c>
      <c r="BK21" s="114"/>
      <c r="BL21" s="163"/>
      <c r="BO21" s="75" t="s">
        <v>226</v>
      </c>
      <c r="BP21" s="76"/>
      <c r="BQ21" s="76"/>
      <c r="BR21" s="77">
        <f>SUM(BR19:BR20)</f>
        <v>390000</v>
      </c>
      <c r="BS21" s="77">
        <f t="shared" ref="BS21:BV21" si="17">SUM(BS19:BS20)</f>
        <v>390000</v>
      </c>
      <c r="BT21" s="77">
        <f t="shared" si="17"/>
        <v>390000</v>
      </c>
      <c r="BU21" s="77">
        <f t="shared" si="17"/>
        <v>390000</v>
      </c>
      <c r="BV21" s="78">
        <f t="shared" si="17"/>
        <v>390000</v>
      </c>
      <c r="BY21" s="208">
        <f t="shared" ref="BY21:CE21" si="18">SUM(BY19:BY20)</f>
        <v>390000</v>
      </c>
      <c r="BZ21" s="77">
        <f t="shared" si="18"/>
        <v>390000</v>
      </c>
      <c r="CA21" s="77">
        <f t="shared" si="18"/>
        <v>390000</v>
      </c>
      <c r="CB21" s="77">
        <f t="shared" si="18"/>
        <v>390000</v>
      </c>
      <c r="CC21" s="77">
        <f t="shared" si="18"/>
        <v>390000</v>
      </c>
      <c r="CD21" s="77">
        <f t="shared" si="18"/>
        <v>390000</v>
      </c>
      <c r="CE21" s="140">
        <f t="shared" si="18"/>
        <v>390000</v>
      </c>
      <c r="CF21" s="211">
        <f t="shared" si="14"/>
        <v>4680000</v>
      </c>
    </row>
    <row r="22" spans="2:84" ht="15" customHeight="1" x14ac:dyDescent="0.25">
      <c r="B22" s="31"/>
      <c r="C22" s="23"/>
      <c r="D22" s="23"/>
      <c r="E22" s="23"/>
      <c r="F22" s="23"/>
      <c r="G22" s="23"/>
      <c r="H22" s="32"/>
      <c r="K22" s="49" t="str">
        <f>'Données à saisir'!A26</f>
        <v>Frais de notaire ou d’avocat</v>
      </c>
      <c r="L22" s="23"/>
      <c r="M22" s="23"/>
      <c r="N22" s="23"/>
      <c r="O22" s="23"/>
      <c r="P22" s="23"/>
      <c r="Q22" s="47">
        <f>IF(ISBLANK('Données à saisir'!B26),"",'Données à saisir'!B26)</f>
        <v>12000</v>
      </c>
      <c r="T22" s="116"/>
      <c r="U22" s="41"/>
      <c r="V22" s="41"/>
      <c r="W22" s="41"/>
      <c r="X22" s="70"/>
      <c r="Y22" s="70"/>
      <c r="Z22" s="117"/>
      <c r="AC22" s="49" t="str">
        <f>'Données à saisir'!A78</f>
        <v>Frais de déplacement et hébergement</v>
      </c>
      <c r="AD22" s="55"/>
      <c r="AE22" s="55"/>
      <c r="AF22" s="55"/>
      <c r="AG22" s="74">
        <f>IF(ISBLANK('Données à saisir'!B78),0,'Données à saisir'!B78)</f>
        <v>8000</v>
      </c>
      <c r="AH22" s="74">
        <f>IF(ISBLANK('Données à saisir'!C78),0,'Données à saisir'!C78)</f>
        <v>8000</v>
      </c>
      <c r="AI22" s="66">
        <f>IF(ISBLANK('Données à saisir'!D78),0,'Données à saisir'!D78)</f>
        <v>8000</v>
      </c>
      <c r="AL22" s="54" t="s">
        <v>169</v>
      </c>
      <c r="AM22" s="55"/>
      <c r="AN22" s="55"/>
      <c r="AO22" s="114">
        <f>AG43</f>
        <v>177400</v>
      </c>
      <c r="AP22" s="149">
        <f t="shared" si="5"/>
        <v>3.7905982905982905E-2</v>
      </c>
      <c r="AQ22" s="114">
        <f>AH43</f>
        <v>177400</v>
      </c>
      <c r="AR22" s="153">
        <f t="shared" si="7"/>
        <v>3.61009361009361E-2</v>
      </c>
      <c r="AS22" s="114">
        <f>AI43</f>
        <v>177400</v>
      </c>
      <c r="AT22" s="150">
        <f t="shared" si="8"/>
        <v>3.4381843905653429E-2</v>
      </c>
      <c r="BA22" s="98"/>
      <c r="BF22" s="136" t="s">
        <v>217</v>
      </c>
      <c r="BG22" s="55"/>
      <c r="BH22" s="55"/>
      <c r="BI22" s="55"/>
      <c r="BJ22" s="114">
        <f>AO44</f>
        <v>105000</v>
      </c>
      <c r="BK22" s="114">
        <f>AQ44</f>
        <v>202356.58722807164</v>
      </c>
      <c r="BL22" s="163">
        <f>AS44</f>
        <v>261622</v>
      </c>
      <c r="BO22" s="136" t="s">
        <v>78</v>
      </c>
      <c r="BP22" s="55"/>
      <c r="BQ22" s="55"/>
      <c r="BR22" s="114">
        <f>Q12</f>
        <v>52000</v>
      </c>
      <c r="BS22" s="69"/>
      <c r="BT22" s="69"/>
      <c r="BU22" s="69"/>
      <c r="BV22" s="80"/>
      <c r="BY22" s="207"/>
      <c r="BZ22" s="69"/>
      <c r="CA22" s="114"/>
      <c r="CB22" s="114"/>
      <c r="CC22" s="69"/>
      <c r="CD22" s="69"/>
      <c r="CE22" s="85"/>
      <c r="CF22" s="212">
        <f t="shared" si="14"/>
        <v>52000</v>
      </c>
    </row>
    <row r="23" spans="2:84" ht="15" customHeight="1" x14ac:dyDescent="0.25">
      <c r="B23" s="31"/>
      <c r="C23" s="338" t="str">
        <f>IF(ISBLANK('Données à saisir'!B6),"",('Données à saisir'!B6))</f>
        <v>demo</v>
      </c>
      <c r="D23" s="338"/>
      <c r="E23" s="338"/>
      <c r="F23" s="338"/>
      <c r="G23" s="338"/>
      <c r="H23" s="32"/>
      <c r="K23" s="43" t="s">
        <v>75</v>
      </c>
      <c r="L23" s="23"/>
      <c r="M23" s="23"/>
      <c r="N23" s="23"/>
      <c r="O23" s="23"/>
      <c r="P23" s="23"/>
      <c r="Q23" s="46">
        <f>SUM(Q24:Q28)</f>
        <v>850000</v>
      </c>
      <c r="AC23" s="49" t="str">
        <f>'Données à saisir'!A79</f>
        <v>Eau, électricité, gaz</v>
      </c>
      <c r="AD23" s="55"/>
      <c r="AE23" s="55"/>
      <c r="AF23" s="55"/>
      <c r="AG23" s="74">
        <f>IF(ISBLANK('Données à saisir'!B79),0,'Données à saisir'!B79)</f>
        <v>12000</v>
      </c>
      <c r="AH23" s="74">
        <f>IF(ISBLANK('Données à saisir'!C79),0,'Données à saisir'!C79)</f>
        <v>12000</v>
      </c>
      <c r="AI23" s="66">
        <f>IF(ISBLANK('Données à saisir'!D79),0,'Données à saisir'!D79)</f>
        <v>12000</v>
      </c>
      <c r="AL23" s="75" t="s">
        <v>170</v>
      </c>
      <c r="AM23" s="76"/>
      <c r="AN23" s="76"/>
      <c r="AO23" s="77">
        <f>AO21-AO22</f>
        <v>-72400</v>
      </c>
      <c r="AP23" s="151">
        <f t="shared" si="5"/>
        <v>-1.547008547008547E-2</v>
      </c>
      <c r="AQ23" s="77">
        <f t="shared" ref="AQ23:AS23" si="19">AQ21-AQ22</f>
        <v>44600</v>
      </c>
      <c r="AR23" s="152">
        <f t="shared" si="7"/>
        <v>9.0761090761090762E-3</v>
      </c>
      <c r="AS23" s="77">
        <f t="shared" si="19"/>
        <v>167450</v>
      </c>
      <c r="AT23" s="154">
        <f t="shared" si="8"/>
        <v>3.2453437215341975E-2</v>
      </c>
      <c r="AW23" s="115"/>
      <c r="AX23" s="55"/>
      <c r="AY23" s="55"/>
      <c r="AZ23" s="55"/>
      <c r="BA23" s="109"/>
      <c r="BB23" s="109"/>
      <c r="BC23" s="109"/>
      <c r="BF23" s="75" t="s">
        <v>218</v>
      </c>
      <c r="BG23" s="76"/>
      <c r="BH23" s="76"/>
      <c r="BI23" s="76"/>
      <c r="BJ23" s="77">
        <f>SUM(BJ18:BJ22)</f>
        <v>1057000</v>
      </c>
      <c r="BK23" s="77">
        <f>SUM(BK18:BK22)</f>
        <v>202356.58722807164</v>
      </c>
      <c r="BL23" s="78">
        <f>SUM(BL18:BL22)</f>
        <v>261622</v>
      </c>
      <c r="BO23" s="136" t="s">
        <v>75</v>
      </c>
      <c r="BP23" s="55"/>
      <c r="BQ23" s="55"/>
      <c r="BR23" s="114">
        <f>Q23</f>
        <v>850000</v>
      </c>
      <c r="BS23" s="114"/>
      <c r="BT23" s="114"/>
      <c r="BU23" s="114"/>
      <c r="BV23" s="132"/>
      <c r="BY23" s="207"/>
      <c r="BZ23" s="114"/>
      <c r="CA23" s="114"/>
      <c r="CB23" s="114"/>
      <c r="CC23" s="114"/>
      <c r="CD23" s="114"/>
      <c r="CE23" s="141"/>
      <c r="CF23" s="212">
        <f t="shared" si="14"/>
        <v>850000</v>
      </c>
    </row>
    <row r="24" spans="2:84" ht="15" customHeight="1" thickBot="1" x14ac:dyDescent="0.3">
      <c r="B24" s="31"/>
      <c r="C24" s="338"/>
      <c r="D24" s="338"/>
      <c r="E24" s="338"/>
      <c r="F24" s="338"/>
      <c r="G24" s="338"/>
      <c r="H24" s="32"/>
      <c r="K24" s="49" t="str">
        <f>'Données à saisir'!A27</f>
        <v>Enseigne et éléments de communication</v>
      </c>
      <c r="L24" s="23"/>
      <c r="M24" s="23"/>
      <c r="N24" s="23"/>
      <c r="O24" s="23"/>
      <c r="P24" s="23"/>
      <c r="Q24" s="47">
        <f>IF(ISBLANK('Données à saisir'!B27),"",'Données à saisir'!B27)</f>
        <v>20000</v>
      </c>
      <c r="AC24" s="49" t="str">
        <f>'Données à saisir'!A80</f>
        <v>Mutuelle</v>
      </c>
      <c r="AD24" s="55"/>
      <c r="AE24" s="55"/>
      <c r="AF24" s="55"/>
      <c r="AG24" s="74">
        <f>IF(ISBLANK('Données à saisir'!B80),0,'Données à saisir'!B80)</f>
        <v>4000</v>
      </c>
      <c r="AH24" s="74">
        <f>IF(ISBLANK('Données à saisir'!C80),0,'Données à saisir'!C80)</f>
        <v>4000</v>
      </c>
      <c r="AI24" s="66">
        <f>IF(ISBLANK('Données à saisir'!D80),0,'Données à saisir'!D80)</f>
        <v>4000</v>
      </c>
      <c r="AL24" s="54" t="s">
        <v>36</v>
      </c>
      <c r="AM24" s="58"/>
      <c r="AN24" s="58"/>
      <c r="AO24" s="114">
        <f>AG42</f>
        <v>0</v>
      </c>
      <c r="AP24" s="149">
        <f t="shared" si="5"/>
        <v>0</v>
      </c>
      <c r="AQ24" s="114">
        <f>AH42</f>
        <v>15239.309143445134</v>
      </c>
      <c r="AR24" s="153">
        <f t="shared" si="7"/>
        <v>3.1012025118935969E-3</v>
      </c>
      <c r="AS24" s="114">
        <f>AI42</f>
        <v>51600</v>
      </c>
      <c r="AT24" s="150">
        <f t="shared" si="8"/>
        <v>1.0000581429152857E-2</v>
      </c>
      <c r="BF24" s="136" t="s">
        <v>219</v>
      </c>
      <c r="BG24" s="55"/>
      <c r="BH24" s="55"/>
      <c r="BI24" s="55"/>
      <c r="BJ24" s="114">
        <f>BJ23-BJ17</f>
        <v>105000</v>
      </c>
      <c r="BK24" s="114">
        <f>BK23-BK17</f>
        <v>152356.58722807164</v>
      </c>
      <c r="BL24" s="132">
        <f>BL23-BL17</f>
        <v>261622</v>
      </c>
      <c r="BO24" s="75" t="s">
        <v>238</v>
      </c>
      <c r="BP24" s="76"/>
      <c r="BQ24" s="76"/>
      <c r="BR24" s="77">
        <f>SUM(BR22:BR23)</f>
        <v>902000</v>
      </c>
      <c r="BS24" s="77"/>
      <c r="BT24" s="77"/>
      <c r="BU24" s="77"/>
      <c r="BV24" s="78"/>
      <c r="BY24" s="208"/>
      <c r="BZ24" s="77"/>
      <c r="CA24" s="77"/>
      <c r="CB24" s="77"/>
      <c r="CC24" s="77"/>
      <c r="CD24" s="77"/>
      <c r="CE24" s="140"/>
      <c r="CF24" s="211">
        <f t="shared" si="14"/>
        <v>902000</v>
      </c>
    </row>
    <row r="25" spans="2:84" ht="15" customHeight="1" x14ac:dyDescent="0.25">
      <c r="B25" s="31"/>
      <c r="C25" s="338"/>
      <c r="D25" s="338"/>
      <c r="E25" s="338"/>
      <c r="F25" s="338"/>
      <c r="G25" s="338"/>
      <c r="H25" s="32"/>
      <c r="K25" s="49" t="str">
        <f>'Données à saisir'!A28</f>
        <v>Achat immobilier</v>
      </c>
      <c r="L25" s="23"/>
      <c r="M25" s="23"/>
      <c r="N25" s="23"/>
      <c r="O25" s="23"/>
      <c r="P25" s="23"/>
      <c r="Q25" s="47" t="str">
        <f>IF(ISBLANK('Données à saisir'!B28),"",'Données à saisir'!B28)</f>
        <v/>
      </c>
      <c r="T25" s="314" t="s">
        <v>160</v>
      </c>
      <c r="U25" s="315"/>
      <c r="V25" s="315"/>
      <c r="W25" s="315"/>
      <c r="X25" s="315"/>
      <c r="Y25" s="315"/>
      <c r="Z25" s="316"/>
      <c r="AC25" s="49" t="str">
        <f>'Données à saisir'!A81</f>
        <v>Fournitures diverses</v>
      </c>
      <c r="AD25" s="55"/>
      <c r="AE25" s="55"/>
      <c r="AF25" s="55"/>
      <c r="AG25" s="74">
        <f>IF(ISBLANK('Données à saisir'!B81),0,'Données à saisir'!B81)</f>
        <v>5000</v>
      </c>
      <c r="AH25" s="74">
        <f>IF(ISBLANK('Données à saisir'!C81),0,'Données à saisir'!C81)</f>
        <v>5000</v>
      </c>
      <c r="AI25" s="66">
        <f>IF(ISBLANK('Données à saisir'!D81),0,'Données à saisir'!D81)</f>
        <v>5000</v>
      </c>
      <c r="AL25" s="54" t="s">
        <v>171</v>
      </c>
      <c r="AM25" s="58"/>
      <c r="AN25" s="58"/>
      <c r="AO25" s="114">
        <f>AO24*-1</f>
        <v>0</v>
      </c>
      <c r="AP25" s="149">
        <f t="shared" si="5"/>
        <v>0</v>
      </c>
      <c r="AQ25" s="114">
        <f t="shared" ref="AQ25:AS25" si="20">AQ24*-1</f>
        <v>-15239.309143445134</v>
      </c>
      <c r="AR25" s="153">
        <f t="shared" si="7"/>
        <v>-3.1012025118935969E-3</v>
      </c>
      <c r="AS25" s="114">
        <f t="shared" si="20"/>
        <v>-51600</v>
      </c>
      <c r="AT25" s="150">
        <f t="shared" si="8"/>
        <v>-1.0000581429152857E-2</v>
      </c>
      <c r="BA25" s="98"/>
      <c r="BF25" s="75" t="s">
        <v>202</v>
      </c>
      <c r="BG25" s="76"/>
      <c r="BH25" s="76"/>
      <c r="BI25" s="76"/>
      <c r="BJ25" s="77">
        <f>BJ24</f>
        <v>105000</v>
      </c>
      <c r="BK25" s="77">
        <f>BJ25+BK24</f>
        <v>257356.58722807164</v>
      </c>
      <c r="BL25" s="78">
        <f>+BK25+BL24</f>
        <v>518978.58722807164</v>
      </c>
      <c r="BO25" s="136" t="s">
        <v>283</v>
      </c>
      <c r="BP25" s="55"/>
      <c r="BQ25" s="55"/>
      <c r="BR25" s="114" t="str">
        <f>Q30</f>
        <v/>
      </c>
      <c r="BS25" s="114"/>
      <c r="BT25" s="114"/>
      <c r="BU25" s="114"/>
      <c r="BV25" s="132"/>
      <c r="BY25" s="207"/>
      <c r="BZ25" s="114"/>
      <c r="CA25" s="114"/>
      <c r="CB25" s="114"/>
      <c r="CC25" s="114"/>
      <c r="CD25" s="114"/>
      <c r="CE25" s="141"/>
      <c r="CF25" s="212">
        <f t="shared" ref="CF25:CF36" si="21">SUM(BR25:CE25)</f>
        <v>0</v>
      </c>
    </row>
    <row r="26" spans="2:84" ht="15" customHeight="1" x14ac:dyDescent="0.25">
      <c r="B26" s="31"/>
      <c r="C26" s="27"/>
      <c r="D26" s="27"/>
      <c r="E26" s="27"/>
      <c r="F26" s="27"/>
      <c r="G26" s="27"/>
      <c r="H26" s="32"/>
      <c r="K26" s="49" t="str">
        <f>'Données à saisir'!A29</f>
        <v>Travaux et aménagements</v>
      </c>
      <c r="L26" s="23"/>
      <c r="M26" s="23"/>
      <c r="N26" s="23"/>
      <c r="O26" s="23"/>
      <c r="P26" s="23"/>
      <c r="Q26" s="47">
        <f>IF(ISBLANK('Données à saisir'!B29),"",'Données à saisir'!B29)</f>
        <v>30000</v>
      </c>
      <c r="T26" s="317"/>
      <c r="U26" s="318"/>
      <c r="V26" s="318"/>
      <c r="W26" s="318"/>
      <c r="X26" s="318"/>
      <c r="Y26" s="318"/>
      <c r="Z26" s="319"/>
      <c r="AC26" s="49" t="str">
        <f>'Données à saisir'!A82</f>
        <v>Entretien matériel et vêtements</v>
      </c>
      <c r="AD26" s="55"/>
      <c r="AE26" s="55"/>
      <c r="AF26" s="55"/>
      <c r="AG26" s="74">
        <f>IF(ISBLANK('Données à saisir'!B82),0,'Données à saisir'!B82)</f>
        <v>3000</v>
      </c>
      <c r="AH26" s="74">
        <f>IF(ISBLANK('Données à saisir'!C82),0,'Données à saisir'!C82)</f>
        <v>3000</v>
      </c>
      <c r="AI26" s="66">
        <f>IF(ISBLANK('Données à saisir'!D82),0,'Données à saisir'!D82)</f>
        <v>3000</v>
      </c>
      <c r="AL26" s="75" t="s">
        <v>173</v>
      </c>
      <c r="AM26" s="76"/>
      <c r="AN26" s="76"/>
      <c r="AO26" s="77">
        <f>AO23+AO25</f>
        <v>-72400</v>
      </c>
      <c r="AP26" s="151">
        <f t="shared" si="5"/>
        <v>-1.547008547008547E-2</v>
      </c>
      <c r="AQ26" s="77">
        <f t="shared" ref="AQ26:AS26" si="22">AQ23+AQ25</f>
        <v>29360.690856554866</v>
      </c>
      <c r="AR26" s="152">
        <f t="shared" si="7"/>
        <v>5.9749065642154793E-3</v>
      </c>
      <c r="AS26" s="77">
        <f t="shared" si="22"/>
        <v>115850</v>
      </c>
      <c r="AT26" s="154">
        <f t="shared" si="8"/>
        <v>2.2452855786189118E-2</v>
      </c>
      <c r="BO26" s="136" t="s">
        <v>239</v>
      </c>
      <c r="BP26" s="55"/>
      <c r="BQ26" s="55"/>
      <c r="BR26" s="114">
        <f>IF(ISERROR('Données à saisir'!$K$70/12),0,'Données à saisir'!$K$70/12)</f>
        <v>4166.666666666667</v>
      </c>
      <c r="BS26" s="114">
        <f>IF(ISERROR('Données à saisir'!$K$70/12),0,'Données à saisir'!$K$70/12)</f>
        <v>4166.666666666667</v>
      </c>
      <c r="BT26" s="114">
        <f>IF(ISERROR('Données à saisir'!$K$70/12),0,'Données à saisir'!$K$70/12)</f>
        <v>4166.666666666667</v>
      </c>
      <c r="BU26" s="114">
        <f>IF(ISERROR('Données à saisir'!$K$70/12),0,'Données à saisir'!$K$70/12)</f>
        <v>4166.666666666667</v>
      </c>
      <c r="BV26" s="132">
        <f>IF(ISERROR('Données à saisir'!$K$70/12),0,'Données à saisir'!$K$70/12)</f>
        <v>4166.666666666667</v>
      </c>
      <c r="BY26" s="207">
        <f>IF(ISERROR('Données à saisir'!$K$70/12),0,'Données à saisir'!$K$70/12)</f>
        <v>4166.666666666667</v>
      </c>
      <c r="BZ26" s="114">
        <f>IF(ISERROR('Données à saisir'!$K$70/12),0,'Données à saisir'!$K$70/12)</f>
        <v>4166.666666666667</v>
      </c>
      <c r="CA26" s="114">
        <f>IF(ISERROR('Données à saisir'!$K$70/12),0,'Données à saisir'!$K$70/12)</f>
        <v>4166.666666666667</v>
      </c>
      <c r="CB26" s="114">
        <f>IF(ISERROR('Données à saisir'!$K$70/12),0,'Données à saisir'!$K$70/12)</f>
        <v>4166.666666666667</v>
      </c>
      <c r="CC26" s="114">
        <f>IF(ISERROR('Données à saisir'!$K$70/12),0,'Données à saisir'!$K$70/12)</f>
        <v>4166.666666666667</v>
      </c>
      <c r="CD26" s="114">
        <f>IF(ISERROR('Données à saisir'!$K$70/12),0,'Données à saisir'!$K$70/12)</f>
        <v>4166.666666666667</v>
      </c>
      <c r="CE26" s="141">
        <f>IF(ISERROR('Données à saisir'!$K$70/12),0,'Données à saisir'!$K$70/12)</f>
        <v>4166.666666666667</v>
      </c>
      <c r="CF26" s="212">
        <f t="shared" si="21"/>
        <v>49999.999999999993</v>
      </c>
    </row>
    <row r="27" spans="2:84" ht="15" customHeight="1" thickBot="1" x14ac:dyDescent="0.3">
      <c r="B27" s="31"/>
      <c r="C27" s="25"/>
      <c r="D27" s="25"/>
      <c r="E27" s="25"/>
      <c r="F27" s="25"/>
      <c r="G27" s="25"/>
      <c r="H27" s="32"/>
      <c r="K27" s="49" t="str">
        <f>'Données à saisir'!A30</f>
        <v>Matériel</v>
      </c>
      <c r="L27" s="23"/>
      <c r="M27" s="23"/>
      <c r="N27" s="23"/>
      <c r="O27" s="23"/>
      <c r="P27" s="23"/>
      <c r="Q27" s="47">
        <f>IF(ISBLANK('Données à saisir'!B30),"",'Données à saisir'!B30)</f>
        <v>500000</v>
      </c>
      <c r="T27" s="320"/>
      <c r="U27" s="321"/>
      <c r="V27" s="321"/>
      <c r="W27" s="321"/>
      <c r="X27" s="321"/>
      <c r="Y27" s="321"/>
      <c r="Z27" s="322"/>
      <c r="AC27" s="49" t="str">
        <f>'Données à saisir'!A83</f>
        <v>Nettoyage des locaux</v>
      </c>
      <c r="AD27" s="55"/>
      <c r="AE27" s="55"/>
      <c r="AF27" s="55"/>
      <c r="AG27" s="74">
        <f>IF(ISBLANK('Données à saisir'!B83),0,'Données à saisir'!B83)</f>
        <v>2000</v>
      </c>
      <c r="AH27" s="74">
        <f>IF(ISBLANK('Données à saisir'!C83),0,'Données à saisir'!C83)</f>
        <v>2000</v>
      </c>
      <c r="AI27" s="66">
        <f>IF(ISBLANK('Données à saisir'!D83),0,'Données à saisir'!D83)</f>
        <v>2000</v>
      </c>
      <c r="AL27" s="75" t="s">
        <v>174</v>
      </c>
      <c r="AM27" s="76"/>
      <c r="AN27" s="76"/>
      <c r="AO27" s="77">
        <f>IF(ISERROR(AO26-AG45),AO26,(AO26-AG45))</f>
        <v>-72400</v>
      </c>
      <c r="AP27" s="151">
        <f t="shared" si="5"/>
        <v>-1.547008547008547E-2</v>
      </c>
      <c r="AQ27" s="77">
        <f>IF(ISERROR(AQ26-AH45),AQ26,(AQ26-AH45))</f>
        <v>24956.587228071636</v>
      </c>
      <c r="AR27" s="152">
        <f t="shared" si="7"/>
        <v>5.078670579583157E-3</v>
      </c>
      <c r="AS27" s="77">
        <f>IF(ISERROR(AS26-AI45),AS26,(AS26-AI45))</f>
        <v>84222</v>
      </c>
      <c r="AT27" s="154">
        <f t="shared" si="8"/>
        <v>1.6323042037327751E-2</v>
      </c>
      <c r="BF27" s="55"/>
      <c r="BG27" s="55"/>
      <c r="BH27" s="55"/>
      <c r="BI27" s="55"/>
      <c r="BJ27" s="55"/>
      <c r="BK27" s="55"/>
      <c r="BL27" s="55"/>
      <c r="BO27" s="136" t="s">
        <v>240</v>
      </c>
      <c r="BP27" s="55"/>
      <c r="BQ27" s="55"/>
      <c r="BR27" s="114">
        <f>BR19*'Données à saisir'!$D$120</f>
        <v>0</v>
      </c>
      <c r="BS27" s="114">
        <f>BS19*'Données à saisir'!$D$120</f>
        <v>0</v>
      </c>
      <c r="BT27" s="114">
        <f>BT19*'Données à saisir'!$D$120</f>
        <v>0</v>
      </c>
      <c r="BU27" s="114">
        <f>BU19*'Données à saisir'!$D$120</f>
        <v>0</v>
      </c>
      <c r="BV27" s="132">
        <f>BV19*'Données à saisir'!$D$120</f>
        <v>0</v>
      </c>
      <c r="BY27" s="207">
        <f>BY19*'Données à saisir'!$D$120</f>
        <v>0</v>
      </c>
      <c r="BZ27" s="114">
        <f>BZ19*'Données à saisir'!$D$120</f>
        <v>0</v>
      </c>
      <c r="CA27" s="114">
        <f>CA19*'Données à saisir'!$D$120</f>
        <v>0</v>
      </c>
      <c r="CB27" s="114">
        <f>CB19*'Données à saisir'!$D$120</f>
        <v>0</v>
      </c>
      <c r="CC27" s="114">
        <f>CC19*'Données à saisir'!$D$120</f>
        <v>0</v>
      </c>
      <c r="CD27" s="114">
        <f>CD19*'Données à saisir'!$D$120</f>
        <v>0</v>
      </c>
      <c r="CE27" s="141">
        <f>CE19*'Données à saisir'!$D$120</f>
        <v>0</v>
      </c>
      <c r="CF27" s="212">
        <f t="shared" si="21"/>
        <v>0</v>
      </c>
    </row>
    <row r="28" spans="2:84" ht="15" customHeight="1" thickBot="1" x14ac:dyDescent="0.3">
      <c r="B28" s="31"/>
      <c r="C28" s="339" t="str">
        <f>IF(ISBLANK('Données à saisir'!B7),"",('Données à saisir'!B7))</f>
        <v>info</v>
      </c>
      <c r="D28" s="339"/>
      <c r="E28" s="339"/>
      <c r="F28" s="339"/>
      <c r="G28" s="339"/>
      <c r="H28" s="32"/>
      <c r="K28" s="49" t="str">
        <f>'Données à saisir'!A31</f>
        <v>Matériel de bureau</v>
      </c>
      <c r="L28" s="23"/>
      <c r="M28" s="23"/>
      <c r="N28" s="23"/>
      <c r="O28" s="23"/>
      <c r="P28" s="23"/>
      <c r="Q28" s="47">
        <f>IF(ISBLANK('Données à saisir'!B31),"",'Données à saisir'!B31)</f>
        <v>300000</v>
      </c>
      <c r="AC28" s="49" t="str">
        <f>'Données à saisir'!A84</f>
        <v>Budget publicité et communication</v>
      </c>
      <c r="AD28" s="55"/>
      <c r="AE28" s="55"/>
      <c r="AF28" s="55"/>
      <c r="AG28" s="74">
        <f>IF(ISBLANK('Données à saisir'!B84),0,'Données à saisir'!B84)</f>
        <v>6000</v>
      </c>
      <c r="AH28" s="74">
        <f>IF(ISBLANK('Données à saisir'!C84),0,'Données à saisir'!C84)</f>
        <v>6000</v>
      </c>
      <c r="AI28" s="66">
        <f>IF(ISBLANK('Données à saisir'!D84),0,'Données à saisir'!D84)</f>
        <v>6000</v>
      </c>
      <c r="AL28" s="54" t="s">
        <v>172</v>
      </c>
      <c r="AM28" s="58"/>
      <c r="AN28" s="58"/>
      <c r="AO28" s="114">
        <f>AO27+AO22</f>
        <v>105000</v>
      </c>
      <c r="AP28" s="149">
        <f t="shared" si="5"/>
        <v>2.2435897435897436E-2</v>
      </c>
      <c r="AQ28" s="114">
        <f t="shared" ref="AQ28:AS28" si="23">AQ27+AQ22</f>
        <v>202356.58722807164</v>
      </c>
      <c r="AR28" s="153">
        <f t="shared" si="7"/>
        <v>4.117960668051926E-2</v>
      </c>
      <c r="AS28" s="114">
        <f t="shared" si="23"/>
        <v>261622</v>
      </c>
      <c r="AT28" s="155">
        <f t="shared" si="8"/>
        <v>5.0704885942981184E-2</v>
      </c>
      <c r="BF28" s="186" t="s">
        <v>279</v>
      </c>
      <c r="BG28" s="55"/>
      <c r="BH28" s="55"/>
      <c r="BI28" s="222">
        <f>Q31</f>
        <v>50000</v>
      </c>
      <c r="BK28" s="55"/>
      <c r="BL28" s="55"/>
      <c r="BO28" s="136" t="s">
        <v>86</v>
      </c>
      <c r="BP28" s="55"/>
      <c r="BQ28" s="55"/>
      <c r="BR28" s="114">
        <f>$AG$17/12</f>
        <v>8666.6666666666661</v>
      </c>
      <c r="BS28" s="114">
        <f t="shared" ref="BS28:CE28" si="24">$AG$17/12</f>
        <v>8666.6666666666661</v>
      </c>
      <c r="BT28" s="114">
        <f t="shared" si="24"/>
        <v>8666.6666666666661</v>
      </c>
      <c r="BU28" s="114">
        <f t="shared" si="24"/>
        <v>8666.6666666666661</v>
      </c>
      <c r="BV28" s="132">
        <f t="shared" si="24"/>
        <v>8666.6666666666661</v>
      </c>
      <c r="BY28" s="207">
        <f t="shared" si="24"/>
        <v>8666.6666666666661</v>
      </c>
      <c r="BZ28" s="114">
        <f t="shared" si="24"/>
        <v>8666.6666666666661</v>
      </c>
      <c r="CA28" s="114">
        <f t="shared" si="24"/>
        <v>8666.6666666666661</v>
      </c>
      <c r="CB28" s="114">
        <f t="shared" si="24"/>
        <v>8666.6666666666661</v>
      </c>
      <c r="CC28" s="114">
        <f t="shared" si="24"/>
        <v>8666.6666666666661</v>
      </c>
      <c r="CD28" s="114">
        <f t="shared" si="24"/>
        <v>8666.6666666666661</v>
      </c>
      <c r="CE28" s="141">
        <f t="shared" si="24"/>
        <v>8666.6666666666661</v>
      </c>
      <c r="CF28" s="212">
        <f t="shared" si="21"/>
        <v>104000.00000000001</v>
      </c>
    </row>
    <row r="29" spans="2:84" ht="15" customHeight="1" x14ac:dyDescent="0.25">
      <c r="B29" s="31"/>
      <c r="C29" s="339"/>
      <c r="D29" s="339"/>
      <c r="E29" s="339"/>
      <c r="F29" s="339"/>
      <c r="G29" s="339"/>
      <c r="H29" s="32"/>
      <c r="K29" s="44"/>
      <c r="L29" s="23"/>
      <c r="M29" s="23"/>
      <c r="N29" s="23"/>
      <c r="O29" s="23"/>
      <c r="P29" s="23"/>
      <c r="Q29" s="47"/>
      <c r="X29" s="93" t="s">
        <v>44</v>
      </c>
      <c r="Y29" s="95" t="s">
        <v>45</v>
      </c>
      <c r="Z29" s="91" t="s">
        <v>46</v>
      </c>
      <c r="AC29" s="49" t="str">
        <f>'Données à saisir'!A85</f>
        <v>Loyer et charges locatives</v>
      </c>
      <c r="AD29" s="58"/>
      <c r="AE29" s="58"/>
      <c r="AF29" s="58"/>
      <c r="AG29" s="74">
        <f>IF(ISBLANK('Données à saisir'!B85),0,'Données à saisir'!B85)</f>
        <v>5000</v>
      </c>
      <c r="AH29" s="74">
        <f>IF(ISBLANK('Données à saisir'!C85),0,'Données à saisir'!C85)</f>
        <v>5000</v>
      </c>
      <c r="AI29" s="66">
        <f>IF(ISBLANK('Données à saisir'!D85),0,'Données à saisir'!D85)</f>
        <v>5000</v>
      </c>
      <c r="AL29" s="39"/>
      <c r="AM29" s="39"/>
      <c r="AN29" s="39"/>
      <c r="AO29" s="39"/>
      <c r="AP29" s="39"/>
      <c r="AQ29" s="39"/>
      <c r="AR29" s="39"/>
      <c r="AS29" s="39"/>
      <c r="AT29" s="23"/>
      <c r="AW29" s="314" t="s">
        <v>193</v>
      </c>
      <c r="AX29" s="315"/>
      <c r="AY29" s="315"/>
      <c r="AZ29" s="315"/>
      <c r="BA29" s="315"/>
      <c r="BB29" s="315"/>
      <c r="BC29" s="316"/>
      <c r="BF29" s="187"/>
      <c r="BG29" s="187"/>
      <c r="BH29" s="55"/>
      <c r="BI29" s="188"/>
      <c r="BJ29" s="62"/>
      <c r="BK29" s="62"/>
      <c r="BL29" s="62"/>
      <c r="BO29" s="136" t="str">
        <f>AC36</f>
        <v>Impôts et taxes</v>
      </c>
      <c r="BP29" s="55"/>
      <c r="BQ29" s="55"/>
      <c r="BR29" s="114">
        <f t="shared" ref="BR29:BV33" si="25">$AG36/12</f>
        <v>333.33333333333331</v>
      </c>
      <c r="BS29" s="114">
        <f t="shared" si="25"/>
        <v>333.33333333333331</v>
      </c>
      <c r="BT29" s="114">
        <f t="shared" si="25"/>
        <v>333.33333333333331</v>
      </c>
      <c r="BU29" s="114">
        <f t="shared" si="25"/>
        <v>333.33333333333331</v>
      </c>
      <c r="BV29" s="132">
        <f t="shared" si="25"/>
        <v>333.33333333333331</v>
      </c>
      <c r="BY29" s="207">
        <f t="shared" ref="BY29:CE33" si="26">$AG36/12</f>
        <v>333.33333333333331</v>
      </c>
      <c r="BZ29" s="114">
        <f t="shared" si="26"/>
        <v>333.33333333333331</v>
      </c>
      <c r="CA29" s="114">
        <f t="shared" si="26"/>
        <v>333.33333333333331</v>
      </c>
      <c r="CB29" s="114">
        <f t="shared" si="26"/>
        <v>333.33333333333331</v>
      </c>
      <c r="CC29" s="114">
        <f t="shared" si="26"/>
        <v>333.33333333333331</v>
      </c>
      <c r="CD29" s="114">
        <f t="shared" si="26"/>
        <v>333.33333333333331</v>
      </c>
      <c r="CE29" s="141">
        <f t="shared" si="26"/>
        <v>333.33333333333331</v>
      </c>
      <c r="CF29" s="212">
        <f t="shared" si="21"/>
        <v>4000.0000000000005</v>
      </c>
    </row>
    <row r="30" spans="2:84" ht="15" customHeight="1" x14ac:dyDescent="0.25">
      <c r="B30" s="31"/>
      <c r="C30" s="339"/>
      <c r="D30" s="339"/>
      <c r="E30" s="339"/>
      <c r="F30" s="339"/>
      <c r="G30" s="339"/>
      <c r="H30" s="32"/>
      <c r="K30" s="43" t="str">
        <f>'Données à saisir'!A32</f>
        <v>Stock de matières et produits</v>
      </c>
      <c r="L30" s="24"/>
      <c r="M30" s="24"/>
      <c r="N30" s="24"/>
      <c r="O30" s="24"/>
      <c r="P30" s="24"/>
      <c r="Q30" s="46" t="str">
        <f>IF(ISBLANK('Données à saisir'!B32),"",'Données à saisir'!B32)</f>
        <v/>
      </c>
      <c r="T30" s="115"/>
      <c r="U30" s="58"/>
      <c r="V30" s="58"/>
      <c r="W30" s="58"/>
      <c r="X30" s="94"/>
      <c r="Y30" s="96"/>
      <c r="Z30" s="92"/>
      <c r="AC30" s="49" t="str">
        <f>'Données à saisir'!A86</f>
        <v>Expert comptable, avocats</v>
      </c>
      <c r="AD30" s="58"/>
      <c r="AE30" s="58"/>
      <c r="AF30" s="58"/>
      <c r="AG30" s="74">
        <f>IF(ISBLANK('Données à saisir'!B86),0,'Données à saisir'!B86)</f>
        <v>10000</v>
      </c>
      <c r="AH30" s="74">
        <f>IF(ISBLANK('Données à saisir'!C86),0,'Données à saisir'!C86)</f>
        <v>10000</v>
      </c>
      <c r="AI30" s="66">
        <f>IF(ISBLANK('Données à saisir'!D86),0,'Données à saisir'!D86)</f>
        <v>10000</v>
      </c>
      <c r="AL30" s="108"/>
      <c r="AM30" s="55"/>
      <c r="AN30" s="55"/>
      <c r="AO30" s="109"/>
      <c r="AP30" s="109"/>
      <c r="AQ30" s="109"/>
      <c r="AR30" s="109"/>
      <c r="AS30" s="109"/>
      <c r="AT30" s="109"/>
      <c r="AW30" s="317"/>
      <c r="AX30" s="318"/>
      <c r="AY30" s="318"/>
      <c r="AZ30" s="318"/>
      <c r="BA30" s="318"/>
      <c r="BB30" s="318"/>
      <c r="BC30" s="319"/>
      <c r="BF30" s="58"/>
      <c r="BG30" s="55"/>
      <c r="BH30" s="55"/>
      <c r="BI30" s="55"/>
      <c r="BJ30" s="62"/>
      <c r="BK30" s="200"/>
      <c r="BL30" s="62"/>
      <c r="BO30" s="201" t="str">
        <f>AC37</f>
        <v>Salaires employés</v>
      </c>
      <c r="BP30" s="129"/>
      <c r="BQ30" s="129"/>
      <c r="BR30" s="131">
        <f t="shared" si="25"/>
        <v>66666.666666666672</v>
      </c>
      <c r="BS30" s="131">
        <f t="shared" si="25"/>
        <v>66666.666666666672</v>
      </c>
      <c r="BT30" s="131">
        <f t="shared" si="25"/>
        <v>66666.666666666672</v>
      </c>
      <c r="BU30" s="131">
        <f t="shared" si="25"/>
        <v>66666.666666666672</v>
      </c>
      <c r="BV30" s="223">
        <f t="shared" si="25"/>
        <v>66666.666666666672</v>
      </c>
      <c r="BY30" s="224">
        <f t="shared" si="26"/>
        <v>66666.666666666672</v>
      </c>
      <c r="BZ30" s="131">
        <f t="shared" si="26"/>
        <v>66666.666666666672</v>
      </c>
      <c r="CA30" s="131">
        <f t="shared" si="26"/>
        <v>66666.666666666672</v>
      </c>
      <c r="CB30" s="131">
        <f t="shared" si="26"/>
        <v>66666.666666666672</v>
      </c>
      <c r="CC30" s="131">
        <f t="shared" si="26"/>
        <v>66666.666666666672</v>
      </c>
      <c r="CD30" s="131">
        <f t="shared" si="26"/>
        <v>66666.666666666672</v>
      </c>
      <c r="CE30" s="225">
        <f t="shared" si="26"/>
        <v>66666.666666666672</v>
      </c>
      <c r="CF30" s="227">
        <f t="shared" si="21"/>
        <v>799999.99999999988</v>
      </c>
    </row>
    <row r="31" spans="2:84" ht="15" customHeight="1" thickBot="1" x14ac:dyDescent="0.3">
      <c r="B31" s="31"/>
      <c r="C31" s="339"/>
      <c r="D31" s="339"/>
      <c r="E31" s="339"/>
      <c r="F31" s="339"/>
      <c r="G31" s="339"/>
      <c r="H31" s="32"/>
      <c r="K31" s="43" t="str">
        <f>'Données à saisir'!A33</f>
        <v>Trésorerie de départ</v>
      </c>
      <c r="L31" s="24"/>
      <c r="M31" s="24"/>
      <c r="N31" s="24"/>
      <c r="O31" s="24"/>
      <c r="P31" s="24"/>
      <c r="Q31" s="46">
        <f>IF(ISBLANK('Données à saisir'!B33),"",'Données à saisir'!B33)</f>
        <v>50000</v>
      </c>
      <c r="T31" s="118" t="s">
        <v>161</v>
      </c>
      <c r="U31" s="39"/>
      <c r="V31" s="39"/>
      <c r="W31" s="39"/>
      <c r="X31" s="121">
        <f>SUM(X33:X39)</f>
        <v>7400</v>
      </c>
      <c r="Y31" s="121">
        <f>SUM(Y33:Y39)</f>
        <v>7400</v>
      </c>
      <c r="Z31" s="122">
        <f>SUM(Z33:Z39)</f>
        <v>7400</v>
      </c>
      <c r="AC31" s="49" t="str">
        <f>IF(ISBLANK('Données à saisir'!A90),"",'Données à saisir'!A90)</f>
        <v>Libellé autre charge 1 (supprimer si inutile)</v>
      </c>
      <c r="AD31" s="55"/>
      <c r="AE31" s="55"/>
      <c r="AF31" s="55"/>
      <c r="AG31" s="74">
        <f>IF(ISBLANK('Données à saisir'!B90),0,'Données à saisir'!B90)</f>
        <v>0</v>
      </c>
      <c r="AH31" s="74">
        <f>IF(ISBLANK('Données à saisir'!C90),0,'Données à saisir'!C90)</f>
        <v>0</v>
      </c>
      <c r="AI31" s="81">
        <f>IF(ISBLANK('Données à saisir'!D90),0,'Données à saisir'!D90)</f>
        <v>0</v>
      </c>
      <c r="AL31" s="108"/>
      <c r="AM31" s="55"/>
      <c r="AN31" s="55"/>
      <c r="AO31" s="109"/>
      <c r="AP31" s="109"/>
      <c r="AQ31" s="109"/>
      <c r="AR31" s="109"/>
      <c r="AS31" s="109"/>
      <c r="AT31" s="109"/>
      <c r="AW31" s="320"/>
      <c r="AX31" s="321"/>
      <c r="AY31" s="321"/>
      <c r="AZ31" s="321"/>
      <c r="BA31" s="321"/>
      <c r="BB31" s="321"/>
      <c r="BC31" s="322"/>
      <c r="BF31" s="189"/>
      <c r="BG31" s="55"/>
      <c r="BH31" s="55"/>
      <c r="BI31" s="175"/>
      <c r="BJ31" s="190"/>
      <c r="BK31" s="190"/>
      <c r="BL31" s="190"/>
      <c r="BO31" s="136" t="str">
        <f>AC38</f>
        <v>Charges sociales employés</v>
      </c>
      <c r="BP31" s="55"/>
      <c r="BQ31" s="55"/>
      <c r="BR31" s="114">
        <f t="shared" si="25"/>
        <v>49333.333333333336</v>
      </c>
      <c r="BS31" s="114">
        <f t="shared" si="25"/>
        <v>49333.333333333336</v>
      </c>
      <c r="BT31" s="114">
        <f t="shared" si="25"/>
        <v>49333.333333333336</v>
      </c>
      <c r="BU31" s="114">
        <f t="shared" si="25"/>
        <v>49333.333333333336</v>
      </c>
      <c r="BV31" s="132">
        <f t="shared" si="25"/>
        <v>49333.333333333336</v>
      </c>
      <c r="BY31" s="207">
        <f t="shared" si="26"/>
        <v>49333.333333333336</v>
      </c>
      <c r="BZ31" s="114">
        <f t="shared" si="26"/>
        <v>49333.333333333336</v>
      </c>
      <c r="CA31" s="114">
        <f t="shared" si="26"/>
        <v>49333.333333333336</v>
      </c>
      <c r="CB31" s="114">
        <f t="shared" si="26"/>
        <v>49333.333333333336</v>
      </c>
      <c r="CC31" s="114">
        <f t="shared" si="26"/>
        <v>49333.333333333336</v>
      </c>
      <c r="CD31" s="114">
        <f t="shared" si="26"/>
        <v>49333.333333333336</v>
      </c>
      <c r="CE31" s="141">
        <f t="shared" si="26"/>
        <v>49333.333333333336</v>
      </c>
      <c r="CF31" s="212">
        <f t="shared" si="21"/>
        <v>592000</v>
      </c>
    </row>
    <row r="32" spans="2:84" ht="15" customHeight="1" x14ac:dyDescent="0.25">
      <c r="B32" s="31"/>
      <c r="C32" s="339"/>
      <c r="D32" s="339"/>
      <c r="E32" s="339"/>
      <c r="F32" s="339"/>
      <c r="G32" s="339"/>
      <c r="H32" s="32"/>
      <c r="K32" s="44"/>
      <c r="L32" s="23"/>
      <c r="M32" s="23"/>
      <c r="N32" s="23"/>
      <c r="O32" s="24" t="s">
        <v>80</v>
      </c>
      <c r="P32" s="23"/>
      <c r="Q32" s="50">
        <f>+SUM(Q12,Q23,Q30:Q31)</f>
        <v>952000</v>
      </c>
      <c r="T32" s="40"/>
      <c r="U32" s="23"/>
      <c r="V32" s="23"/>
      <c r="W32" s="23"/>
      <c r="X32" s="265"/>
      <c r="Y32" s="265"/>
      <c r="Z32" s="266"/>
      <c r="AC32" s="49" t="str">
        <f>IF(ISBLANK('Données à saisir'!A91),"",'Données à saisir'!A91)</f>
        <v>Libellé autre charge 2 (supprimer si inutile)</v>
      </c>
      <c r="AD32" s="62"/>
      <c r="AE32" s="62"/>
      <c r="AF32" s="62"/>
      <c r="AG32" s="74">
        <f>IF(ISBLANK('Données à saisir'!B91),0,'Données à saisir'!B91)</f>
        <v>0</v>
      </c>
      <c r="AH32" s="74">
        <f>IF(ISBLANK('Données à saisir'!C91),0,'Données à saisir'!C91)</f>
        <v>0</v>
      </c>
      <c r="AI32" s="81">
        <f>IF(ISBLANK('Données à saisir'!D91),0,'Données à saisir'!D91)</f>
        <v>0</v>
      </c>
      <c r="BF32" s="58"/>
      <c r="BG32" s="55"/>
      <c r="BH32" s="55"/>
      <c r="BI32" s="55"/>
      <c r="BJ32" s="191"/>
      <c r="BK32" s="191"/>
      <c r="BL32" s="191"/>
      <c r="BO32" s="136" t="str">
        <f>AC39</f>
        <v>Prélèvement dirigeant(s)</v>
      </c>
      <c r="BP32" s="55"/>
      <c r="BQ32" s="55"/>
      <c r="BR32" s="114">
        <f t="shared" si="25"/>
        <v>41666.666666666664</v>
      </c>
      <c r="BS32" s="114">
        <f t="shared" si="25"/>
        <v>41666.666666666664</v>
      </c>
      <c r="BT32" s="114">
        <f t="shared" si="25"/>
        <v>41666.666666666664</v>
      </c>
      <c r="BU32" s="114">
        <f t="shared" si="25"/>
        <v>41666.666666666664</v>
      </c>
      <c r="BV32" s="132">
        <f t="shared" si="25"/>
        <v>41666.666666666664</v>
      </c>
      <c r="BY32" s="207">
        <f t="shared" si="26"/>
        <v>41666.666666666664</v>
      </c>
      <c r="BZ32" s="114">
        <f t="shared" si="26"/>
        <v>41666.666666666664</v>
      </c>
      <c r="CA32" s="114">
        <f t="shared" si="26"/>
        <v>41666.666666666664</v>
      </c>
      <c r="CB32" s="114">
        <f t="shared" si="26"/>
        <v>41666.666666666664</v>
      </c>
      <c r="CC32" s="114">
        <f t="shared" si="26"/>
        <v>41666.666666666664</v>
      </c>
      <c r="CD32" s="114">
        <f t="shared" si="26"/>
        <v>41666.666666666664</v>
      </c>
      <c r="CE32" s="141">
        <f t="shared" si="26"/>
        <v>41666.666666666664</v>
      </c>
      <c r="CF32" s="212">
        <f t="shared" si="21"/>
        <v>500000.00000000006</v>
      </c>
    </row>
    <row r="33" spans="2:84" ht="15" customHeight="1" thickBot="1" x14ac:dyDescent="0.3">
      <c r="B33" s="31"/>
      <c r="C33" s="308" t="str">
        <f>IF(ISBLANK('Données à saisir'!B8),"",('Données à saisir'!B8))</f>
        <v>SARL (IS)</v>
      </c>
      <c r="D33" s="308"/>
      <c r="E33" s="308"/>
      <c r="F33" s="308"/>
      <c r="G33" s="308"/>
      <c r="H33" s="32"/>
      <c r="K33" s="40"/>
      <c r="L33" s="23"/>
      <c r="M33" s="23"/>
      <c r="N33" s="23"/>
      <c r="O33" s="23"/>
      <c r="P33" s="23"/>
      <c r="Q33" s="48"/>
      <c r="T33" s="49" t="str">
        <f>K13</f>
        <v>Frais de constitution</v>
      </c>
      <c r="U33" s="23"/>
      <c r="V33" s="23"/>
      <c r="W33" s="23"/>
      <c r="X33" s="124">
        <f>'Données à saisir'!C40</f>
        <v>2000</v>
      </c>
      <c r="Y33" s="124">
        <f>'Données à saisir'!D40</f>
        <v>2000</v>
      </c>
      <c r="Z33" s="267">
        <f>'Données à saisir'!E40</f>
        <v>2000</v>
      </c>
      <c r="AC33" s="49" t="str">
        <f>IF(ISBLANK('Données à saisir'!A92),"",'Données à saisir'!A92)</f>
        <v>Libellé autre charge 3 (supprimer si inutile)</v>
      </c>
      <c r="AD33" s="55"/>
      <c r="AE33" s="55"/>
      <c r="AF33" s="55"/>
      <c r="AG33" s="74">
        <f>IF(ISBLANK('Données à saisir'!B92),0,'Données à saisir'!B92)</f>
        <v>0</v>
      </c>
      <c r="AH33" s="74">
        <f>IF(ISBLANK('Données à saisir'!C92),0,'Données à saisir'!C92)</f>
        <v>0</v>
      </c>
      <c r="AI33" s="81">
        <f>IF(ISBLANK('Données à saisir'!D92),0,'Données à saisir'!D92)</f>
        <v>0</v>
      </c>
      <c r="AW33" s="101" t="s">
        <v>203</v>
      </c>
      <c r="BF33" s="189"/>
      <c r="BG33" s="55"/>
      <c r="BH33" s="55"/>
      <c r="BI33" s="175"/>
      <c r="BJ33" s="190"/>
      <c r="BK33" s="190"/>
      <c r="BL33" s="190"/>
      <c r="BO33" s="136" t="str">
        <f>AC40</f>
        <v>Charges sociales dirigeant(s)</v>
      </c>
      <c r="BP33" s="55"/>
      <c r="BQ33" s="55"/>
      <c r="BR33" s="114">
        <f t="shared" si="25"/>
        <v>19583.333333333332</v>
      </c>
      <c r="BS33" s="114">
        <f t="shared" si="25"/>
        <v>19583.333333333332</v>
      </c>
      <c r="BT33" s="114">
        <f t="shared" si="25"/>
        <v>19583.333333333332</v>
      </c>
      <c r="BU33" s="114">
        <f t="shared" si="25"/>
        <v>19583.333333333332</v>
      </c>
      <c r="BV33" s="132">
        <f t="shared" si="25"/>
        <v>19583.333333333332</v>
      </c>
      <c r="BY33" s="207">
        <f t="shared" si="26"/>
        <v>19583.333333333332</v>
      </c>
      <c r="BZ33" s="114">
        <f t="shared" si="26"/>
        <v>19583.333333333332</v>
      </c>
      <c r="CA33" s="114">
        <f t="shared" si="26"/>
        <v>19583.333333333332</v>
      </c>
      <c r="CB33" s="114">
        <f t="shared" si="26"/>
        <v>19583.333333333332</v>
      </c>
      <c r="CC33" s="114">
        <f t="shared" si="26"/>
        <v>19583.333333333332</v>
      </c>
      <c r="CD33" s="114">
        <f t="shared" si="26"/>
        <v>19583.333333333332</v>
      </c>
      <c r="CE33" s="141">
        <f t="shared" si="26"/>
        <v>19583.333333333332</v>
      </c>
      <c r="CF33" s="212">
        <f t="shared" si="21"/>
        <v>235000.00000000003</v>
      </c>
    </row>
    <row r="34" spans="2:84" ht="15" customHeight="1" x14ac:dyDescent="0.25">
      <c r="B34" s="31"/>
      <c r="C34" s="308"/>
      <c r="D34" s="308"/>
      <c r="E34" s="308"/>
      <c r="F34" s="308"/>
      <c r="G34" s="308"/>
      <c r="H34" s="32"/>
      <c r="K34" s="327" t="s">
        <v>143</v>
      </c>
      <c r="L34" s="328"/>
      <c r="M34" s="328"/>
      <c r="N34" s="328"/>
      <c r="O34" s="328"/>
      <c r="P34" s="329"/>
      <c r="Q34" s="325" t="s">
        <v>79</v>
      </c>
      <c r="T34" s="49" t="str">
        <f t="shared" ref="T34" si="27">K15</f>
        <v>Logiciels, formations</v>
      </c>
      <c r="U34" s="23"/>
      <c r="V34" s="23"/>
      <c r="W34" s="23"/>
      <c r="X34" s="124">
        <f>'Données à saisir'!C42</f>
        <v>2000</v>
      </c>
      <c r="Y34" s="124">
        <f>'Données à saisir'!D42</f>
        <v>2000</v>
      </c>
      <c r="Z34" s="267">
        <f>'Données à saisir'!E42</f>
        <v>2000</v>
      </c>
      <c r="AC34" s="79"/>
      <c r="AD34" s="55"/>
      <c r="AE34" s="55"/>
      <c r="AF34" s="55"/>
      <c r="AG34" s="74"/>
      <c r="AH34" s="74"/>
      <c r="AI34" s="81"/>
      <c r="AL34" s="314" t="s">
        <v>172</v>
      </c>
      <c r="AM34" s="315"/>
      <c r="AN34" s="315"/>
      <c r="AO34" s="315"/>
      <c r="AP34" s="315"/>
      <c r="AQ34" s="315"/>
      <c r="AR34" s="315"/>
      <c r="AS34" s="315"/>
      <c r="AT34" s="316"/>
      <c r="AW34" s="165"/>
      <c r="AX34" s="165"/>
      <c r="AZ34" s="178" t="s">
        <v>200</v>
      </c>
      <c r="BA34" s="350" t="s">
        <v>44</v>
      </c>
      <c r="BB34" s="335" t="s">
        <v>45</v>
      </c>
      <c r="BC34" s="352" t="s">
        <v>46</v>
      </c>
      <c r="BF34" s="192"/>
      <c r="BG34" s="193"/>
      <c r="BH34" s="55"/>
      <c r="BI34" s="193"/>
      <c r="BJ34" s="194"/>
      <c r="BK34" s="194"/>
      <c r="BL34" s="194"/>
      <c r="BO34" s="75" t="s">
        <v>241</v>
      </c>
      <c r="BP34" s="76"/>
      <c r="BQ34" s="76"/>
      <c r="BR34" s="77">
        <f>SUM(BR30:BR33)</f>
        <v>177250</v>
      </c>
      <c r="BS34" s="77">
        <f t="shared" ref="BS34:CE34" si="28">SUM(BS30:BS33)</f>
        <v>177250</v>
      </c>
      <c r="BT34" s="77">
        <f t="shared" si="28"/>
        <v>177250</v>
      </c>
      <c r="BU34" s="77">
        <f t="shared" si="28"/>
        <v>177250</v>
      </c>
      <c r="BV34" s="78">
        <f t="shared" si="28"/>
        <v>177250</v>
      </c>
      <c r="BY34" s="208">
        <f t="shared" si="28"/>
        <v>177250</v>
      </c>
      <c r="BZ34" s="77">
        <f t="shared" si="28"/>
        <v>177250</v>
      </c>
      <c r="CA34" s="77">
        <f t="shared" si="28"/>
        <v>177250</v>
      </c>
      <c r="CB34" s="77">
        <f t="shared" si="28"/>
        <v>177250</v>
      </c>
      <c r="CC34" s="77">
        <f t="shared" si="28"/>
        <v>177250</v>
      </c>
      <c r="CD34" s="77">
        <f t="shared" si="28"/>
        <v>177250</v>
      </c>
      <c r="CE34" s="140">
        <f t="shared" si="28"/>
        <v>177250</v>
      </c>
      <c r="CF34" s="211">
        <f t="shared" si="21"/>
        <v>2127000</v>
      </c>
    </row>
    <row r="35" spans="2:84" ht="15" customHeight="1" x14ac:dyDescent="0.25">
      <c r="B35" s="31"/>
      <c r="C35" s="308"/>
      <c r="D35" s="308"/>
      <c r="E35" s="308"/>
      <c r="F35" s="308"/>
      <c r="G35" s="308"/>
      <c r="H35" s="32"/>
      <c r="K35" s="330"/>
      <c r="L35" s="331"/>
      <c r="M35" s="331"/>
      <c r="N35" s="331"/>
      <c r="O35" s="331"/>
      <c r="P35" s="332"/>
      <c r="Q35" s="326"/>
      <c r="T35" s="49" t="str">
        <f>K17</f>
        <v>Droits d’entrée</v>
      </c>
      <c r="U35" s="23"/>
      <c r="V35" s="23"/>
      <c r="W35" s="23"/>
      <c r="X35" s="124">
        <f>'Données à saisir'!C44</f>
        <v>0</v>
      </c>
      <c r="Y35" s="124">
        <f>'Données à saisir'!D44</f>
        <v>0</v>
      </c>
      <c r="Z35" s="267">
        <f>'Données à saisir'!E44</f>
        <v>0</v>
      </c>
      <c r="AC35" s="75" t="s">
        <v>135</v>
      </c>
      <c r="AD35" s="76"/>
      <c r="AE35" s="76"/>
      <c r="AF35" s="76"/>
      <c r="AG35" s="77">
        <f>AG16-AG17</f>
        <v>2236000</v>
      </c>
      <c r="AH35" s="77">
        <f>AH16-AH17</f>
        <v>2353000</v>
      </c>
      <c r="AI35" s="78">
        <f>AI16-AI17</f>
        <v>2475850</v>
      </c>
      <c r="AL35" s="317"/>
      <c r="AM35" s="318"/>
      <c r="AN35" s="318"/>
      <c r="AO35" s="318"/>
      <c r="AP35" s="318"/>
      <c r="AQ35" s="318"/>
      <c r="AR35" s="318"/>
      <c r="AS35" s="318"/>
      <c r="AT35" s="319"/>
      <c r="AW35" s="75" t="s">
        <v>197</v>
      </c>
      <c r="AX35" s="76"/>
      <c r="AY35" s="76"/>
      <c r="AZ35" s="76"/>
      <c r="BA35" s="351"/>
      <c r="BB35" s="336"/>
      <c r="BC35" s="353"/>
      <c r="BF35" s="55"/>
      <c r="BG35" s="55"/>
      <c r="BH35" s="55"/>
      <c r="BI35" s="55"/>
      <c r="BJ35" s="55"/>
      <c r="BK35" s="55"/>
      <c r="BL35" s="55"/>
      <c r="BO35" s="136" t="str">
        <f>AC42</f>
        <v>Frais bancaires, charges financières</v>
      </c>
      <c r="BP35" s="58"/>
      <c r="BQ35" s="58"/>
      <c r="BR35" s="114">
        <f>$AG42/12</f>
        <v>0</v>
      </c>
      <c r="BS35" s="114">
        <f>$AG42/12</f>
        <v>0</v>
      </c>
      <c r="BT35" s="114">
        <f>$AG42/12</f>
        <v>0</v>
      </c>
      <c r="BU35" s="114">
        <f>$AG42/12</f>
        <v>0</v>
      </c>
      <c r="BV35" s="132">
        <f>$AG42/12</f>
        <v>0</v>
      </c>
      <c r="BY35" s="207">
        <f t="shared" ref="BY35:CE35" si="29">$AG42/12</f>
        <v>0</v>
      </c>
      <c r="BZ35" s="114">
        <f t="shared" si="29"/>
        <v>0</v>
      </c>
      <c r="CA35" s="114">
        <f t="shared" si="29"/>
        <v>0</v>
      </c>
      <c r="CB35" s="114">
        <f t="shared" si="29"/>
        <v>0</v>
      </c>
      <c r="CC35" s="114">
        <f t="shared" si="29"/>
        <v>0</v>
      </c>
      <c r="CD35" s="114">
        <f t="shared" si="29"/>
        <v>0</v>
      </c>
      <c r="CE35" s="141">
        <f t="shared" si="29"/>
        <v>0</v>
      </c>
      <c r="CF35" s="212">
        <f t="shared" si="21"/>
        <v>0</v>
      </c>
    </row>
    <row r="36" spans="2:84" ht="15" customHeight="1" thickBot="1" x14ac:dyDescent="0.3">
      <c r="B36" s="31"/>
      <c r="C36" s="23"/>
      <c r="D36" s="23"/>
      <c r="E36" s="23"/>
      <c r="F36" s="23"/>
      <c r="G36" s="23"/>
      <c r="H36" s="32"/>
      <c r="K36" s="38"/>
      <c r="L36" s="39"/>
      <c r="M36" s="39"/>
      <c r="N36" s="39"/>
      <c r="O36" s="39"/>
      <c r="P36" s="39"/>
      <c r="Q36" s="45"/>
      <c r="T36" s="49" t="str">
        <f>K21</f>
        <v>Frais de dossier</v>
      </c>
      <c r="U36" s="23"/>
      <c r="V36" s="23"/>
      <c r="W36" s="23"/>
      <c r="X36" s="124">
        <f>'Données à saisir'!C45</f>
        <v>1000</v>
      </c>
      <c r="Y36" s="124">
        <f>'Données à saisir'!D45</f>
        <v>1000</v>
      </c>
      <c r="Z36" s="267">
        <f>'Données à saisir'!E45</f>
        <v>1000</v>
      </c>
      <c r="AC36" s="54" t="s">
        <v>87</v>
      </c>
      <c r="AD36" s="55"/>
      <c r="AE36" s="55"/>
      <c r="AF36" s="55"/>
      <c r="AG36" s="69">
        <f>IF(ISBLANK('Données à saisir'!B88),0,'Données à saisir'!B88)</f>
        <v>4000</v>
      </c>
      <c r="AH36" s="69">
        <f>IF(ISBLANK('Données à saisir'!C88),0,'Données à saisir'!C88)</f>
        <v>4000</v>
      </c>
      <c r="AI36" s="65">
        <f>IF(ISBLANK('Données à saisir'!D88),0,'Données à saisir'!D88)</f>
        <v>4000</v>
      </c>
      <c r="AL36" s="320"/>
      <c r="AM36" s="321"/>
      <c r="AN36" s="321"/>
      <c r="AO36" s="321"/>
      <c r="AP36" s="321"/>
      <c r="AQ36" s="321"/>
      <c r="AR36" s="321"/>
      <c r="AS36" s="321"/>
      <c r="AT36" s="322"/>
      <c r="AW36" s="136" t="s">
        <v>199</v>
      </c>
      <c r="AX36" s="55"/>
      <c r="AY36" s="55"/>
      <c r="AZ36" s="175">
        <f>'Données à saisir'!D124</f>
        <v>30</v>
      </c>
      <c r="BA36" s="182">
        <f>BA11/365*$AZ36</f>
        <v>384657.53424657532</v>
      </c>
      <c r="BB36" s="183">
        <f>BB11/365*$AZ36</f>
        <v>403890.41095890407</v>
      </c>
      <c r="BC36" s="184">
        <f>BC11/365*$AZ36</f>
        <v>424084.9315068493</v>
      </c>
      <c r="BF36" s="55"/>
      <c r="BG36" s="55"/>
      <c r="BH36" s="55"/>
      <c r="BI36" s="55"/>
      <c r="BJ36" s="55"/>
      <c r="BK36" s="55"/>
      <c r="BL36" s="55"/>
      <c r="BO36" s="75" t="s">
        <v>242</v>
      </c>
      <c r="BP36" s="76"/>
      <c r="BQ36" s="76"/>
      <c r="BR36" s="77">
        <f>SUM(BR24:BR29,BR34:BR35)</f>
        <v>1092416.6666666665</v>
      </c>
      <c r="BS36" s="77">
        <f>SUM(BS24:BS29,BS34:BS35)</f>
        <v>190416.66666666666</v>
      </c>
      <c r="BT36" s="77">
        <f>SUM(BT24:BT29,BT34:BT35)</f>
        <v>190416.66666666666</v>
      </c>
      <c r="BU36" s="77">
        <f>SUM(BU24:BU29,BU34:BU35)</f>
        <v>190416.66666666666</v>
      </c>
      <c r="BV36" s="78">
        <f>SUM(BV24:BV29,BV34:BV35)</f>
        <v>190416.66666666666</v>
      </c>
      <c r="BY36" s="208">
        <f t="shared" ref="BY36:CE36" si="30">SUM(BY24:BY29,BY34:BY35)</f>
        <v>190416.66666666666</v>
      </c>
      <c r="BZ36" s="77">
        <f t="shared" si="30"/>
        <v>190416.66666666666</v>
      </c>
      <c r="CA36" s="77">
        <f t="shared" si="30"/>
        <v>190416.66666666666</v>
      </c>
      <c r="CB36" s="77">
        <f t="shared" si="30"/>
        <v>190416.66666666666</v>
      </c>
      <c r="CC36" s="77">
        <f t="shared" si="30"/>
        <v>190416.66666666666</v>
      </c>
      <c r="CD36" s="77">
        <f t="shared" si="30"/>
        <v>190416.66666666666</v>
      </c>
      <c r="CE36" s="140">
        <f t="shared" si="30"/>
        <v>190416.66666666666</v>
      </c>
      <c r="CF36" s="211">
        <f t="shared" si="21"/>
        <v>3186999.9999999995</v>
      </c>
    </row>
    <row r="37" spans="2:84" ht="15" customHeight="1" thickBot="1" x14ac:dyDescent="0.3">
      <c r="B37" s="33"/>
      <c r="C37" s="34"/>
      <c r="D37" s="34"/>
      <c r="E37" s="34"/>
      <c r="F37" s="34"/>
      <c r="G37" s="34"/>
      <c r="H37" s="35"/>
      <c r="K37" s="43" t="s">
        <v>81</v>
      </c>
      <c r="Q37" s="46">
        <f>SUM(Q38:Q39)</f>
        <v>452000</v>
      </c>
      <c r="T37" s="49" t="str">
        <f>K22</f>
        <v>Frais de notaire ou d’avocat</v>
      </c>
      <c r="U37" s="23"/>
      <c r="V37" s="23"/>
      <c r="W37" s="23"/>
      <c r="X37" s="124">
        <f>'Données à saisir'!C46</f>
        <v>2400</v>
      </c>
      <c r="Y37" s="124">
        <f>'Données à saisir'!D46</f>
        <v>2400</v>
      </c>
      <c r="Z37" s="267">
        <f>'Données à saisir'!E46</f>
        <v>2400</v>
      </c>
      <c r="AC37" s="54" t="s">
        <v>27</v>
      </c>
      <c r="AD37" s="55"/>
      <c r="AE37" s="55"/>
      <c r="AF37" s="55"/>
      <c r="AG37" s="69">
        <f>'Données à saisir'!B130</f>
        <v>800000</v>
      </c>
      <c r="AH37" s="69">
        <f>'Données à saisir'!C130</f>
        <v>800000</v>
      </c>
      <c r="AI37" s="65">
        <f>'Données à saisir'!D130</f>
        <v>800000</v>
      </c>
      <c r="AW37" s="75" t="s">
        <v>196</v>
      </c>
      <c r="AX37" s="76"/>
      <c r="AY37" s="76"/>
      <c r="AZ37" s="76"/>
      <c r="BA37" s="173"/>
      <c r="BB37" s="168"/>
      <c r="BC37" s="169"/>
      <c r="BF37" s="185"/>
      <c r="BG37" s="185"/>
      <c r="BH37" s="185"/>
      <c r="BI37" s="185"/>
      <c r="BJ37" s="185"/>
      <c r="BK37" s="185"/>
      <c r="BL37" s="185"/>
      <c r="BO37" s="75" t="s">
        <v>244</v>
      </c>
      <c r="BP37" s="76"/>
      <c r="BQ37" s="76"/>
      <c r="BR37" s="77">
        <f>SUM(BR15:BR20)</f>
        <v>1342000</v>
      </c>
      <c r="BS37" s="77">
        <f>SUM(BS15:BS20)</f>
        <v>390000</v>
      </c>
      <c r="BT37" s="77">
        <f>SUM(BT15:BT20)</f>
        <v>390000</v>
      </c>
      <c r="BU37" s="77">
        <f>SUM(BU15:BU20)</f>
        <v>390000</v>
      </c>
      <c r="BV37" s="78">
        <f>SUM(BV15:BV20)</f>
        <v>390000</v>
      </c>
      <c r="BY37" s="208">
        <f t="shared" ref="BY37:CE37" si="31">SUM(BY15:BY20)</f>
        <v>390000</v>
      </c>
      <c r="BZ37" s="77">
        <f t="shared" si="31"/>
        <v>390000</v>
      </c>
      <c r="CA37" s="77">
        <f t="shared" si="31"/>
        <v>390000</v>
      </c>
      <c r="CB37" s="77">
        <f t="shared" si="31"/>
        <v>390000</v>
      </c>
      <c r="CC37" s="77">
        <f t="shared" si="31"/>
        <v>390000</v>
      </c>
      <c r="CD37" s="77">
        <f t="shared" si="31"/>
        <v>390000</v>
      </c>
      <c r="CE37" s="140">
        <f t="shared" si="31"/>
        <v>390000</v>
      </c>
      <c r="CF37" s="211">
        <f t="shared" ref="CF37" si="32">SUM(BR37:CE37)</f>
        <v>5632000</v>
      </c>
    </row>
    <row r="38" spans="2:84" ht="15" customHeight="1" thickTop="1" x14ac:dyDescent="0.25">
      <c r="K38" s="49" t="str">
        <f>'Données à saisir'!A56</f>
        <v>Apport personnel ou familial</v>
      </c>
      <c r="L38" s="23"/>
      <c r="M38" s="23"/>
      <c r="N38" s="23"/>
      <c r="O38" s="23"/>
      <c r="P38" s="23"/>
      <c r="Q38" s="47">
        <f>IF(ISBLANK('Données à saisir'!B56),0,'Données à saisir'!B56)</f>
        <v>452000</v>
      </c>
      <c r="T38" s="49"/>
      <c r="U38" s="23"/>
      <c r="V38" s="23"/>
      <c r="W38" s="23"/>
      <c r="X38" s="124"/>
      <c r="Y38" s="124"/>
      <c r="Z38" s="267"/>
      <c r="AC38" s="136" t="s">
        <v>28</v>
      </c>
      <c r="AD38" s="220"/>
      <c r="AE38" s="220"/>
      <c r="AF38" s="220"/>
      <c r="AG38" s="114">
        <f>'Données à saisir'!B136</f>
        <v>592000</v>
      </c>
      <c r="AH38" s="114">
        <f>'Données à saisir'!C136</f>
        <v>592000</v>
      </c>
      <c r="AI38" s="132">
        <f>'Données à saisir'!D136</f>
        <v>592000</v>
      </c>
      <c r="AW38" s="166" t="s">
        <v>198</v>
      </c>
      <c r="AX38" s="167"/>
      <c r="AY38" s="167"/>
      <c r="AZ38" s="176">
        <f>'Données à saisir'!D125</f>
        <v>60</v>
      </c>
      <c r="BA38" s="182">
        <f>BA12/365*$AZ38</f>
        <v>384657.53424657532</v>
      </c>
      <c r="BB38" s="183">
        <f>BB12/365*$AZ38</f>
        <v>403890.41095890407</v>
      </c>
      <c r="BC38" s="184">
        <f>BC12/365*$AZ38</f>
        <v>424084.9315068493</v>
      </c>
      <c r="BF38" s="185"/>
      <c r="BG38" s="185"/>
      <c r="BH38" s="185"/>
      <c r="BI38" s="185"/>
      <c r="BJ38" s="185"/>
      <c r="BK38" s="185"/>
      <c r="BL38" s="185"/>
      <c r="BO38" s="136" t="s">
        <v>243</v>
      </c>
      <c r="BP38" s="55"/>
      <c r="BQ38" s="55"/>
      <c r="BR38" s="74">
        <v>0</v>
      </c>
      <c r="BS38" s="114">
        <f>BR40</f>
        <v>249583.33333333349</v>
      </c>
      <c r="BT38" s="114">
        <f>BS40</f>
        <v>449166.66666666686</v>
      </c>
      <c r="BU38" s="114">
        <f>BT40</f>
        <v>648750.00000000023</v>
      </c>
      <c r="BV38" s="163">
        <f>BU40</f>
        <v>848333.3333333336</v>
      </c>
      <c r="BY38" s="207">
        <f>BV40</f>
        <v>1047916.666666667</v>
      </c>
      <c r="BZ38" s="114">
        <f t="shared" ref="BZ38:CE38" si="33">BY40</f>
        <v>1247500.0000000002</v>
      </c>
      <c r="CA38" s="114">
        <f t="shared" si="33"/>
        <v>1447083.3333333335</v>
      </c>
      <c r="CB38" s="114">
        <f t="shared" si="33"/>
        <v>1646666.6666666667</v>
      </c>
      <c r="CC38" s="114">
        <f t="shared" si="33"/>
        <v>1846250</v>
      </c>
      <c r="CD38" s="114">
        <f t="shared" si="33"/>
        <v>2045833.3333333333</v>
      </c>
      <c r="CE38" s="141">
        <f t="shared" si="33"/>
        <v>2245416.6666666665</v>
      </c>
      <c r="CF38" s="212"/>
    </row>
    <row r="39" spans="2:84" ht="15" customHeight="1" x14ac:dyDescent="0.25">
      <c r="K39" s="49" t="str">
        <f>'Données à saisir'!A57</f>
        <v>Apports en nature (en valeur)</v>
      </c>
      <c r="L39" s="23"/>
      <c r="M39" s="23"/>
      <c r="N39" s="23"/>
      <c r="O39" s="23"/>
      <c r="P39" s="23"/>
      <c r="Q39" s="47">
        <f>IF(ISBLANK('Données à saisir'!B57),0,'Données à saisir'!B57)</f>
        <v>0</v>
      </c>
      <c r="T39" s="49"/>
      <c r="U39" s="23"/>
      <c r="V39" s="23"/>
      <c r="W39" s="23"/>
      <c r="X39" s="124"/>
      <c r="Y39" s="124"/>
      <c r="Z39" s="267"/>
      <c r="AC39" s="54" t="s">
        <v>92</v>
      </c>
      <c r="AD39" s="55"/>
      <c r="AE39" s="55"/>
      <c r="AF39" s="55"/>
      <c r="AG39" s="69">
        <f>'Données à saisir'!B131</f>
        <v>500000</v>
      </c>
      <c r="AH39" s="69">
        <f>'Données à saisir'!C131</f>
        <v>500000</v>
      </c>
      <c r="AI39" s="65">
        <f>'Données à saisir'!D131</f>
        <v>500000</v>
      </c>
      <c r="AW39" s="171" t="s">
        <v>201</v>
      </c>
      <c r="AX39" s="170"/>
      <c r="AY39" s="76"/>
      <c r="AZ39" s="172"/>
      <c r="BA39" s="179">
        <f>BA36-BA38</f>
        <v>0</v>
      </c>
      <c r="BB39" s="180">
        <f>BB36-BB38</f>
        <v>0</v>
      </c>
      <c r="BC39" s="181">
        <f>BC36-BC38</f>
        <v>0</v>
      </c>
      <c r="BF39" s="185"/>
      <c r="BG39" s="185"/>
      <c r="BH39" s="185"/>
      <c r="BI39" s="185"/>
      <c r="BJ39" s="185"/>
      <c r="BK39" s="185"/>
      <c r="BL39" s="185"/>
      <c r="BO39" s="82" t="s">
        <v>252</v>
      </c>
      <c r="BP39" s="62"/>
      <c r="BQ39" s="62"/>
      <c r="BR39" s="69">
        <f>BR37-BR36</f>
        <v>249583.33333333349</v>
      </c>
      <c r="BS39" s="69">
        <f t="shared" ref="BS39:CE39" si="34">BS37-BS36</f>
        <v>199583.33333333334</v>
      </c>
      <c r="BT39" s="69">
        <f t="shared" si="34"/>
        <v>199583.33333333334</v>
      </c>
      <c r="BU39" s="69">
        <f t="shared" si="34"/>
        <v>199583.33333333334</v>
      </c>
      <c r="BV39" s="80">
        <f t="shared" si="34"/>
        <v>199583.33333333334</v>
      </c>
      <c r="BW39" s="1"/>
      <c r="BX39" s="1"/>
      <c r="BY39" s="229">
        <f t="shared" si="34"/>
        <v>199583.33333333334</v>
      </c>
      <c r="BZ39" s="69">
        <f t="shared" si="34"/>
        <v>199583.33333333334</v>
      </c>
      <c r="CA39" s="69">
        <f t="shared" si="34"/>
        <v>199583.33333333334</v>
      </c>
      <c r="CB39" s="69">
        <f t="shared" si="34"/>
        <v>199583.33333333334</v>
      </c>
      <c r="CC39" s="69">
        <f t="shared" si="34"/>
        <v>199583.33333333334</v>
      </c>
      <c r="CD39" s="69">
        <f t="shared" si="34"/>
        <v>199583.33333333334</v>
      </c>
      <c r="CE39" s="85">
        <f t="shared" si="34"/>
        <v>199583.33333333334</v>
      </c>
      <c r="CF39" s="226"/>
    </row>
    <row r="40" spans="2:84" ht="15" customHeight="1" thickBot="1" x14ac:dyDescent="0.3">
      <c r="K40" s="43" t="s">
        <v>76</v>
      </c>
      <c r="L40" s="23"/>
      <c r="M40" s="23"/>
      <c r="N40" s="106" t="s">
        <v>150</v>
      </c>
      <c r="O40" s="106" t="s">
        <v>151</v>
      </c>
      <c r="P40" s="23"/>
      <c r="Q40" s="46">
        <f>SUM(Q41:Q43)</f>
        <v>500000</v>
      </c>
      <c r="T40" s="118" t="s">
        <v>162</v>
      </c>
      <c r="U40" s="39"/>
      <c r="V40" s="39"/>
      <c r="W40" s="39"/>
      <c r="X40" s="121">
        <f>SUM(X42:X46)</f>
        <v>170000</v>
      </c>
      <c r="Y40" s="121">
        <f>SUM(Y42:Y46)</f>
        <v>170000</v>
      </c>
      <c r="Z40" s="268">
        <f>SUM(Z42:Z46)</f>
        <v>170000</v>
      </c>
      <c r="AC40" s="136" t="s">
        <v>91</v>
      </c>
      <c r="AD40" s="220"/>
      <c r="AE40" s="220"/>
      <c r="AF40" s="99" t="str">
        <f>IF('Données à saisir'!C133="Oui","(Accre)","")</f>
        <v/>
      </c>
      <c r="AG40" s="114">
        <f>IF('Données à saisir'!C133="Oui",'Données à saisir'!#REF!,'Données à saisir'!B144)</f>
        <v>235000</v>
      </c>
      <c r="AH40" s="114">
        <f>IF('Données à saisir'!C133="Oui",'Données à saisir'!#REF!,'Données à saisir'!C144)</f>
        <v>235000</v>
      </c>
      <c r="AI40" s="132">
        <f>IF('Données à saisir'!C133="Oui",'Données à saisir'!J144,'Données à saisir'!D144)</f>
        <v>235000</v>
      </c>
      <c r="AO40" s="333" t="s">
        <v>44</v>
      </c>
      <c r="AP40" s="346"/>
      <c r="AQ40" s="344" t="s">
        <v>45</v>
      </c>
      <c r="AR40" s="346"/>
      <c r="AS40" s="344" t="s">
        <v>46</v>
      </c>
      <c r="AT40" s="323"/>
      <c r="AW40" s="55"/>
      <c r="AX40" s="55"/>
      <c r="AY40" s="55"/>
      <c r="AZ40" s="55"/>
      <c r="BA40" s="55"/>
      <c r="BB40" s="55"/>
      <c r="BC40" s="55"/>
      <c r="BF40" s="55"/>
      <c r="BG40" s="55"/>
      <c r="BH40" s="55"/>
      <c r="BI40" s="55"/>
      <c r="BJ40" s="55"/>
      <c r="BK40" s="55"/>
      <c r="BL40" s="55"/>
      <c r="BO40" s="75" t="s">
        <v>253</v>
      </c>
      <c r="BP40" s="76"/>
      <c r="BQ40" s="76"/>
      <c r="BR40" s="77">
        <f>BR39</f>
        <v>249583.33333333349</v>
      </c>
      <c r="BS40" s="77">
        <f>BS38+BS39</f>
        <v>449166.66666666686</v>
      </c>
      <c r="BT40" s="77">
        <f>BT38+BT39</f>
        <v>648750.00000000023</v>
      </c>
      <c r="BU40" s="77">
        <f>BU38+BU39</f>
        <v>848333.3333333336</v>
      </c>
      <c r="BV40" s="78">
        <f t="shared" ref="BV40:CE40" si="35">BV38+BV39</f>
        <v>1047916.666666667</v>
      </c>
      <c r="BY40" s="208">
        <f t="shared" si="35"/>
        <v>1247500.0000000002</v>
      </c>
      <c r="BZ40" s="77">
        <f t="shared" si="35"/>
        <v>1447083.3333333335</v>
      </c>
      <c r="CA40" s="77">
        <f t="shared" si="35"/>
        <v>1646666.6666666667</v>
      </c>
      <c r="CB40" s="77">
        <f t="shared" si="35"/>
        <v>1846250</v>
      </c>
      <c r="CC40" s="77">
        <f t="shared" si="35"/>
        <v>2045833.3333333333</v>
      </c>
      <c r="CD40" s="77">
        <f t="shared" si="35"/>
        <v>2245416.6666666665</v>
      </c>
      <c r="CE40" s="140">
        <f t="shared" si="35"/>
        <v>2445000</v>
      </c>
      <c r="CF40" s="211"/>
    </row>
    <row r="41" spans="2:84" ht="15" customHeight="1" thickTop="1" x14ac:dyDescent="0.25">
      <c r="B41" s="28"/>
      <c r="C41" s="29"/>
      <c r="D41" s="29"/>
      <c r="E41" s="29"/>
      <c r="F41" s="29"/>
      <c r="G41" s="29"/>
      <c r="H41" s="30"/>
      <c r="K41" s="49" t="str">
        <f>IF(ISBLANK('Données à saisir'!A58),"",'Données à saisir'!A58)</f>
        <v>Prêt n°1 (nom de la banque)</v>
      </c>
      <c r="L41" s="23"/>
      <c r="M41" s="23"/>
      <c r="N41" s="263">
        <f>IF(ISBLANK('Données à saisir'!C58),"",'Données à saisir'!C58)</f>
        <v>0.05</v>
      </c>
      <c r="O41" s="105">
        <f>IF(ISBLANK('Données à saisir'!D58),"",'Données à saisir'!D58)</f>
        <v>120</v>
      </c>
      <c r="P41" s="23"/>
      <c r="Q41" s="47">
        <f>IF(ISBLANK('Données à saisir'!B58),0,'Données à saisir'!B58)</f>
        <v>500000</v>
      </c>
      <c r="T41" s="40"/>
      <c r="U41" s="23"/>
      <c r="V41" s="23"/>
      <c r="W41" s="23"/>
      <c r="X41" s="265"/>
      <c r="Y41" s="265"/>
      <c r="Z41" s="266"/>
      <c r="AC41" s="75" t="s">
        <v>136</v>
      </c>
      <c r="AD41" s="76"/>
      <c r="AE41" s="76"/>
      <c r="AF41" s="76"/>
      <c r="AG41" s="77">
        <f>AG35-SUM(AG36:AG40)</f>
        <v>105000</v>
      </c>
      <c r="AH41" s="77">
        <f t="shared" ref="AH41:AI41" si="36">AH35-SUM(AH36:AH40)</f>
        <v>222000</v>
      </c>
      <c r="AI41" s="78">
        <f t="shared" si="36"/>
        <v>344850</v>
      </c>
      <c r="AL41" s="62"/>
      <c r="AO41" s="334"/>
      <c r="AP41" s="347"/>
      <c r="AQ41" s="345"/>
      <c r="AR41" s="347"/>
      <c r="AS41" s="345"/>
      <c r="AT41" s="324"/>
      <c r="AW41" s="55"/>
      <c r="AX41" s="55"/>
      <c r="AY41" s="55"/>
      <c r="AZ41" s="55"/>
      <c r="BA41" s="55"/>
      <c r="BB41" s="55"/>
      <c r="BC41" s="55"/>
      <c r="BF41" s="55"/>
      <c r="BG41" s="55"/>
      <c r="BH41" s="55"/>
      <c r="BI41" s="55"/>
      <c r="BJ41" s="55"/>
      <c r="BK41" s="55"/>
      <c r="BL41" s="55"/>
      <c r="BO41" s="136"/>
      <c r="BP41" s="55"/>
      <c r="BQ41" s="55"/>
      <c r="BR41" s="230" t="str">
        <f>IF(BR40&lt;0,BR40,"")</f>
        <v/>
      </c>
      <c r="BS41" s="230" t="str">
        <f t="shared" ref="BS41:CE41" si="37">IF(BS40&lt;0,BS40,"")</f>
        <v/>
      </c>
      <c r="BT41" s="230" t="str">
        <f t="shared" si="37"/>
        <v/>
      </c>
      <c r="BU41" s="230" t="str">
        <f t="shared" si="37"/>
        <v/>
      </c>
      <c r="BV41" s="231" t="str">
        <f t="shared" si="37"/>
        <v/>
      </c>
      <c r="BW41" s="232" t="str">
        <f t="shared" si="37"/>
        <v/>
      </c>
      <c r="BX41" s="232" t="str">
        <f t="shared" si="37"/>
        <v/>
      </c>
      <c r="BY41" s="233" t="str">
        <f t="shared" si="37"/>
        <v/>
      </c>
      <c r="BZ41" s="230" t="str">
        <f t="shared" si="37"/>
        <v/>
      </c>
      <c r="CA41" s="230" t="str">
        <f t="shared" si="37"/>
        <v/>
      </c>
      <c r="CB41" s="230" t="str">
        <f t="shared" si="37"/>
        <v/>
      </c>
      <c r="CC41" s="230" t="str">
        <f t="shared" si="37"/>
        <v/>
      </c>
      <c r="CD41" s="230" t="str">
        <f t="shared" si="37"/>
        <v/>
      </c>
      <c r="CE41" s="234" t="str">
        <f t="shared" si="37"/>
        <v/>
      </c>
      <c r="CF41" s="253">
        <f>SUM(BR41:CE41)</f>
        <v>0</v>
      </c>
    </row>
    <row r="42" spans="2:84" ht="15" customHeight="1" thickBot="1" x14ac:dyDescent="0.3">
      <c r="B42" s="31"/>
      <c r="C42" s="309" t="str">
        <f>IF(ISBLANK('Données à saisir'!B9),"",('Données à saisir'!B9))</f>
        <v/>
      </c>
      <c r="D42" s="309"/>
      <c r="E42" s="309"/>
      <c r="F42" s="309"/>
      <c r="G42" s="309"/>
      <c r="H42" s="32"/>
      <c r="K42" s="49" t="str">
        <f>IF(ISBLANK('Données à saisir'!A59),"",'Données à saisir'!A59)</f>
        <v>Prêt n°2 (nom de la banque)</v>
      </c>
      <c r="L42" s="23"/>
      <c r="M42" s="23"/>
      <c r="N42" s="263" t="str">
        <f>IF(ISBLANK('Données à saisir'!C59),"",'Données à saisir'!C59)</f>
        <v/>
      </c>
      <c r="O42" s="105" t="str">
        <f>IF(ISBLANK('Données à saisir'!D59),"",'Données à saisir'!D59)</f>
        <v/>
      </c>
      <c r="P42" s="23"/>
      <c r="Q42" s="47">
        <f>IF(ISBLANK('Données à saisir'!B59),0,'Données à saisir'!B59)</f>
        <v>0</v>
      </c>
      <c r="T42" s="49" t="str">
        <f>K24</f>
        <v>Enseigne et éléments de communication</v>
      </c>
      <c r="U42" s="23"/>
      <c r="V42" s="23"/>
      <c r="W42" s="23"/>
      <c r="X42" s="124">
        <f>'Données à saisir'!C47</f>
        <v>4000</v>
      </c>
      <c r="Y42" s="124">
        <f>'Données à saisir'!D47</f>
        <v>4000</v>
      </c>
      <c r="Z42" s="267">
        <f>'Données à saisir'!E47</f>
        <v>4000</v>
      </c>
      <c r="AC42" s="54" t="s">
        <v>140</v>
      </c>
      <c r="AD42" s="58"/>
      <c r="AE42" s="58"/>
      <c r="AF42" s="58"/>
      <c r="AG42" s="69">
        <f>IF(ISERROR('Données à saisir'!B87+SUM('Données à saisir'!#REF!)),0,'Données à saisir'!B87+SUM('Données à saisir'!#REF!))</f>
        <v>0</v>
      </c>
      <c r="AH42" s="65">
        <f>'Données à saisir'!C87+SUM('Données à saisir'!I67:I69)</f>
        <v>15239.309143445134</v>
      </c>
      <c r="AI42" s="65">
        <f>'Données à saisir'!D87+SUM('Données à saisir'!J67:J69)</f>
        <v>51600</v>
      </c>
      <c r="AL42" s="75" t="s">
        <v>174</v>
      </c>
      <c r="AM42" s="76"/>
      <c r="AN42" s="76"/>
      <c r="AO42" s="296">
        <f>AO27</f>
        <v>-72400</v>
      </c>
      <c r="AP42" s="297"/>
      <c r="AQ42" s="296">
        <f>AQ27</f>
        <v>24956.587228071636</v>
      </c>
      <c r="AR42" s="297"/>
      <c r="AS42" s="296">
        <f>AS27</f>
        <v>84222</v>
      </c>
      <c r="AT42" s="348"/>
      <c r="AW42" s="187"/>
      <c r="AX42" s="187"/>
      <c r="AY42" s="55"/>
      <c r="AZ42" s="188"/>
      <c r="BA42" s="343"/>
      <c r="BB42" s="343"/>
      <c r="BC42" s="343"/>
      <c r="BF42" s="187"/>
      <c r="BG42" s="187"/>
      <c r="BH42" s="55"/>
      <c r="BI42" s="188"/>
      <c r="BJ42" s="62"/>
      <c r="BK42" s="62"/>
      <c r="BL42" s="62"/>
      <c r="BO42" s="159"/>
      <c r="BP42" s="60"/>
      <c r="BQ42" s="60"/>
      <c r="BR42" s="70"/>
      <c r="BS42" s="70"/>
      <c r="BT42" s="70"/>
      <c r="BU42" s="70"/>
      <c r="BV42" s="67"/>
      <c r="BY42" s="209"/>
      <c r="BZ42" s="70"/>
      <c r="CA42" s="70"/>
      <c r="CB42" s="70"/>
      <c r="CC42" s="70"/>
      <c r="CD42" s="70"/>
      <c r="CE42" s="142"/>
      <c r="CF42" s="213"/>
    </row>
    <row r="43" spans="2:84" ht="15" customHeight="1" x14ac:dyDescent="0.25">
      <c r="B43" s="31"/>
      <c r="C43" s="310" t="str">
        <f>IF(ISBLANK('Données à saisir'!B10),"",('Données à saisir'!B10))</f>
        <v/>
      </c>
      <c r="D43" s="310"/>
      <c r="E43" s="310"/>
      <c r="F43" s="310"/>
      <c r="G43" s="310"/>
      <c r="H43" s="32"/>
      <c r="K43" s="49" t="str">
        <f>IF(ISBLANK('Données à saisir'!A60),"",'Données à saisir'!A60)</f>
        <v>Prêt n°3 (nom de la banque)</v>
      </c>
      <c r="L43" s="23"/>
      <c r="M43" s="23"/>
      <c r="N43" s="263" t="str">
        <f>IF(ISBLANK('Données à saisir'!C60),"",'Données à saisir'!C60)</f>
        <v/>
      </c>
      <c r="O43" s="105" t="str">
        <f>IF(ISBLANK('Données à saisir'!D60),"",'Données à saisir'!D60)</f>
        <v/>
      </c>
      <c r="P43" s="23"/>
      <c r="Q43" s="47">
        <f>IF(ISBLANK('Données à saisir'!B60),0,'Données à saisir'!B60)</f>
        <v>0</v>
      </c>
      <c r="T43" s="49" t="str">
        <f>K25</f>
        <v>Achat immobilier</v>
      </c>
      <c r="U43" s="23"/>
      <c r="V43" s="23"/>
      <c r="W43" s="23"/>
      <c r="X43" s="124">
        <f>'Données à saisir'!C48</f>
        <v>0</v>
      </c>
      <c r="Y43" s="124">
        <f>'Données à saisir'!D48</f>
        <v>0</v>
      </c>
      <c r="Z43" s="267">
        <f>'Données à saisir'!E48</f>
        <v>0</v>
      </c>
      <c r="AC43" s="54" t="s">
        <v>93</v>
      </c>
      <c r="AD43" s="58"/>
      <c r="AE43" s="58"/>
      <c r="AF43" s="58"/>
      <c r="AG43" s="69">
        <f>'Données à saisir'!C39</f>
        <v>177400</v>
      </c>
      <c r="AH43" s="69">
        <f>'Données à saisir'!D39</f>
        <v>177400</v>
      </c>
      <c r="AI43" s="65">
        <f>'Données à saisir'!E39</f>
        <v>177400</v>
      </c>
      <c r="AL43" s="135" t="s">
        <v>175</v>
      </c>
      <c r="AM43" s="58"/>
      <c r="AN43" s="58"/>
      <c r="AO43" s="304">
        <f>AO22</f>
        <v>177400</v>
      </c>
      <c r="AP43" s="305"/>
      <c r="AQ43" s="304">
        <f>AQ22</f>
        <v>177400</v>
      </c>
      <c r="AR43" s="305"/>
      <c r="AS43" s="304">
        <f>AS22</f>
        <v>177400</v>
      </c>
      <c r="AT43" s="349"/>
      <c r="AW43" s="58"/>
      <c r="AX43" s="55"/>
      <c r="AY43" s="55"/>
      <c r="AZ43" s="55"/>
      <c r="BA43" s="343"/>
      <c r="BB43" s="343"/>
      <c r="BC43" s="343"/>
      <c r="BF43" s="58"/>
      <c r="BG43" s="55"/>
      <c r="BH43" s="55"/>
      <c r="BI43" s="55"/>
      <c r="BJ43" s="62"/>
      <c r="BK43" s="62"/>
      <c r="BL43" s="62"/>
      <c r="BO43" s="110"/>
      <c r="BP43" s="58"/>
      <c r="BQ43" s="58"/>
      <c r="BR43" s="107"/>
      <c r="BS43" s="107"/>
      <c r="BT43" s="107"/>
      <c r="BU43" s="107"/>
      <c r="BV43" s="107"/>
      <c r="CE43" s="98"/>
    </row>
    <row r="44" spans="2:84" ht="15" customHeight="1" x14ac:dyDescent="0.25">
      <c r="B44" s="31"/>
      <c r="C44" s="310" t="str">
        <f>IF(ISBLANK('Données à saisir'!B11),"",('Données à saisir'!B11))</f>
        <v/>
      </c>
      <c r="D44" s="310"/>
      <c r="E44" s="310"/>
      <c r="F44" s="310"/>
      <c r="G44" s="310"/>
      <c r="H44" s="32"/>
      <c r="K44" s="43" t="str">
        <f>IF(ISBLANK('Données à saisir'!A61),"",'Données à saisir'!A61)</f>
        <v>Subvention n°1 (libellé)</v>
      </c>
      <c r="L44" s="23"/>
      <c r="M44" s="23"/>
      <c r="N44" s="23"/>
      <c r="O44" s="23"/>
      <c r="P44" s="23"/>
      <c r="Q44" s="46">
        <f>IF(ISBLANK('Données à saisir'!B61),0,'Données à saisir'!B61)</f>
        <v>0</v>
      </c>
      <c r="T44" s="49" t="str">
        <f>K26</f>
        <v>Travaux et aménagements</v>
      </c>
      <c r="U44" s="23"/>
      <c r="V44" s="23"/>
      <c r="W44" s="23"/>
      <c r="X44" s="124">
        <f>'Données à saisir'!C49</f>
        <v>6000</v>
      </c>
      <c r="Y44" s="124">
        <f>'Données à saisir'!D49</f>
        <v>6000</v>
      </c>
      <c r="Z44" s="267">
        <f>'Données à saisir'!E49</f>
        <v>6000</v>
      </c>
      <c r="AC44" s="75" t="s">
        <v>137</v>
      </c>
      <c r="AD44" s="76"/>
      <c r="AE44" s="76"/>
      <c r="AF44" s="76"/>
      <c r="AG44" s="77">
        <f>AG41-AG42-AG43</f>
        <v>-72400</v>
      </c>
      <c r="AH44" s="77">
        <f t="shared" ref="AH44:AI44" si="38">AH41-AH42-AH43</f>
        <v>29360.690856554866</v>
      </c>
      <c r="AI44" s="78">
        <f t="shared" si="38"/>
        <v>115850</v>
      </c>
      <c r="AL44" s="75" t="s">
        <v>172</v>
      </c>
      <c r="AM44" s="76"/>
      <c r="AN44" s="76"/>
      <c r="AO44" s="296">
        <f>AO42+AO43</f>
        <v>105000</v>
      </c>
      <c r="AP44" s="297"/>
      <c r="AQ44" s="296">
        <f t="shared" ref="AQ44:AS44" si="39">AQ42+AQ43</f>
        <v>202356.58722807164</v>
      </c>
      <c r="AR44" s="297"/>
      <c r="AS44" s="139">
        <f t="shared" si="39"/>
        <v>261622</v>
      </c>
      <c r="AT44" s="78"/>
      <c r="AW44" s="189"/>
      <c r="AX44" s="55"/>
      <c r="AY44" s="55"/>
      <c r="AZ44" s="175"/>
      <c r="BA44" s="190"/>
      <c r="BB44" s="190"/>
      <c r="BC44" s="190"/>
      <c r="BF44" s="189"/>
      <c r="BG44" s="55"/>
      <c r="BH44" s="55"/>
      <c r="BI44" s="175"/>
      <c r="BJ44" s="190"/>
      <c r="BK44" s="190"/>
      <c r="BL44" s="190"/>
      <c r="BO44" s="58"/>
      <c r="BP44" s="55"/>
      <c r="BQ44" s="55"/>
      <c r="BR44" s="107"/>
      <c r="BS44" s="107"/>
      <c r="BT44" s="107"/>
      <c r="BU44" s="107"/>
      <c r="BV44" s="107"/>
      <c r="CE44" s="98"/>
    </row>
    <row r="45" spans="2:84" ht="15" customHeight="1" x14ac:dyDescent="0.25">
      <c r="B45" s="31"/>
      <c r="C45" s="23"/>
      <c r="D45" s="23"/>
      <c r="E45" s="23"/>
      <c r="F45" s="23"/>
      <c r="G45" s="23"/>
      <c r="H45" s="32"/>
      <c r="K45" s="43" t="str">
        <f>IF(ISBLANK('Données à saisir'!A62),"",'Données à saisir'!A62)</f>
        <v>Subvention n°2 (libellé)</v>
      </c>
      <c r="L45" s="23"/>
      <c r="M45" s="23"/>
      <c r="N45" s="23"/>
      <c r="O45" s="23"/>
      <c r="P45" s="23"/>
      <c r="Q45" s="46">
        <f>IF(ISBLANK('Données à saisir'!B62),0,'Données à saisir'!B62)</f>
        <v>0</v>
      </c>
      <c r="T45" s="49" t="str">
        <f>K27</f>
        <v>Matériel</v>
      </c>
      <c r="U45" s="23"/>
      <c r="V45" s="23"/>
      <c r="W45" s="23"/>
      <c r="X45" s="124">
        <f>'Données à saisir'!C50</f>
        <v>100000</v>
      </c>
      <c r="Y45" s="124">
        <f>'Données à saisir'!D50</f>
        <v>100000</v>
      </c>
      <c r="Z45" s="267">
        <f>'Données à saisir'!E50</f>
        <v>100000</v>
      </c>
      <c r="AC45" s="54" t="str">
        <f>IF(ISERROR(+IF((VLOOKUP('Données à saisir'!B8,'Données à saisir'!K11:L16,2,0))="IR","","Impôt sur les sociétés")),"",+IF((VLOOKUP('Données à saisir'!B8,'Données à saisir'!K11:L16,2,0))="IR","","Impôt sur les sociétés"))</f>
        <v>Impôt sur les sociétés</v>
      </c>
      <c r="AD45" s="55"/>
      <c r="AE45" s="55"/>
      <c r="AF45" s="55"/>
      <c r="AG45" s="69">
        <f>IF(AC45="Impôt sur les sociétés",IF(AG44&lt;0,0,IF(AG44&gt;38120,38120*0.15+(AG44-38120)/3,AG44*0.15)),"")</f>
        <v>0</v>
      </c>
      <c r="AH45" s="69">
        <f>IF(AC45="Impôt sur les sociétés",IF(AH44&lt;0,0,IF(AH44&gt;38120,38120*0.15+(AH44-38120)/3,AH44*0.15)),"")</f>
        <v>4404.1036284832298</v>
      </c>
      <c r="AI45" s="65">
        <f>+IF(AC45="Impôt sur les sociétés",IF(AI44&lt;0,0,IF(AI44&gt;38120,38120*0.15+(AI44-38120)/3,AI44*0.15)),"")</f>
        <v>31628</v>
      </c>
      <c r="AL45" s="136" t="s">
        <v>176</v>
      </c>
      <c r="AM45" s="55"/>
      <c r="AN45" s="55"/>
      <c r="AO45" s="298">
        <f>IF(ISERROR(SUM('Données à saisir'!K67:K69)),0,SUM('Données à saisir'!K67:K69))</f>
        <v>50000</v>
      </c>
      <c r="AP45" s="299"/>
      <c r="AQ45" s="298">
        <f>SUM('Données à saisir'!L67:L69)</f>
        <v>50000</v>
      </c>
      <c r="AR45" s="299"/>
      <c r="AS45" s="298">
        <f>SUM('Données à saisir'!M67:M69)</f>
        <v>0</v>
      </c>
      <c r="AT45" s="302"/>
      <c r="AW45" s="189"/>
      <c r="AX45" s="55"/>
      <c r="AY45" s="55"/>
      <c r="AZ45" s="175"/>
      <c r="BA45" s="190"/>
      <c r="BB45" s="190"/>
      <c r="BC45" s="190"/>
      <c r="BF45" s="189"/>
      <c r="BG45" s="55"/>
      <c r="BH45" s="55"/>
      <c r="BI45" s="175"/>
      <c r="BJ45" s="190"/>
      <c r="BK45" s="190"/>
      <c r="BL45" s="190"/>
      <c r="BO45" s="110"/>
      <c r="BP45" s="55"/>
      <c r="BQ45" s="55"/>
      <c r="BR45" s="107"/>
      <c r="BS45" s="107"/>
      <c r="BT45" s="107"/>
      <c r="BU45" s="107"/>
      <c r="BV45" s="107"/>
    </row>
    <row r="46" spans="2:84" ht="15" customHeight="1" x14ac:dyDescent="0.25">
      <c r="B46" s="31"/>
      <c r="C46" s="23"/>
      <c r="D46" s="23"/>
      <c r="E46" s="23"/>
      <c r="F46" s="23"/>
      <c r="G46" s="23"/>
      <c r="H46" s="32"/>
      <c r="K46" s="43" t="str">
        <f>IF(ISBLANK('Données à saisir'!A63),"",'Données à saisir'!A63)</f>
        <v>Autre financement (libellé)</v>
      </c>
      <c r="L46" s="23"/>
      <c r="M46" s="23"/>
      <c r="N46" s="23"/>
      <c r="O46" s="23"/>
      <c r="P46" s="23"/>
      <c r="Q46" s="46" t="str">
        <f>IF(ISBLANK('Données à saisir'!B63),"",'Données à saisir'!B63)</f>
        <v/>
      </c>
      <c r="T46" s="49" t="str">
        <f>K28</f>
        <v>Matériel de bureau</v>
      </c>
      <c r="U46" s="23"/>
      <c r="V46" s="23"/>
      <c r="W46" s="23"/>
      <c r="X46" s="124">
        <f>'Données à saisir'!C51</f>
        <v>60000</v>
      </c>
      <c r="Y46" s="124">
        <f>'Données à saisir'!D51</f>
        <v>60000</v>
      </c>
      <c r="Z46" s="267">
        <f>'Données à saisir'!E51</f>
        <v>60000</v>
      </c>
      <c r="AC46" s="57"/>
      <c r="AD46" s="55"/>
      <c r="AE46" s="55"/>
      <c r="AF46" s="55"/>
      <c r="AG46" s="68"/>
      <c r="AH46" s="68"/>
      <c r="AI46" s="65"/>
      <c r="AL46" s="133" t="s">
        <v>177</v>
      </c>
      <c r="AM46" s="134"/>
      <c r="AN46" s="134"/>
      <c r="AO46" s="300">
        <f>AO44-AO45</f>
        <v>55000</v>
      </c>
      <c r="AP46" s="301"/>
      <c r="AQ46" s="300">
        <f>AQ44-AQ45</f>
        <v>152356.58722807164</v>
      </c>
      <c r="AR46" s="301"/>
      <c r="AS46" s="300">
        <f>AS44-AS45</f>
        <v>261622</v>
      </c>
      <c r="AT46" s="303"/>
      <c r="AW46" s="192"/>
      <c r="AX46" s="193"/>
      <c r="AY46" s="55"/>
      <c r="AZ46" s="193"/>
      <c r="BA46" s="194"/>
      <c r="BB46" s="194"/>
      <c r="BC46" s="194"/>
      <c r="BF46" s="192"/>
      <c r="BG46" s="193"/>
      <c r="BH46" s="55"/>
      <c r="BI46" s="193"/>
      <c r="BJ46" s="194"/>
      <c r="BK46" s="194"/>
      <c r="BL46" s="194"/>
      <c r="BO46" s="111"/>
      <c r="BP46" s="55"/>
      <c r="BQ46" s="55"/>
      <c r="BR46" s="138"/>
      <c r="BS46" s="138"/>
      <c r="BT46" s="138"/>
      <c r="BU46" s="138"/>
      <c r="BV46" s="107"/>
    </row>
    <row r="47" spans="2:84" ht="15" customHeight="1" x14ac:dyDescent="0.25">
      <c r="B47" s="31"/>
      <c r="C47" s="306">
        <f ca="1">TODAY()</f>
        <v>43448</v>
      </c>
      <c r="D47" s="307"/>
      <c r="E47" s="307"/>
      <c r="F47" s="307"/>
      <c r="G47" s="307"/>
      <c r="H47" s="32"/>
      <c r="K47" s="40"/>
      <c r="Q47" s="53"/>
      <c r="T47" s="116"/>
      <c r="U47" s="41"/>
      <c r="V47" s="41"/>
      <c r="W47" s="41"/>
      <c r="X47" s="269"/>
      <c r="Y47" s="269"/>
      <c r="Z47" s="270"/>
      <c r="AC47" s="75" t="s">
        <v>270</v>
      </c>
      <c r="AD47" s="76"/>
      <c r="AE47" s="76"/>
      <c r="AF47" s="76"/>
      <c r="AG47" s="77">
        <f>AG44-SUM(AG45)</f>
        <v>-72400</v>
      </c>
      <c r="AH47" s="77">
        <f t="shared" ref="AH47:AI47" si="40">AH44-SUM(AH45)</f>
        <v>24956.587228071636</v>
      </c>
      <c r="AI47" s="78">
        <f t="shared" si="40"/>
        <v>84222</v>
      </c>
      <c r="AW47" s="55"/>
      <c r="AX47" s="55"/>
      <c r="AY47" s="55"/>
      <c r="AZ47" s="55"/>
      <c r="BA47" s="55"/>
      <c r="BB47" s="55"/>
      <c r="BC47" s="55"/>
      <c r="BO47" s="58"/>
      <c r="BP47" s="55"/>
      <c r="BQ47" s="55"/>
      <c r="BR47" s="107"/>
      <c r="BS47" s="107"/>
      <c r="BT47" s="107"/>
      <c r="BU47" s="107"/>
      <c r="BV47" s="107"/>
    </row>
    <row r="48" spans="2:84" ht="15" customHeight="1" thickBot="1" x14ac:dyDescent="0.3">
      <c r="B48" s="33"/>
      <c r="C48" s="34"/>
      <c r="D48" s="34"/>
      <c r="E48" s="34"/>
      <c r="F48" s="34"/>
      <c r="G48" s="34"/>
      <c r="H48" s="35"/>
      <c r="K48" s="51"/>
      <c r="L48" s="41"/>
      <c r="M48" s="41"/>
      <c r="N48" s="41"/>
      <c r="O48" s="52" t="s">
        <v>83</v>
      </c>
      <c r="P48" s="41"/>
      <c r="Q48" s="50">
        <f>SUM(Q37,Q40,Q44:Q46)</f>
        <v>952000</v>
      </c>
      <c r="T48" s="120" t="s">
        <v>163</v>
      </c>
      <c r="U48" s="119"/>
      <c r="V48" s="119"/>
      <c r="W48" s="119"/>
      <c r="X48" s="123">
        <f>SUM(X31,X40)</f>
        <v>177400</v>
      </c>
      <c r="Y48" s="123">
        <f>SUM(Y31,Y40)</f>
        <v>177400</v>
      </c>
      <c r="Z48" s="128">
        <f>SUM(Z31,Z40)</f>
        <v>177400</v>
      </c>
      <c r="AC48" s="59"/>
      <c r="AD48" s="60"/>
      <c r="AE48" s="60"/>
      <c r="AF48" s="60"/>
      <c r="AG48" s="70"/>
      <c r="AH48" s="71"/>
      <c r="AI48" s="67"/>
      <c r="BO48" s="111"/>
      <c r="BP48" s="55"/>
      <c r="BQ48" s="55"/>
      <c r="BR48" s="107"/>
      <c r="BS48" s="107"/>
      <c r="BT48" s="107"/>
      <c r="BU48" s="138"/>
      <c r="BV48" s="107"/>
    </row>
    <row r="49" spans="2:84" s="4" customFormat="1" ht="26.25" customHeight="1" thickTop="1" x14ac:dyDescent="0.25">
      <c r="B49" s="219"/>
      <c r="H49" s="4">
        <v>1</v>
      </c>
      <c r="K49" s="219"/>
      <c r="Q49" s="4">
        <v>2</v>
      </c>
      <c r="T49" s="219"/>
      <c r="Z49" s="4">
        <v>3</v>
      </c>
      <c r="AB49" s="219"/>
      <c r="AC49" s="219"/>
      <c r="AI49" s="4">
        <v>4</v>
      </c>
      <c r="AL49" s="219"/>
      <c r="AT49" s="4">
        <v>5</v>
      </c>
      <c r="AW49" s="219"/>
      <c r="BC49" s="4">
        <v>6</v>
      </c>
      <c r="BF49" s="219"/>
      <c r="BL49" s="4">
        <v>7</v>
      </c>
      <c r="BO49" s="219"/>
      <c r="BV49" s="4">
        <v>8</v>
      </c>
      <c r="BY49" s="219"/>
      <c r="CF49" s="4">
        <v>9</v>
      </c>
    </row>
    <row r="51" spans="2:84" ht="15" customHeight="1" x14ac:dyDescent="0.25">
      <c r="X51" s="98"/>
      <c r="AG51" s="98"/>
      <c r="AO51" s="98"/>
      <c r="AP51" s="98"/>
      <c r="BA51" s="98"/>
      <c r="BJ51" s="98"/>
      <c r="BS51" s="205"/>
      <c r="BT51" s="205"/>
    </row>
    <row r="52" spans="2:84" ht="15" hidden="1" customHeight="1" x14ac:dyDescent="0.25">
      <c r="X52" s="98"/>
      <c r="Y52" s="98"/>
      <c r="Z52" s="98"/>
      <c r="AC52" t="s">
        <v>122</v>
      </c>
      <c r="AG52" s="98">
        <f>AG35-SUM(AG36:AG38,AG42:AG43)</f>
        <v>662600</v>
      </c>
      <c r="AH52" s="98">
        <f>AH35-SUM(AH36:AH38,AH42:AH43)</f>
        <v>764360.69085655478</v>
      </c>
      <c r="AI52" s="98">
        <f>AI35-SUM(AI36:AI38,AI42:AI43)</f>
        <v>850850</v>
      </c>
      <c r="AO52" s="98"/>
      <c r="AP52" s="98"/>
      <c r="AQ52" s="98"/>
      <c r="AR52" s="98"/>
      <c r="AS52" s="98"/>
      <c r="AT52" s="98"/>
      <c r="BA52" s="98"/>
      <c r="BB52" s="98"/>
      <c r="BC52" s="98"/>
      <c r="BJ52" s="98"/>
      <c r="BK52" s="98"/>
      <c r="BL52" s="98"/>
      <c r="BS52" s="205"/>
      <c r="BT52" s="205"/>
      <c r="BU52" s="205"/>
      <c r="BV52" s="205"/>
    </row>
    <row r="53" spans="2:84" ht="15" customHeight="1" x14ac:dyDescent="0.25">
      <c r="AI53" s="98"/>
    </row>
    <row r="54" spans="2:84" ht="15" customHeight="1" x14ac:dyDescent="0.25">
      <c r="AG54" s="98"/>
    </row>
    <row r="55" spans="2:84" ht="15" customHeight="1" x14ac:dyDescent="0.25">
      <c r="AG55" s="98"/>
    </row>
  </sheetData>
  <sheetProtection pivotTables="0"/>
  <mergeCells count="75">
    <mergeCell ref="BY2:CF4"/>
    <mergeCell ref="BR13:BR14"/>
    <mergeCell ref="BS13:BS14"/>
    <mergeCell ref="BT13:BT14"/>
    <mergeCell ref="BU13:BU14"/>
    <mergeCell ref="BV13:BV14"/>
    <mergeCell ref="BY13:BY14"/>
    <mergeCell ref="BZ13:BZ14"/>
    <mergeCell ref="CA13:CA14"/>
    <mergeCell ref="CB13:CB14"/>
    <mergeCell ref="CC13:CC14"/>
    <mergeCell ref="CD13:CD14"/>
    <mergeCell ref="CE13:CE14"/>
    <mergeCell ref="CF13:CF14"/>
    <mergeCell ref="BO2:BV4"/>
    <mergeCell ref="BC42:BC43"/>
    <mergeCell ref="BF2:BL4"/>
    <mergeCell ref="BJ12:BJ13"/>
    <mergeCell ref="BK12:BK13"/>
    <mergeCell ref="BL12:BL13"/>
    <mergeCell ref="AW2:BC4"/>
    <mergeCell ref="AW29:BC31"/>
    <mergeCell ref="BA9:BA10"/>
    <mergeCell ref="BB9:BB10"/>
    <mergeCell ref="BC9:BC10"/>
    <mergeCell ref="BA34:BA35"/>
    <mergeCell ref="BB34:BB35"/>
    <mergeCell ref="BC34:BC35"/>
    <mergeCell ref="BA42:BA43"/>
    <mergeCell ref="BB42:BB43"/>
    <mergeCell ref="AS40:AT41"/>
    <mergeCell ref="AQ40:AR41"/>
    <mergeCell ref="AO40:AP41"/>
    <mergeCell ref="AS42:AT42"/>
    <mergeCell ref="AS43:AT43"/>
    <mergeCell ref="AO42:AP42"/>
    <mergeCell ref="AO43:AP43"/>
    <mergeCell ref="AT11:AT12"/>
    <mergeCell ref="AL2:AT4"/>
    <mergeCell ref="AL34:AT36"/>
    <mergeCell ref="AP11:AP12"/>
    <mergeCell ref="AR11:AR12"/>
    <mergeCell ref="AO11:AO12"/>
    <mergeCell ref="AQ11:AQ12"/>
    <mergeCell ref="AS11:AS12"/>
    <mergeCell ref="B14:H20"/>
    <mergeCell ref="T2:Z4"/>
    <mergeCell ref="AI8:AI9"/>
    <mergeCell ref="Q34:Q35"/>
    <mergeCell ref="K34:P35"/>
    <mergeCell ref="AC2:AI4"/>
    <mergeCell ref="AG8:AG9"/>
    <mergeCell ref="AH8:AH9"/>
    <mergeCell ref="T25:Z27"/>
    <mergeCell ref="E6:G7"/>
    <mergeCell ref="K2:Q4"/>
    <mergeCell ref="K9:P10"/>
    <mergeCell ref="Q9:Q10"/>
    <mergeCell ref="C23:G25"/>
    <mergeCell ref="C28:G32"/>
    <mergeCell ref="C47:G47"/>
    <mergeCell ref="C33:G35"/>
    <mergeCell ref="C42:G42"/>
    <mergeCell ref="C44:G44"/>
    <mergeCell ref="C43:G43"/>
    <mergeCell ref="AQ42:AR42"/>
    <mergeCell ref="AQ43:AR43"/>
    <mergeCell ref="AQ44:AR44"/>
    <mergeCell ref="AQ45:AR45"/>
    <mergeCell ref="AQ46:AR46"/>
    <mergeCell ref="AO44:AP44"/>
    <mergeCell ref="AO45:AP45"/>
    <mergeCell ref="AO46:AP46"/>
    <mergeCell ref="AS45:AT45"/>
    <mergeCell ref="AS46:AT46"/>
  </mergeCells>
  <printOptions horizontalCentered="1" verticalCentered="1"/>
  <pageMargins left="0" right="0" top="0" bottom="0" header="0.31496062992125984" footer="0.31496062992125984"/>
  <pageSetup paperSize="9" scale="93" fitToWidth="9" orientation="portrait" r:id="rId1"/>
  <colBreaks count="8" manualBreakCount="8">
    <brk id="9" max="48" man="1"/>
    <brk id="18" max="48" man="1"/>
    <brk id="27" max="48" man="1"/>
    <brk id="36" max="48" man="1"/>
    <brk id="47" max="48" man="1"/>
    <brk id="56" max="48" man="1"/>
    <brk id="65" max="48" man="1"/>
    <brk id="75" max="4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Données à saisir</vt:lpstr>
      <vt:lpstr>Plan financier à imprimer</vt:lpstr>
      <vt:lpstr>'Plan financier à imprimer'!Zone_d_impression</vt:lpstr>
    </vt:vector>
  </TitlesOfParts>
  <Company>TIPSO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hp</cp:lastModifiedBy>
  <cp:lastPrinted>2017-08-06T15:03:14Z</cp:lastPrinted>
  <dcterms:created xsi:type="dcterms:W3CDTF">2016-07-10T11:43:10Z</dcterms:created>
  <dcterms:modified xsi:type="dcterms:W3CDTF">2018-12-14T15:57:41Z</dcterms:modified>
</cp:coreProperties>
</file>