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jmccarty/GitHub/CityEnergyAnalyst/cea/databases/CH/components/"/>
    </mc:Choice>
  </mc:AlternateContent>
  <xr:revisionPtr revIDLastSave="0" documentId="13_ncr:1_{09246AEF-7C64-4D45-859E-31CFA4B126CE}" xr6:coauthVersionLast="47" xr6:coauthVersionMax="47" xr10:uidLastSave="{00000000-0000-0000-0000-000000000000}"/>
  <bookViews>
    <workbookView xWindow="0" yWindow="500" windowWidth="22620" windowHeight="13500" tabRatio="993" xr2:uid="{00000000-000D-0000-FFFF-FFFF00000000}"/>
  </bookViews>
  <sheets>
    <sheet name="PHOTOVOLTAIC_PANELS" sheetId="1" r:id="rId1"/>
    <sheet name="SOLAR_THERMAL_PANELS" sheetId="2" r:id="rId2"/>
    <sheet name="PHOTOVOLTAIC_THERMAL_PANELS" sheetId="3" r:id="rId3"/>
    <sheet name="BOILERS" sheetId="4" r:id="rId4"/>
    <sheet name="COGENERATION_PLANTS" sheetId="5" r:id="rId5"/>
    <sheet name="HEAT_EXCHANGERS" sheetId="11" r:id="rId6"/>
    <sheet name="VAPOR_COMPRESSION_CHILLERS" sheetId="8" r:id="rId7"/>
    <sheet name="ABSORPTION_CHILLERS" sheetId="9" r:id="rId8"/>
    <sheet name="COOLING_TOWERS" sheetId="10" r:id="rId9"/>
    <sheet name="FUEL_CELLS" sheetId="20" r:id="rId10"/>
    <sheet name="UNITARY_AIR_CONDITIONERS" sheetId="16" r:id="rId11"/>
    <sheet name="HEAT_PUMPS" sheetId="13" r:id="rId12"/>
    <sheet name="THERMAL_ENERGY_STORAGES" sheetId="14" r:id="rId13"/>
    <sheet name="POWER_TRANSFORMERS" sheetId="17" r:id="rId14"/>
    <sheet name="HYDRAULIC_PUMPS" sheetId="15" r:id="rId15"/>
    <sheet name="BORE_HOLES" sheetId="12" r:id="rId16"/>
  </sheets>
  <definedNames>
    <definedName name="__xlfn_AGGREGATE">#N/A</definedName>
    <definedName name="__xlfn_STDEV_S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5" i="1" l="1"/>
  <c r="T4" i="1"/>
  <c r="H2" i="20" l="1"/>
  <c r="H3" i="20"/>
  <c r="O4" i="17"/>
  <c r="N4" i="17"/>
  <c r="N3" i="17"/>
  <c r="O2" i="17"/>
  <c r="N2" i="17"/>
  <c r="O11" i="13" l="1"/>
  <c r="O10" i="13"/>
  <c r="O9" i="13"/>
  <c r="O8" i="13"/>
  <c r="O7" i="13"/>
  <c r="O2" i="13" l="1"/>
  <c r="R6" i="13"/>
  <c r="O6" i="13"/>
  <c r="R5" i="13"/>
  <c r="O5" i="13"/>
  <c r="R4" i="13"/>
  <c r="O4" i="13"/>
  <c r="N10" i="4" l="1"/>
  <c r="M10" i="4"/>
  <c r="N9" i="4"/>
  <c r="M9" i="4"/>
  <c r="N8" i="4"/>
  <c r="M8" i="4"/>
  <c r="N7" i="4"/>
  <c r="M7" i="4"/>
  <c r="N6" i="4"/>
  <c r="M6" i="4"/>
  <c r="N5" i="4"/>
  <c r="M5" i="4"/>
  <c r="N6" i="8" l="1"/>
  <c r="M6" i="8"/>
  <c r="N5" i="8"/>
  <c r="M5" i="8"/>
  <c r="N4" i="8"/>
  <c r="M4" i="8"/>
  <c r="O11" i="5" l="1"/>
  <c r="L3" i="14" l="1"/>
  <c r="I3" i="14"/>
  <c r="L2" i="14"/>
  <c r="I2" i="14"/>
  <c r="M4" i="11" l="1"/>
  <c r="L4" i="11"/>
  <c r="L3" i="11"/>
  <c r="M2" i="11"/>
  <c r="L2" i="11"/>
  <c r="H2" i="12"/>
  <c r="M2" i="4"/>
  <c r="N2" i="4"/>
  <c r="M3" i="4"/>
  <c r="N3" i="4"/>
  <c r="M4" i="4"/>
  <c r="N4" i="4"/>
  <c r="M3" i="8"/>
  <c r="N3" i="8"/>
  <c r="O3" i="13"/>
  <c r="R7" i="13"/>
  <c r="H2" i="15"/>
  <c r="H3" i="15"/>
  <c r="H4" i="15"/>
  <c r="H5" i="15"/>
  <c r="H2" i="3"/>
  <c r="Q2" i="2"/>
  <c r="R2" i="2"/>
  <c r="S2" i="2"/>
  <c r="Z2" i="2"/>
  <c r="Q3" i="2"/>
  <c r="R3" i="2"/>
  <c r="S3" i="2"/>
  <c r="Z3" i="2"/>
</calcChain>
</file>

<file path=xl/sharedStrings.xml><?xml version="1.0" encoding="utf-8"?>
<sst xmlns="http://schemas.openxmlformats.org/spreadsheetml/2006/main" count="895" uniqueCount="251">
  <si>
    <t>Description</t>
  </si>
  <si>
    <t>code</t>
  </si>
  <si>
    <t>type</t>
  </si>
  <si>
    <t>cap_min</t>
  </si>
  <si>
    <t>cap_max</t>
  </si>
  <si>
    <t>unit</t>
  </si>
  <si>
    <t>module_length_m</t>
  </si>
  <si>
    <t>PV_th</t>
  </si>
  <si>
    <t>PV_n</t>
  </si>
  <si>
    <t>PV_noct</t>
  </si>
  <si>
    <t>PV_Bref</t>
  </si>
  <si>
    <t>PV_a0</t>
  </si>
  <si>
    <t>PV_a1</t>
  </si>
  <si>
    <t>PV_a2</t>
  </si>
  <si>
    <t>PV_a3</t>
  </si>
  <si>
    <t>PV_a4</t>
  </si>
  <si>
    <t>misc_losses</t>
  </si>
  <si>
    <t>currency</t>
  </si>
  <si>
    <t>a</t>
  </si>
  <si>
    <t>b</t>
  </si>
  <si>
    <t>c</t>
  </si>
  <si>
    <t>d</t>
  </si>
  <si>
    <t>e</t>
  </si>
  <si>
    <t>LT_yr</t>
  </si>
  <si>
    <t>O&amp;M_%</t>
  </si>
  <si>
    <t>IR_%</t>
  </si>
  <si>
    <t>assumption</t>
  </si>
  <si>
    <t>PV1</t>
  </si>
  <si>
    <t>PV</t>
  </si>
  <si>
    <t>W</t>
  </si>
  <si>
    <t>USD-2015</t>
  </si>
  <si>
    <t>PV2</t>
  </si>
  <si>
    <t>PV3</t>
  </si>
  <si>
    <t>module_area_m2</t>
  </si>
  <si>
    <t>aperture_area_ratio</t>
  </si>
  <si>
    <t>n0</t>
  </si>
  <si>
    <t>c1</t>
  </si>
  <si>
    <t>c2</t>
  </si>
  <si>
    <t>mB0_r</t>
  </si>
  <si>
    <t>mB_max_r</t>
  </si>
  <si>
    <t>mB_min_r</t>
  </si>
  <si>
    <t>C_eff</t>
  </si>
  <si>
    <t>t_max</t>
  </si>
  <si>
    <t>IAM_d</t>
  </si>
  <si>
    <t>dP1</t>
  </si>
  <si>
    <t>dP2</t>
  </si>
  <si>
    <t>dP3</t>
  </si>
  <si>
    <t>dP4</t>
  </si>
  <si>
    <t>Cp_fluid</t>
  </si>
  <si>
    <t>flat plate</t>
  </si>
  <si>
    <t>SC1</t>
  </si>
  <si>
    <t>FP</t>
  </si>
  <si>
    <t>m2</t>
  </si>
  <si>
    <t>evacuated tube</t>
  </si>
  <si>
    <t>SC2</t>
  </si>
  <si>
    <t>ET</t>
  </si>
  <si>
    <t>generic PVT</t>
  </si>
  <si>
    <t>PVT1</t>
  </si>
  <si>
    <t>BO1</t>
  </si>
  <si>
    <t>CCGT1</t>
  </si>
  <si>
    <t>CH1</t>
  </si>
  <si>
    <t>CH2</t>
  </si>
  <si>
    <t>s_e</t>
  </si>
  <si>
    <t>r_e</t>
  </si>
  <si>
    <t>s_g</t>
  </si>
  <si>
    <t>r_g</t>
  </si>
  <si>
    <t>a_e</t>
  </si>
  <si>
    <t>e_e</t>
  </si>
  <si>
    <t>a_g</t>
  </si>
  <si>
    <t>e_g</t>
  </si>
  <si>
    <t>m_cw</t>
  </si>
  <si>
    <t>m_hw</t>
  </si>
  <si>
    <t>ACH1</t>
  </si>
  <si>
    <t>single</t>
  </si>
  <si>
    <t>ACH2</t>
  </si>
  <si>
    <t>ACH3</t>
  </si>
  <si>
    <t>double</t>
  </si>
  <si>
    <t>triple</t>
  </si>
  <si>
    <t>centralized cooling tower</t>
  </si>
  <si>
    <t>CT1</t>
  </si>
  <si>
    <t>all</t>
  </si>
  <si>
    <t>substation heat exchanger</t>
  </si>
  <si>
    <t>HEX1</t>
  </si>
  <si>
    <t>borehole</t>
  </si>
  <si>
    <t>BH1</t>
  </si>
  <si>
    <t>HP1</t>
  </si>
  <si>
    <t>HP2</t>
  </si>
  <si>
    <t xml:space="preserve">unit </t>
  </si>
  <si>
    <t>long-term storage tank</t>
  </si>
  <si>
    <t>TES1</t>
  </si>
  <si>
    <t>m3</t>
  </si>
  <si>
    <t>cap_min, cap_max</t>
  </si>
  <si>
    <t>TES2</t>
  </si>
  <si>
    <t>generic pump</t>
  </si>
  <si>
    <t>PU1</t>
  </si>
  <si>
    <t xml:space="preserve">Fit based on RESCUE WP 2.4. Figure 18 </t>
  </si>
  <si>
    <t>LT_mat_yr</t>
  </si>
  <si>
    <t>C_mat_%</t>
  </si>
  <si>
    <t>T_PHCH_C</t>
  </si>
  <si>
    <t>T_min_C</t>
  </si>
  <si>
    <t>T_max_C</t>
  </si>
  <si>
    <t>HL_kJkg</t>
  </si>
  <si>
    <t>Rho_T_PHCH_kgm3</t>
  </si>
  <si>
    <t>Cp_kJkgK</t>
  </si>
  <si>
    <t>n_ch</t>
  </si>
  <si>
    <t>n_disch</t>
  </si>
  <si>
    <t>HEATING</t>
  </si>
  <si>
    <t>short-term storage tank - water</t>
  </si>
  <si>
    <t>COOLING</t>
  </si>
  <si>
    <t>kWh</t>
  </si>
  <si>
    <t>short-term storage tank- ice</t>
  </si>
  <si>
    <t>TES3</t>
  </si>
  <si>
    <t>short-term storage tank - eutectic salt</t>
  </si>
  <si>
    <t>TES4</t>
  </si>
  <si>
    <t>short-term storage tank - PEG400</t>
  </si>
  <si>
    <t>TES5</t>
  </si>
  <si>
    <t>short-term storage tank - Paraffin C14</t>
  </si>
  <si>
    <t>TES6</t>
  </si>
  <si>
    <t>min_eff_rating</t>
  </si>
  <si>
    <t>water-centrifugal</t>
  </si>
  <si>
    <t>water-reciprocating</t>
  </si>
  <si>
    <t xml:space="preserve"> electrically operated positive displacement, water cooled</t>
  </si>
  <si>
    <t>electrically operated centrifugal, water cooled</t>
  </si>
  <si>
    <t>reference</t>
  </si>
  <si>
    <t>ASHRAE 90.1/2019 - minimum efficiency rating at full load</t>
  </si>
  <si>
    <t>T_evap_design</t>
  </si>
  <si>
    <t>T_cond_design</t>
  </si>
  <si>
    <t>V_power_supply</t>
  </si>
  <si>
    <t>T_gen_design</t>
  </si>
  <si>
    <t>LiBr single effect - indirect</t>
  </si>
  <si>
    <t>LiBr double effect (dummy)  - indirect</t>
  </si>
  <si>
    <t>LiBr double effect - indirect</t>
  </si>
  <si>
    <t>LiBr triple effect - indirect</t>
  </si>
  <si>
    <t>aux_power</t>
  </si>
  <si>
    <t>T_water_in_design</t>
  </si>
  <si>
    <t>T_air_in_design</t>
  </si>
  <si>
    <t>T_water_out_design</t>
  </si>
  <si>
    <t>open-circuit</t>
  </si>
  <si>
    <t>closed-circuit</t>
  </si>
  <si>
    <t>ASHRAE 90.1/2019 - auxilary power demand (i.e. performance requirement, converted)</t>
  </si>
  <si>
    <t>T_air_indoor_rating</t>
  </si>
  <si>
    <t>T_air_outdoor_rating</t>
  </si>
  <si>
    <t>ASHRAE 90.1/2019 - minimum efficiency rating, AHRI 210/240 (2023) temperature rating - application rating conditions</t>
  </si>
  <si>
    <t>air conditioner, split-system, air cooled</t>
  </si>
  <si>
    <t>AC1</t>
  </si>
  <si>
    <t>AC2</t>
  </si>
  <si>
    <t>air conditioner, split-system, air cooled, ducted</t>
  </si>
  <si>
    <t>mini-split</t>
  </si>
  <si>
    <t>mini-split, ducted</t>
  </si>
  <si>
    <t>rated_COP_seasonal</t>
  </si>
  <si>
    <t>T_water_in_rating</t>
  </si>
  <si>
    <t>T_water_out_rating</t>
  </si>
  <si>
    <t>CT2</t>
  </si>
  <si>
    <t>BO2</t>
  </si>
  <si>
    <t>ASHRAE 90.1/2019 - minimum efficiency rating, 10 CFR Appendix A - boiler testing temperatures</t>
  </si>
  <si>
    <t>oil</t>
  </si>
  <si>
    <t>gas</t>
  </si>
  <si>
    <t>gas-cond</t>
  </si>
  <si>
    <t>T_flue_gas_design</t>
  </si>
  <si>
    <t>fuel_code</t>
  </si>
  <si>
    <t>Cgas</t>
  </si>
  <si>
    <t>Coil</t>
  </si>
  <si>
    <t>conventional natural gas boiler</t>
  </si>
  <si>
    <t>condensing natural gas boiler</t>
  </si>
  <si>
    <t>conventional oil boiler</t>
  </si>
  <si>
    <t>OEHR1</t>
  </si>
  <si>
    <t>engine</t>
  </si>
  <si>
    <t>turbine</t>
  </si>
  <si>
    <t>furnace</t>
  </si>
  <si>
    <t>temperatures and cost</t>
  </si>
  <si>
    <t>elec_eff_design</t>
  </si>
  <si>
    <t>therm_eff_design</t>
  </si>
  <si>
    <t>OEHR2</t>
  </si>
  <si>
    <t>Cbig</t>
  </si>
  <si>
    <t>biogas powered otto engine with heat recovery</t>
  </si>
  <si>
    <t>natural powered otto engine with heat recovery</t>
  </si>
  <si>
    <t>grouppo AB Ecomax catalogue 2022, US EIA Capital Cost for Capital Cost and Performance Characteristic Estimates for Utility Scale Electric Power Generating Technologies 2020</t>
  </si>
  <si>
    <t>https://doi.org/10.1016/B978-0-08-100510-1.00015-6</t>
  </si>
  <si>
    <t>Cwbm</t>
  </si>
  <si>
    <t>biomass furnace combined with ORC</t>
  </si>
  <si>
    <t>oil furnace combined with ORC</t>
  </si>
  <si>
    <t>Mitsubishi Gas Trubine  Combined Cycle Catalogue 2022</t>
  </si>
  <si>
    <t>combined cycle gas turbine with heat recovery</t>
  </si>
  <si>
    <t>V_power_out_design</t>
  </si>
  <si>
    <t>bio-engine</t>
  </si>
  <si>
    <t>counter-flow, plate</t>
  </si>
  <si>
    <t>T_max_operating</t>
  </si>
  <si>
    <t>medium_in</t>
  </si>
  <si>
    <t>medium_out</t>
  </si>
  <si>
    <t>water</t>
  </si>
  <si>
    <t>T_min_operating</t>
  </si>
  <si>
    <t>geothermal</t>
  </si>
  <si>
    <t>HP3</t>
  </si>
  <si>
    <t>air-water heat pump</t>
  </si>
  <si>
    <t>ASHRAE 90.1/2019 - AHRI 1230/2021</t>
  </si>
  <si>
    <t>water-source heat pump</t>
  </si>
  <si>
    <t>geothermal heat pump - closed loop</t>
  </si>
  <si>
    <t>cost</t>
  </si>
  <si>
    <t>ASHRAE 90.1/2019 - AHRI 210.240/2023</t>
  </si>
  <si>
    <t>medium_evap_side</t>
  </si>
  <si>
    <t>medium_cond_side</t>
  </si>
  <si>
    <t>brine</t>
  </si>
  <si>
    <t>air</t>
  </si>
  <si>
    <t>min_eff_rating_seasonal</t>
  </si>
  <si>
    <t>water-source</t>
  </si>
  <si>
    <t>air-source</t>
  </si>
  <si>
    <t>TR1</t>
  </si>
  <si>
    <t>VA</t>
  </si>
  <si>
    <t>TR2</t>
  </si>
  <si>
    <t>TR3</t>
  </si>
  <si>
    <t>large interconnection transformer</t>
  </si>
  <si>
    <t>small interconnection transformer</t>
  </si>
  <si>
    <t>medium interconnection transformer</t>
  </si>
  <si>
    <t>small power  transformer</t>
  </si>
  <si>
    <t>medium power  transformer</t>
  </si>
  <si>
    <t>large power transformer</t>
  </si>
  <si>
    <t>AC</t>
  </si>
  <si>
    <t>V_max_lowV_side</t>
  </si>
  <si>
    <t>V_max_highV_side</t>
  </si>
  <si>
    <t>V_min_highV_side</t>
  </si>
  <si>
    <t>V_min_lowV_side</t>
  </si>
  <si>
    <t>current_form_lowV</t>
  </si>
  <si>
    <t>current_form_highV</t>
  </si>
  <si>
    <t>EN 50588-1, 2017</t>
  </si>
  <si>
    <t>https://www.linquip.com/blog/efficiency-of-heat-exchanger/; Danfoss - Ultra efficient braze heat exhangers for your district energy applications</t>
  </si>
  <si>
    <t>BO3</t>
  </si>
  <si>
    <t>FU2</t>
  </si>
  <si>
    <t>FU1</t>
  </si>
  <si>
    <t>G_VALUE</t>
  </si>
  <si>
    <t>everything</t>
  </si>
  <si>
    <t>FC1</t>
  </si>
  <si>
    <t>solid oxide fuel cell</t>
  </si>
  <si>
    <t xml:space="preserve"> Assumptions</t>
  </si>
  <si>
    <t>District substation heat exchanger</t>
  </si>
  <si>
    <t>HEX2</t>
  </si>
  <si>
    <t>m^2</t>
  </si>
  <si>
    <t>Values under 1 and above 50 are assumptions, as no datasheet values are available in this area. a_p to e_p denote the pressure drop in Pa</t>
  </si>
  <si>
    <t>-</t>
  </si>
  <si>
    <t>ASHRAE 90.1/2019 - minimum efficiency rating at full load; https://www.esmagazine.com/articles/82307-basics-for-absorption-chillers - capacity-specific mass-flow rates</t>
  </si>
  <si>
    <t>capacity_Wp</t>
  </si>
  <si>
    <t>primar_energy_kWh_m2</t>
  </si>
  <si>
    <t>cost_facade_euro_m2</t>
  </si>
  <si>
    <t>cost_roof_euro_m2</t>
  </si>
  <si>
    <t>module_embodied_kgco2m2</t>
  </si>
  <si>
    <t>source</t>
  </si>
  <si>
    <t>typical csi 2024 (BIPV)</t>
  </si>
  <si>
    <t>jmccarty CACTUS</t>
  </si>
  <si>
    <t>typical mcsi 2024 (BIPV)</t>
  </si>
  <si>
    <t>typical cdte 2024 (BIPV)</t>
  </si>
  <si>
    <t>typical cigs 2024 (BIPV)</t>
  </si>
  <si>
    <t>PV4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</si>
</sst>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"/>
    <numFmt numFmtId="165" formatCode="0.0"/>
    <numFmt numFmtId="166" formatCode="0.000"/>
  </numFmts>
  <fonts count="7" x14ac:knownFonts="1">
    <font>
      <sz val="11"/>
      <color indexed="8"/>
      <name val="Calibri"/>
      <family val="2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i/>
      <sz val="11"/>
      <color indexed="8"/>
      <name val="Calibri"/>
      <family val="2"/>
    </font>
    <font>
      <sz val="11"/>
      <color theme="9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49"/>
        <bgColor indexed="40"/>
      </patternFill>
    </fill>
    <fill>
      <patternFill patternType="solid">
        <fgColor rgb="FF33CCCC"/>
        <bgColor indexed="40"/>
      </patternFill>
    </fill>
  </fills>
  <borders count="12">
    <border>
      <left/>
      <right/>
      <top/>
      <bottom/>
      <diagonal/>
    </border>
    <border>
      <left style="thin">
        <color indexed="59"/>
      </left>
      <right style="thin">
        <color indexed="59"/>
      </right>
      <top style="thin">
        <color indexed="59"/>
      </top>
      <bottom style="thin">
        <color indexed="59"/>
      </bottom>
      <diagonal/>
    </border>
    <border>
      <left style="thin">
        <color indexed="59"/>
      </left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 style="thin">
        <color indexed="59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59"/>
      </left>
      <right/>
      <top style="thin">
        <color indexed="59"/>
      </top>
      <bottom style="thin">
        <color indexed="59"/>
      </bottom>
      <diagonal/>
    </border>
    <border>
      <left/>
      <right style="thin">
        <color indexed="59"/>
      </right>
      <top style="thin">
        <color indexed="59"/>
      </top>
      <bottom style="thin">
        <color indexed="59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59"/>
      </left>
      <right/>
      <top style="thin">
        <color indexed="59"/>
      </top>
      <bottom/>
      <diagonal/>
    </border>
    <border>
      <left/>
      <right style="thin">
        <color indexed="59"/>
      </right>
      <top style="thin">
        <color indexed="59"/>
      </top>
      <bottom/>
      <diagonal/>
    </border>
    <border>
      <left style="thin">
        <color indexed="59"/>
      </left>
      <right/>
      <top/>
      <bottom/>
      <diagonal/>
    </border>
  </borders>
  <cellStyleXfs count="5">
    <xf numFmtId="0" fontId="0" fillId="0" borderId="0"/>
    <xf numFmtId="0" fontId="3" fillId="0" borderId="0"/>
    <xf numFmtId="0" fontId="1" fillId="0" borderId="0"/>
    <xf numFmtId="0" fontId="4" fillId="0" borderId="0"/>
    <xf numFmtId="9" fontId="3" fillId="0" borderId="0" applyFont="0" applyFill="0" applyBorder="0" applyAlignment="0" applyProtection="0"/>
  </cellStyleXfs>
  <cellXfs count="43">
    <xf numFmtId="0" fontId="0" fillId="0" borderId="0" xfId="0"/>
    <xf numFmtId="49" fontId="2" fillId="2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1" fontId="0" fillId="0" borderId="1" xfId="0" applyNumberFormat="1" applyBorder="1" applyAlignment="1">
      <alignment horizontal="center"/>
    </xf>
    <xf numFmtId="49" fontId="2" fillId="2" borderId="2" xfId="0" applyNumberFormat="1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0" xfId="0" applyNumberFormat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166" fontId="0" fillId="0" borderId="2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49" fontId="2" fillId="2" borderId="4" xfId="0" applyNumberFormat="1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1" xfId="4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9" fontId="0" fillId="0" borderId="1" xfId="4" applyFont="1" applyBorder="1" applyAlignment="1">
      <alignment horizontal="center"/>
    </xf>
    <xf numFmtId="0" fontId="0" fillId="0" borderId="8" xfId="0" applyBorder="1" applyAlignment="1">
      <alignment horizontal="center"/>
    </xf>
    <xf numFmtId="3" fontId="0" fillId="0" borderId="2" xfId="0" applyNumberFormat="1" applyBorder="1" applyAlignment="1">
      <alignment horizontal="center"/>
    </xf>
    <xf numFmtId="3" fontId="0" fillId="0" borderId="4" xfId="0" applyNumberFormat="1" applyBorder="1" applyAlignment="1">
      <alignment horizontal="center"/>
    </xf>
    <xf numFmtId="166" fontId="0" fillId="0" borderId="4" xfId="0" applyNumberFormat="1" applyBorder="1" applyAlignment="1">
      <alignment horizontal="center"/>
    </xf>
    <xf numFmtId="0" fontId="0" fillId="0" borderId="4" xfId="0" applyBorder="1"/>
    <xf numFmtId="9" fontId="0" fillId="0" borderId="2" xfId="4" applyFont="1" applyBorder="1" applyAlignment="1">
      <alignment horizontal="center"/>
    </xf>
    <xf numFmtId="9" fontId="0" fillId="0" borderId="8" xfId="4" applyFont="1" applyBorder="1" applyAlignment="1">
      <alignment horizontal="center"/>
    </xf>
    <xf numFmtId="9" fontId="0" fillId="0" borderId="4" xfId="4" applyFont="1" applyBorder="1" applyAlignment="1">
      <alignment horizontal="center"/>
    </xf>
    <xf numFmtId="0" fontId="0" fillId="0" borderId="1" xfId="0" applyBorder="1" applyAlignment="1">
      <alignment horizontal="left" wrapText="1"/>
    </xf>
    <xf numFmtId="9" fontId="0" fillId="0" borderId="9" xfId="4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4" xfId="4" applyNumberFormat="1" applyFont="1" applyBorder="1" applyAlignment="1">
      <alignment horizontal="center"/>
    </xf>
    <xf numFmtId="0" fontId="0" fillId="0" borderId="0" xfId="4" applyNumberFormat="1" applyFont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6" xfId="0" applyNumberFormat="1" applyFont="1" applyFill="1" applyBorder="1" applyAlignment="1">
      <alignment horizontal="center"/>
    </xf>
    <xf numFmtId="49" fontId="2" fillId="3" borderId="3" xfId="0" applyNumberFormat="1" applyFont="1" applyFill="1" applyBorder="1" applyAlignment="1">
      <alignment horizontal="center"/>
    </xf>
    <xf numFmtId="49" fontId="2" fillId="3" borderId="4" xfId="0" applyNumberFormat="1" applyFont="1" applyFill="1" applyBorder="1" applyAlignment="1">
      <alignment horizontal="center"/>
    </xf>
    <xf numFmtId="49" fontId="2" fillId="3" borderId="2" xfId="0" applyNumberFormat="1" applyFont="1" applyFill="1" applyBorder="1" applyAlignment="1">
      <alignment horizontal="center"/>
    </xf>
    <xf numFmtId="0" fontId="6" fillId="0" borderId="0" xfId="0" applyFont="1"/>
    <xf numFmtId="0" fontId="0" fillId="0" borderId="11" xfId="0" applyBorder="1" applyAlignment="1">
      <alignment horizontal="center"/>
    </xf>
  </cellXfs>
  <cellStyles count="5">
    <cellStyle name="Normal" xfId="0" builtinId="0"/>
    <cellStyle name="Normal 2" xfId="1" xr:uid="{00000000-0005-0000-0000-000001000000}"/>
    <cellStyle name="Normal 2 2" xfId="2" xr:uid="{00000000-0005-0000-0000-000002000000}"/>
    <cellStyle name="Normal 3" xfId="3" xr:uid="{00000000-0005-0000-0000-000003000000}"/>
    <cellStyle name="Per cent" xfId="4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C3C3C"/>
      <rgbColor rgb="00993300"/>
      <rgbColor rgb="00993366"/>
      <rgbColor rgb="00333399"/>
      <rgbColor rgb="00333333"/>
    </indexedColors>
    <mruColors>
      <color rgb="FF33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"/>
  <sheetViews>
    <sheetView tabSelected="1" zoomScaleNormal="100" workbookViewId="0">
      <selection sqref="A1:AH5"/>
    </sheetView>
  </sheetViews>
  <sheetFormatPr baseColWidth="10" defaultColWidth="8.83203125" defaultRowHeight="15" x14ac:dyDescent="0.2"/>
  <cols>
    <col min="1" max="1" width="38.6640625" customWidth="1"/>
    <col min="4" max="4" width="15.6640625" customWidth="1"/>
    <col min="5" max="6" width="12" customWidth="1"/>
    <col min="7" max="7" width="14.5" customWidth="1"/>
    <col min="8" max="8" width="9.33203125" customWidth="1"/>
    <col min="9" max="9" width="8.5" customWidth="1"/>
    <col min="10" max="10" width="8.6640625" customWidth="1"/>
    <col min="12" max="12" width="16.5" customWidth="1"/>
    <col min="13" max="13" width="18.5" customWidth="1"/>
    <col min="14" max="14" width="16.33203125" customWidth="1"/>
    <col min="15" max="15" width="14.6640625" customWidth="1"/>
    <col min="16" max="17" width="12.5" customWidth="1"/>
    <col min="19" max="19" width="10.5" customWidth="1"/>
    <col min="20" max="20" width="13.6640625" customWidth="1"/>
    <col min="21" max="23" width="10.5" customWidth="1"/>
    <col min="24" max="24" width="14.6640625" customWidth="1"/>
    <col min="25" max="25" width="12.6640625" customWidth="1"/>
    <col min="27" max="27" width="13.33203125" customWidth="1"/>
  </cols>
  <sheetData>
    <row r="1" spans="1:34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  <c r="V1" s="35" t="s">
        <v>21</v>
      </c>
      <c r="W1" s="35" t="s">
        <v>22</v>
      </c>
      <c r="X1" s="35" t="s">
        <v>23</v>
      </c>
      <c r="Y1" s="35" t="s">
        <v>24</v>
      </c>
      <c r="Z1" s="35" t="s">
        <v>25</v>
      </c>
      <c r="AA1" s="35" t="s">
        <v>26</v>
      </c>
      <c r="AB1" s="35" t="s">
        <v>239</v>
      </c>
      <c r="AC1" s="35" t="s">
        <v>33</v>
      </c>
      <c r="AD1" s="35" t="s">
        <v>240</v>
      </c>
      <c r="AE1" s="35" t="s">
        <v>241</v>
      </c>
      <c r="AF1" s="35" t="s">
        <v>242</v>
      </c>
      <c r="AG1" s="35" t="s">
        <v>243</v>
      </c>
      <c r="AH1" s="35" t="s">
        <v>244</v>
      </c>
    </row>
    <row r="2" spans="1:34" x14ac:dyDescent="0.2">
      <c r="A2" s="1" t="s">
        <v>245</v>
      </c>
      <c r="B2" s="2" t="s">
        <v>27</v>
      </c>
      <c r="C2" s="2" t="s">
        <v>28</v>
      </c>
      <c r="D2" s="2">
        <v>1</v>
      </c>
      <c r="E2" s="5">
        <v>10000000000</v>
      </c>
      <c r="F2" s="2" t="s">
        <v>29</v>
      </c>
      <c r="G2" s="2">
        <v>1</v>
      </c>
      <c r="H2" s="2">
        <v>2E-3</v>
      </c>
      <c r="I2" s="26">
        <v>0.184638894</v>
      </c>
      <c r="J2" s="26">
        <v>45.1</v>
      </c>
      <c r="K2" s="26">
        <v>3.81E-3</v>
      </c>
      <c r="L2" s="26">
        <v>0.91910000000000003</v>
      </c>
      <c r="M2" s="26">
        <v>9.9879999999999997E-2</v>
      </c>
      <c r="N2" s="26">
        <v>-4.2729999999999997E-2</v>
      </c>
      <c r="O2" s="26">
        <v>9.3699999999999999E-3</v>
      </c>
      <c r="P2" s="26">
        <v>-7.6400000000000003E-4</v>
      </c>
      <c r="Q2" s="4">
        <v>0.1</v>
      </c>
      <c r="R2" s="3" t="s">
        <v>30</v>
      </c>
      <c r="S2" s="2">
        <v>0</v>
      </c>
      <c r="T2" s="4">
        <v>2.6</v>
      </c>
      <c r="U2" s="2">
        <v>1</v>
      </c>
      <c r="V2" s="2">
        <v>0</v>
      </c>
      <c r="W2" s="2">
        <v>0</v>
      </c>
      <c r="X2" s="2">
        <v>25</v>
      </c>
      <c r="Y2" s="2">
        <v>1</v>
      </c>
      <c r="Z2" s="2">
        <v>5</v>
      </c>
      <c r="AA2" s="2" t="s">
        <v>25</v>
      </c>
      <c r="AB2" s="26">
        <v>325.70374800000002</v>
      </c>
      <c r="AC2" s="26">
        <v>1.76</v>
      </c>
      <c r="AD2" s="26">
        <v>831.8</v>
      </c>
      <c r="AE2" s="26">
        <v>345.72</v>
      </c>
      <c r="AF2" s="26">
        <v>254.72</v>
      </c>
      <c r="AG2" s="26">
        <v>255.76616110000001</v>
      </c>
      <c r="AH2" s="2" t="s">
        <v>246</v>
      </c>
    </row>
    <row r="3" spans="1:34" x14ac:dyDescent="0.2">
      <c r="A3" s="1" t="s">
        <v>247</v>
      </c>
      <c r="B3" s="2" t="s">
        <v>31</v>
      </c>
      <c r="C3" s="2" t="s">
        <v>28</v>
      </c>
      <c r="D3" s="2">
        <v>1</v>
      </c>
      <c r="E3" s="5">
        <v>10000000000</v>
      </c>
      <c r="F3" s="2" t="s">
        <v>29</v>
      </c>
      <c r="G3" s="2">
        <v>1</v>
      </c>
      <c r="H3" s="2">
        <v>2E-3</v>
      </c>
      <c r="I3" s="26">
        <v>0.17502508999999999</v>
      </c>
      <c r="J3" s="26">
        <v>45.2</v>
      </c>
      <c r="K3" s="26">
        <v>4.0899999999999999E-3</v>
      </c>
      <c r="L3" s="26">
        <v>0.92194100000000001</v>
      </c>
      <c r="M3" s="26">
        <v>7.0891999999999997E-2</v>
      </c>
      <c r="N3" s="26">
        <v>-1.4272E-2</v>
      </c>
      <c r="O3" s="26">
        <v>1.1709999999999999E-3</v>
      </c>
      <c r="P3" s="26">
        <v>-3.4E-5</v>
      </c>
      <c r="Q3" s="4">
        <v>0.1</v>
      </c>
      <c r="R3" s="3" t="s">
        <v>30</v>
      </c>
      <c r="S3" s="2">
        <v>0</v>
      </c>
      <c r="T3" s="4">
        <v>2.6</v>
      </c>
      <c r="U3" s="2">
        <v>1</v>
      </c>
      <c r="V3" s="2">
        <v>0</v>
      </c>
      <c r="W3" s="2">
        <v>0</v>
      </c>
      <c r="X3" s="2">
        <v>25</v>
      </c>
      <c r="Y3" s="2">
        <v>1</v>
      </c>
      <c r="Z3" s="2">
        <v>5</v>
      </c>
      <c r="AA3" s="2" t="s">
        <v>25</v>
      </c>
      <c r="AB3" s="26">
        <v>335.15983340000002</v>
      </c>
      <c r="AC3" s="26">
        <v>1.91</v>
      </c>
      <c r="AD3" s="26">
        <v>631.70000000000005</v>
      </c>
      <c r="AE3" s="26">
        <v>329.58</v>
      </c>
      <c r="AF3" s="26">
        <v>238.58</v>
      </c>
      <c r="AG3" s="26">
        <v>191.18310840000001</v>
      </c>
      <c r="AH3" s="2" t="s">
        <v>246</v>
      </c>
    </row>
    <row r="4" spans="1:34" x14ac:dyDescent="0.2">
      <c r="A4" s="1" t="s">
        <v>248</v>
      </c>
      <c r="B4" s="2" t="s">
        <v>32</v>
      </c>
      <c r="C4" s="2" t="s">
        <v>28</v>
      </c>
      <c r="D4" s="2">
        <v>1</v>
      </c>
      <c r="E4" s="5">
        <v>10000000000</v>
      </c>
      <c r="F4" s="2" t="s">
        <v>29</v>
      </c>
      <c r="G4" s="2">
        <v>1</v>
      </c>
      <c r="H4" s="2">
        <v>2E-3</v>
      </c>
      <c r="I4" s="26">
        <v>0.176001714</v>
      </c>
      <c r="J4" s="26">
        <v>50.7</v>
      </c>
      <c r="K4" s="26">
        <v>3.0699999999999998E-3</v>
      </c>
      <c r="L4" s="26">
        <v>0.91959999999999997</v>
      </c>
      <c r="M4" s="26">
        <v>7.1639999999999995E-2</v>
      </c>
      <c r="N4" s="26">
        <v>-1.338E-2</v>
      </c>
      <c r="O4" s="26">
        <v>9.6100000000000005E-4</v>
      </c>
      <c r="P4" s="26">
        <v>-2.5000000000000001E-5</v>
      </c>
      <c r="Q4" s="4">
        <v>0.1</v>
      </c>
      <c r="R4" s="3" t="s">
        <v>30</v>
      </c>
      <c r="S4" s="2">
        <v>0</v>
      </c>
      <c r="T4" s="4">
        <f>3.5/0.962</f>
        <v>3.6382536382536386</v>
      </c>
      <c r="U4" s="2">
        <v>1</v>
      </c>
      <c r="V4" s="2">
        <v>0</v>
      </c>
      <c r="W4" s="2">
        <v>0</v>
      </c>
      <c r="X4" s="2">
        <v>25</v>
      </c>
      <c r="Y4" s="2">
        <v>1</v>
      </c>
      <c r="Z4" s="2">
        <v>5</v>
      </c>
      <c r="AA4" s="2" t="s">
        <v>25</v>
      </c>
      <c r="AB4" s="26">
        <v>430.93599019999999</v>
      </c>
      <c r="AC4" s="26">
        <v>2.4500000000000002</v>
      </c>
      <c r="AD4" s="26">
        <v>153.1</v>
      </c>
      <c r="AE4" s="26">
        <v>330.54</v>
      </c>
      <c r="AF4" s="26">
        <v>239.54</v>
      </c>
      <c r="AG4" s="26">
        <v>47.550374410000003</v>
      </c>
      <c r="AH4" s="2" t="s">
        <v>246</v>
      </c>
    </row>
    <row r="5" spans="1:34" x14ac:dyDescent="0.2">
      <c r="A5" s="1" t="s">
        <v>249</v>
      </c>
      <c r="B5" s="2" t="s">
        <v>250</v>
      </c>
      <c r="C5" s="2" t="s">
        <v>28</v>
      </c>
      <c r="D5" s="2">
        <v>1</v>
      </c>
      <c r="E5" s="5">
        <v>10000000000</v>
      </c>
      <c r="F5" s="2" t="s">
        <v>29</v>
      </c>
      <c r="G5" s="2">
        <v>1</v>
      </c>
      <c r="H5" s="2">
        <v>2E-3</v>
      </c>
      <c r="I5" s="26">
        <v>9.9396463000000004E-2</v>
      </c>
      <c r="J5" s="26">
        <v>55.7</v>
      </c>
      <c r="K5" s="26">
        <v>3.8500000000000001E-3</v>
      </c>
      <c r="L5" s="26">
        <v>0.93540000000000001</v>
      </c>
      <c r="M5" s="26">
        <v>6.8089999999999998E-2</v>
      </c>
      <c r="N5" s="26">
        <v>-2.094E-2</v>
      </c>
      <c r="O5" s="26">
        <v>2.9299999999999999E-3</v>
      </c>
      <c r="P5" s="26">
        <v>-1.56E-4</v>
      </c>
      <c r="Q5" s="4">
        <v>0.1</v>
      </c>
      <c r="R5" s="3" t="s">
        <v>30</v>
      </c>
      <c r="S5" s="2">
        <v>0</v>
      </c>
      <c r="T5" s="4">
        <f>3.5/0.962</f>
        <v>3.6382536382536386</v>
      </c>
      <c r="U5" s="2">
        <v>1</v>
      </c>
      <c r="V5" s="2">
        <v>0</v>
      </c>
      <c r="W5" s="2">
        <v>0</v>
      </c>
      <c r="X5" s="2">
        <v>25</v>
      </c>
      <c r="Y5" s="2">
        <v>1</v>
      </c>
      <c r="Z5" s="2">
        <v>5</v>
      </c>
      <c r="AA5" s="2" t="s">
        <v>25</v>
      </c>
      <c r="AB5" s="26">
        <v>164.99812879999999</v>
      </c>
      <c r="AC5" s="26">
        <v>1.66</v>
      </c>
      <c r="AD5" s="26">
        <v>246</v>
      </c>
      <c r="AE5" s="26">
        <v>356.06</v>
      </c>
      <c r="AF5" s="26">
        <v>265.06</v>
      </c>
      <c r="AG5" s="26">
        <v>75.914425350000002</v>
      </c>
      <c r="AH5" s="2" t="s">
        <v>246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F6F14-A874-CB45-A2C1-8C31AFCB2875}">
  <dimension ref="A1:O3"/>
  <sheetViews>
    <sheetView zoomScale="112" zoomScaleNormal="70" workbookViewId="0">
      <selection activeCell="J22" sqref="J22"/>
    </sheetView>
  </sheetViews>
  <sheetFormatPr baseColWidth="10" defaultColWidth="8.83203125" defaultRowHeight="15" x14ac:dyDescent="0.2"/>
  <cols>
    <col min="1" max="1" width="34.5" customWidth="1"/>
    <col min="3" max="3" width="16.5" customWidth="1"/>
    <col min="4" max="5" width="15.5" customWidth="1"/>
    <col min="6" max="6" width="14" customWidth="1"/>
    <col min="12" max="12" width="17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232</v>
      </c>
    </row>
    <row r="2" spans="1:15" x14ac:dyDescent="0.2">
      <c r="A2" s="1" t="s">
        <v>231</v>
      </c>
      <c r="B2" s="2" t="s">
        <v>230</v>
      </c>
      <c r="C2" s="2">
        <v>1000</v>
      </c>
      <c r="D2" s="2">
        <v>10000</v>
      </c>
      <c r="E2" s="2" t="s">
        <v>29</v>
      </c>
      <c r="F2" s="2" t="s">
        <v>30</v>
      </c>
      <c r="G2" s="2">
        <v>0</v>
      </c>
      <c r="H2" s="2">
        <f>13.2/0.962</f>
        <v>13.721413721413722</v>
      </c>
      <c r="I2" s="2">
        <v>1</v>
      </c>
      <c r="J2" s="2">
        <v>0</v>
      </c>
      <c r="K2" s="2">
        <v>0</v>
      </c>
      <c r="L2" s="2">
        <v>10</v>
      </c>
      <c r="M2" s="2">
        <v>5</v>
      </c>
      <c r="N2" s="2">
        <v>5</v>
      </c>
      <c r="O2" s="2"/>
    </row>
    <row r="3" spans="1:15" x14ac:dyDescent="0.2">
      <c r="A3" s="1" t="s">
        <v>231</v>
      </c>
      <c r="B3" s="2" t="s">
        <v>230</v>
      </c>
      <c r="C3" s="2">
        <v>1</v>
      </c>
      <c r="D3" s="5">
        <v>10000000000</v>
      </c>
      <c r="E3" s="2" t="s">
        <v>29</v>
      </c>
      <c r="F3" s="2" t="s">
        <v>30</v>
      </c>
      <c r="G3" s="2">
        <v>0</v>
      </c>
      <c r="H3" s="2">
        <f>13.2/0.962</f>
        <v>13.721413721413722</v>
      </c>
      <c r="I3" s="2">
        <v>1</v>
      </c>
      <c r="J3" s="2">
        <v>0</v>
      </c>
      <c r="K3" s="2">
        <v>0</v>
      </c>
      <c r="L3" s="2">
        <v>10</v>
      </c>
      <c r="M3" s="2">
        <v>5</v>
      </c>
      <c r="N3" s="2">
        <v>5</v>
      </c>
      <c r="O3" s="2" t="s">
        <v>229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85D6F-84D6-CE40-9068-BC69269F5FF1}">
  <dimension ref="A1:U11"/>
  <sheetViews>
    <sheetView workbookViewId="0">
      <selection activeCell="U25" sqref="U25"/>
    </sheetView>
  </sheetViews>
  <sheetFormatPr baseColWidth="10" defaultColWidth="8.83203125" defaultRowHeight="15" x14ac:dyDescent="0.2"/>
  <cols>
    <col min="1" max="1" width="45.5" bestFit="1" customWidth="1"/>
    <col min="3" max="3" width="17.5" customWidth="1"/>
    <col min="4" max="5" width="15.6640625" customWidth="1"/>
    <col min="6" max="6" width="11.1640625" customWidth="1"/>
    <col min="7" max="7" width="16.5" bestFit="1" customWidth="1"/>
    <col min="8" max="8" width="13.6640625" bestFit="1" customWidth="1"/>
    <col min="9" max="9" width="16.33203125" bestFit="1" customWidth="1"/>
    <col min="10" max="10" width="17.5" bestFit="1" customWidth="1"/>
    <col min="20" max="20" width="33.33203125" bestFit="1" customWidth="1"/>
    <col min="21" max="21" width="93.8320312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149</v>
      </c>
      <c r="H1" s="35" t="s">
        <v>127</v>
      </c>
      <c r="I1" s="35" t="s">
        <v>140</v>
      </c>
      <c r="J1" s="35" t="s">
        <v>141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5" t="s">
        <v>25</v>
      </c>
      <c r="T1" s="35" t="s">
        <v>26</v>
      </c>
      <c r="U1" s="35" t="s">
        <v>123</v>
      </c>
    </row>
    <row r="2" spans="1:21" x14ac:dyDescent="0.2">
      <c r="A2" s="1" t="s">
        <v>143</v>
      </c>
      <c r="B2" s="2" t="s">
        <v>144</v>
      </c>
      <c r="C2" s="2" t="s">
        <v>147</v>
      </c>
      <c r="D2" s="17">
        <v>0</v>
      </c>
      <c r="E2" s="17">
        <v>19000</v>
      </c>
      <c r="F2" s="2" t="s">
        <v>29</v>
      </c>
      <c r="G2" s="2">
        <v>3.7</v>
      </c>
      <c r="H2" s="2">
        <v>230</v>
      </c>
      <c r="I2" s="2">
        <v>27</v>
      </c>
      <c r="J2" s="2">
        <v>35</v>
      </c>
      <c r="K2" s="2" t="s">
        <v>30</v>
      </c>
      <c r="L2" s="2">
        <v>0</v>
      </c>
      <c r="M2" s="2">
        <v>1.6</v>
      </c>
      <c r="N2" s="2">
        <v>1</v>
      </c>
      <c r="O2" s="2">
        <v>0</v>
      </c>
      <c r="P2" s="2">
        <v>0</v>
      </c>
      <c r="Q2" s="2">
        <v>25</v>
      </c>
      <c r="R2" s="2">
        <v>5</v>
      </c>
      <c r="S2" s="2">
        <v>5</v>
      </c>
      <c r="T2" s="2" t="s">
        <v>80</v>
      </c>
      <c r="U2" s="2" t="s">
        <v>142</v>
      </c>
    </row>
    <row r="3" spans="1:21" x14ac:dyDescent="0.2">
      <c r="A3" s="1" t="s">
        <v>146</v>
      </c>
      <c r="B3" s="2" t="s">
        <v>145</v>
      </c>
      <c r="C3" s="2" t="s">
        <v>148</v>
      </c>
      <c r="D3" s="17">
        <v>0</v>
      </c>
      <c r="E3" s="17">
        <v>19000</v>
      </c>
      <c r="F3" s="2" t="s">
        <v>29</v>
      </c>
      <c r="G3" s="2">
        <v>3.5</v>
      </c>
      <c r="H3" s="2">
        <v>230</v>
      </c>
      <c r="I3" s="2">
        <v>27</v>
      </c>
      <c r="J3" s="2">
        <v>35</v>
      </c>
      <c r="K3" s="2" t="s">
        <v>30</v>
      </c>
      <c r="L3" s="2">
        <v>0</v>
      </c>
      <c r="M3" s="2">
        <v>1.6</v>
      </c>
      <c r="N3" s="2">
        <v>1</v>
      </c>
      <c r="O3" s="2">
        <v>0</v>
      </c>
      <c r="P3" s="2">
        <v>0</v>
      </c>
      <c r="Q3" s="2">
        <v>25</v>
      </c>
      <c r="R3" s="2">
        <v>5</v>
      </c>
      <c r="S3" s="2">
        <v>5</v>
      </c>
      <c r="T3" s="2" t="s">
        <v>80</v>
      </c>
      <c r="U3" s="2" t="s">
        <v>142</v>
      </c>
    </row>
    <row r="9" spans="1:21" x14ac:dyDescent="0.2">
      <c r="O9" s="10"/>
    </row>
    <row r="11" spans="1:21" x14ac:dyDescent="0.2">
      <c r="O11" s="10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W11"/>
  <sheetViews>
    <sheetView zoomScaleNormal="100" workbookViewId="0">
      <selection activeCell="AB25" sqref="AB25"/>
    </sheetView>
  </sheetViews>
  <sheetFormatPr baseColWidth="10" defaultColWidth="8.83203125" defaultRowHeight="15" x14ac:dyDescent="0.2"/>
  <cols>
    <col min="1" max="1" width="29" customWidth="1"/>
    <col min="3" max="3" width="11" bestFit="1" customWidth="1"/>
    <col min="4" max="5" width="15.1640625" customWidth="1"/>
    <col min="6" max="6" width="6.83203125" customWidth="1"/>
    <col min="7" max="7" width="19.5" bestFit="1" customWidth="1"/>
    <col min="8" max="8" width="13.6640625" bestFit="1" customWidth="1"/>
    <col min="9" max="9" width="15.5" bestFit="1" customWidth="1"/>
    <col min="10" max="10" width="15.83203125" bestFit="1" customWidth="1"/>
    <col min="11" max="11" width="15.83203125" customWidth="1"/>
    <col min="12" max="12" width="16" bestFit="1" customWidth="1"/>
    <col min="14" max="14" width="11.33203125" customWidth="1"/>
    <col min="16" max="16" width="12.5" customWidth="1"/>
    <col min="17" max="17" width="12" customWidth="1"/>
    <col min="22" max="22" width="10" bestFit="1" customWidth="1"/>
    <col min="23" max="23" width="32.5" bestFit="1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6" t="s">
        <v>5</v>
      </c>
      <c r="G1" s="39" t="s">
        <v>203</v>
      </c>
      <c r="H1" s="39" t="s">
        <v>127</v>
      </c>
      <c r="I1" s="39" t="s">
        <v>125</v>
      </c>
      <c r="J1" s="39" t="s">
        <v>126</v>
      </c>
      <c r="K1" s="39" t="s">
        <v>199</v>
      </c>
      <c r="L1" s="39" t="s">
        <v>200</v>
      </c>
      <c r="M1" s="37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123</v>
      </c>
    </row>
    <row r="2" spans="1:23" x14ac:dyDescent="0.2">
      <c r="A2" s="1" t="s">
        <v>196</v>
      </c>
      <c r="B2" s="2" t="s">
        <v>85</v>
      </c>
      <c r="C2" s="2" t="s">
        <v>191</v>
      </c>
      <c r="D2" s="17">
        <v>0</v>
      </c>
      <c r="E2" s="17">
        <v>40000</v>
      </c>
      <c r="F2" s="14" t="s">
        <v>29</v>
      </c>
      <c r="G2" s="11">
        <v>3.1</v>
      </c>
      <c r="H2" s="11">
        <v>380</v>
      </c>
      <c r="I2" s="11">
        <v>0</v>
      </c>
      <c r="J2" s="11">
        <v>27</v>
      </c>
      <c r="K2" s="11" t="s">
        <v>201</v>
      </c>
      <c r="L2" s="11" t="s">
        <v>202</v>
      </c>
      <c r="M2" s="18" t="s">
        <v>30</v>
      </c>
      <c r="N2" s="2">
        <v>0</v>
      </c>
      <c r="O2" s="2">
        <f>177.8/0.902</f>
        <v>197.11751662971176</v>
      </c>
      <c r="P2" s="2">
        <v>0.49</v>
      </c>
      <c r="Q2" s="2">
        <v>0</v>
      </c>
      <c r="R2" s="2">
        <v>0</v>
      </c>
      <c r="S2" s="2">
        <v>20</v>
      </c>
      <c r="T2" s="2">
        <v>1</v>
      </c>
      <c r="U2" s="2">
        <v>5</v>
      </c>
      <c r="V2" s="14"/>
      <c r="W2" s="26" t="s">
        <v>194</v>
      </c>
    </row>
    <row r="3" spans="1:23" x14ac:dyDescent="0.2">
      <c r="A3" s="1" t="s">
        <v>196</v>
      </c>
      <c r="B3" s="2" t="s">
        <v>85</v>
      </c>
      <c r="C3" s="2" t="s">
        <v>191</v>
      </c>
      <c r="D3" s="17">
        <v>40000</v>
      </c>
      <c r="E3" s="17">
        <v>100000000</v>
      </c>
      <c r="F3" s="14" t="s">
        <v>29</v>
      </c>
      <c r="G3" s="11">
        <v>2.8</v>
      </c>
      <c r="H3" s="11">
        <v>380</v>
      </c>
      <c r="I3" s="11">
        <v>0</v>
      </c>
      <c r="J3" s="11">
        <v>27</v>
      </c>
      <c r="K3" s="11" t="s">
        <v>201</v>
      </c>
      <c r="L3" s="11" t="s">
        <v>202</v>
      </c>
      <c r="M3" s="18" t="s">
        <v>30</v>
      </c>
      <c r="N3" s="2">
        <v>0</v>
      </c>
      <c r="O3" s="2">
        <f>177.8/0.902</f>
        <v>197.11751662971176</v>
      </c>
      <c r="P3" s="2">
        <v>0.49</v>
      </c>
      <c r="Q3" s="2">
        <v>0</v>
      </c>
      <c r="R3" s="2">
        <v>0</v>
      </c>
      <c r="S3" s="2">
        <v>20</v>
      </c>
      <c r="T3" s="2">
        <v>1</v>
      </c>
      <c r="U3" s="2">
        <v>5</v>
      </c>
      <c r="V3" s="14"/>
      <c r="W3" s="26" t="s">
        <v>194</v>
      </c>
    </row>
    <row r="4" spans="1:23" x14ac:dyDescent="0.2">
      <c r="A4" s="1" t="s">
        <v>195</v>
      </c>
      <c r="B4" s="2" t="s">
        <v>86</v>
      </c>
      <c r="C4" s="2" t="s">
        <v>204</v>
      </c>
      <c r="D4" s="17">
        <v>0</v>
      </c>
      <c r="E4" s="17">
        <v>21000</v>
      </c>
      <c r="F4" s="14" t="s">
        <v>29</v>
      </c>
      <c r="G4" s="11">
        <v>4.3</v>
      </c>
      <c r="H4" s="11">
        <v>380</v>
      </c>
      <c r="I4" s="11">
        <v>20</v>
      </c>
      <c r="J4" s="11">
        <v>27</v>
      </c>
      <c r="K4" s="11" t="s">
        <v>189</v>
      </c>
      <c r="L4" s="11" t="s">
        <v>202</v>
      </c>
      <c r="M4" s="18" t="s">
        <v>30</v>
      </c>
      <c r="N4" s="2">
        <v>0</v>
      </c>
      <c r="O4" s="2">
        <f>8893/0.902/1000</f>
        <v>9.8592017738359186</v>
      </c>
      <c r="P4" s="2">
        <v>1</v>
      </c>
      <c r="Q4" s="2">
        <v>0</v>
      </c>
      <c r="R4" s="2">
        <f>-493.53/0.902/1000</f>
        <v>-0.54715077605321505</v>
      </c>
      <c r="S4" s="2">
        <v>25</v>
      </c>
      <c r="T4" s="2">
        <v>5</v>
      </c>
      <c r="U4" s="2">
        <v>6</v>
      </c>
      <c r="V4" s="14"/>
      <c r="W4" s="26" t="s">
        <v>194</v>
      </c>
    </row>
    <row r="5" spans="1:23" x14ac:dyDescent="0.2">
      <c r="A5" s="1" t="s">
        <v>195</v>
      </c>
      <c r="B5" s="2" t="s">
        <v>86</v>
      </c>
      <c r="C5" s="2" t="s">
        <v>204</v>
      </c>
      <c r="D5" s="17">
        <v>21000</v>
      </c>
      <c r="E5" s="17">
        <v>40000</v>
      </c>
      <c r="F5" s="14" t="s">
        <v>29</v>
      </c>
      <c r="G5" s="11">
        <v>4.3</v>
      </c>
      <c r="H5" s="11">
        <v>380</v>
      </c>
      <c r="I5" s="11">
        <v>20</v>
      </c>
      <c r="J5" s="11">
        <v>27</v>
      </c>
      <c r="K5" s="11" t="s">
        <v>189</v>
      </c>
      <c r="L5" s="11" t="s">
        <v>202</v>
      </c>
      <c r="M5" s="18" t="s">
        <v>30</v>
      </c>
      <c r="N5" s="2">
        <v>0</v>
      </c>
      <c r="O5" s="2">
        <f>8893/0.902/1000</f>
        <v>9.8592017738359186</v>
      </c>
      <c r="P5" s="2">
        <v>1</v>
      </c>
      <c r="Q5" s="2">
        <v>0</v>
      </c>
      <c r="R5" s="2">
        <f>-493.53/0.902/1000</f>
        <v>-0.54715077605321505</v>
      </c>
      <c r="S5" s="2">
        <v>25</v>
      </c>
      <c r="T5" s="2">
        <v>5</v>
      </c>
      <c r="U5" s="2">
        <v>6</v>
      </c>
      <c r="V5" s="14"/>
      <c r="W5" s="26" t="s">
        <v>194</v>
      </c>
    </row>
    <row r="6" spans="1:23" x14ac:dyDescent="0.2">
      <c r="A6" s="1" t="s">
        <v>195</v>
      </c>
      <c r="B6" s="2" t="s">
        <v>86</v>
      </c>
      <c r="C6" s="2" t="s">
        <v>204</v>
      </c>
      <c r="D6" s="17">
        <v>40000</v>
      </c>
      <c r="E6" s="17">
        <v>75000</v>
      </c>
      <c r="F6" s="14" t="s">
        <v>29</v>
      </c>
      <c r="G6" s="11">
        <v>4</v>
      </c>
      <c r="H6" s="11">
        <v>380</v>
      </c>
      <c r="I6" s="11">
        <v>20</v>
      </c>
      <c r="J6" s="11">
        <v>27</v>
      </c>
      <c r="K6" s="11" t="s">
        <v>189</v>
      </c>
      <c r="L6" s="11" t="s">
        <v>202</v>
      </c>
      <c r="M6" s="18" t="s">
        <v>30</v>
      </c>
      <c r="N6" s="2">
        <v>0</v>
      </c>
      <c r="O6" s="2">
        <f>8893/0.902/1000</f>
        <v>9.8592017738359186</v>
      </c>
      <c r="P6" s="2">
        <v>1</v>
      </c>
      <c r="Q6" s="2">
        <v>0</v>
      </c>
      <c r="R6" s="2">
        <f>-493.53/0.902/1000</f>
        <v>-0.54715077605321505</v>
      </c>
      <c r="S6" s="2">
        <v>25</v>
      </c>
      <c r="T6" s="2">
        <v>5</v>
      </c>
      <c r="U6" s="2">
        <v>6</v>
      </c>
      <c r="V6" s="14"/>
      <c r="W6" s="26" t="s">
        <v>194</v>
      </c>
    </row>
    <row r="7" spans="1:23" x14ac:dyDescent="0.2">
      <c r="A7" s="1" t="s">
        <v>195</v>
      </c>
      <c r="B7" s="2" t="s">
        <v>86</v>
      </c>
      <c r="C7" s="2" t="s">
        <v>204</v>
      </c>
      <c r="D7" s="17">
        <v>75000</v>
      </c>
      <c r="E7" s="17">
        <v>20000000</v>
      </c>
      <c r="F7" s="14" t="s">
        <v>29</v>
      </c>
      <c r="G7" s="11">
        <v>3.9</v>
      </c>
      <c r="H7" s="11">
        <v>380</v>
      </c>
      <c r="I7" s="11">
        <v>20</v>
      </c>
      <c r="J7" s="11">
        <v>27</v>
      </c>
      <c r="K7" s="11" t="s">
        <v>189</v>
      </c>
      <c r="L7" s="11" t="s">
        <v>202</v>
      </c>
      <c r="M7" s="18" t="s">
        <v>30</v>
      </c>
      <c r="N7" s="2">
        <v>0</v>
      </c>
      <c r="O7" s="2">
        <f>8893/0.902/1000</f>
        <v>9.8592017738359186</v>
      </c>
      <c r="P7" s="2">
        <v>1</v>
      </c>
      <c r="Q7" s="2">
        <v>0</v>
      </c>
      <c r="R7" s="2">
        <f>-493.53/0.902/1000</f>
        <v>-0.54715077605321505</v>
      </c>
      <c r="S7" s="2">
        <v>25</v>
      </c>
      <c r="T7" s="2">
        <v>5</v>
      </c>
      <c r="U7" s="2">
        <v>6</v>
      </c>
      <c r="V7" s="14"/>
      <c r="W7" s="26" t="s">
        <v>194</v>
      </c>
    </row>
    <row r="8" spans="1:23" x14ac:dyDescent="0.2">
      <c r="A8" s="1" t="s">
        <v>193</v>
      </c>
      <c r="B8" s="2" t="s">
        <v>192</v>
      </c>
      <c r="C8" s="2" t="s">
        <v>205</v>
      </c>
      <c r="D8" s="17">
        <v>0</v>
      </c>
      <c r="E8" s="17">
        <v>21000</v>
      </c>
      <c r="F8" s="14" t="s">
        <v>29</v>
      </c>
      <c r="G8" s="11">
        <v>2.2000000000000002</v>
      </c>
      <c r="H8" s="11">
        <v>230</v>
      </c>
      <c r="I8" s="11">
        <v>7</v>
      </c>
      <c r="J8" s="11">
        <v>35</v>
      </c>
      <c r="K8" s="11" t="s">
        <v>202</v>
      </c>
      <c r="L8" s="11" t="s">
        <v>189</v>
      </c>
      <c r="M8" s="18" t="s">
        <v>30</v>
      </c>
      <c r="N8" s="2">
        <v>0</v>
      </c>
      <c r="O8" s="2">
        <f>7.7</f>
        <v>7.7</v>
      </c>
      <c r="P8" s="2">
        <v>1</v>
      </c>
      <c r="Q8" s="2">
        <v>0</v>
      </c>
      <c r="R8" s="2">
        <v>0</v>
      </c>
      <c r="S8" s="2">
        <v>25</v>
      </c>
      <c r="T8" s="2">
        <v>5</v>
      </c>
      <c r="U8" s="2">
        <v>6</v>
      </c>
      <c r="V8" s="14" t="s">
        <v>197</v>
      </c>
      <c r="W8" s="26" t="s">
        <v>198</v>
      </c>
    </row>
    <row r="9" spans="1:23" x14ac:dyDescent="0.2">
      <c r="A9" s="1" t="s">
        <v>193</v>
      </c>
      <c r="B9" s="2" t="s">
        <v>192</v>
      </c>
      <c r="C9" s="2" t="s">
        <v>205</v>
      </c>
      <c r="D9" s="17">
        <v>21000</v>
      </c>
      <c r="E9" s="17">
        <v>40000</v>
      </c>
      <c r="F9" s="14" t="s">
        <v>29</v>
      </c>
      <c r="G9" s="11">
        <v>3.3</v>
      </c>
      <c r="H9" s="11">
        <v>230</v>
      </c>
      <c r="I9" s="11">
        <v>7</v>
      </c>
      <c r="J9" s="11">
        <v>35</v>
      </c>
      <c r="K9" s="11" t="s">
        <v>202</v>
      </c>
      <c r="L9" s="11" t="s">
        <v>189</v>
      </c>
      <c r="M9" s="18" t="s">
        <v>30</v>
      </c>
      <c r="N9" s="2">
        <v>0</v>
      </c>
      <c r="O9" s="2">
        <f>7.7</f>
        <v>7.7</v>
      </c>
      <c r="P9" s="2">
        <v>1</v>
      </c>
      <c r="Q9" s="2">
        <v>0</v>
      </c>
      <c r="R9" s="2">
        <v>0</v>
      </c>
      <c r="S9" s="2">
        <v>25</v>
      </c>
      <c r="T9" s="2">
        <v>5</v>
      </c>
      <c r="U9" s="2">
        <v>6</v>
      </c>
      <c r="V9" s="14" t="s">
        <v>197</v>
      </c>
      <c r="W9" s="26" t="s">
        <v>198</v>
      </c>
    </row>
    <row r="10" spans="1:23" x14ac:dyDescent="0.2">
      <c r="A10" s="1" t="s">
        <v>193</v>
      </c>
      <c r="B10" s="2" t="s">
        <v>192</v>
      </c>
      <c r="C10" s="2" t="s">
        <v>205</v>
      </c>
      <c r="D10" s="17">
        <v>40000</v>
      </c>
      <c r="E10" s="17">
        <v>75000</v>
      </c>
      <c r="F10" s="14" t="s">
        <v>29</v>
      </c>
      <c r="G10" s="11">
        <v>3.3</v>
      </c>
      <c r="H10" s="11">
        <v>230</v>
      </c>
      <c r="I10" s="11">
        <v>7</v>
      </c>
      <c r="J10" s="11">
        <v>35</v>
      </c>
      <c r="K10" s="11" t="s">
        <v>202</v>
      </c>
      <c r="L10" s="11" t="s">
        <v>189</v>
      </c>
      <c r="M10" s="18" t="s">
        <v>30</v>
      </c>
      <c r="N10" s="2">
        <v>0</v>
      </c>
      <c r="O10" s="2">
        <f>7.7</f>
        <v>7.7</v>
      </c>
      <c r="P10" s="2">
        <v>1</v>
      </c>
      <c r="Q10" s="2">
        <v>0</v>
      </c>
      <c r="R10" s="2">
        <v>0</v>
      </c>
      <c r="S10" s="2">
        <v>25</v>
      </c>
      <c r="T10" s="2">
        <v>5</v>
      </c>
      <c r="U10" s="2">
        <v>6</v>
      </c>
      <c r="V10" s="14" t="s">
        <v>197</v>
      </c>
      <c r="W10" s="26" t="s">
        <v>198</v>
      </c>
    </row>
    <row r="11" spans="1:23" x14ac:dyDescent="0.2">
      <c r="A11" s="1" t="s">
        <v>193</v>
      </c>
      <c r="B11" s="2" t="s">
        <v>192</v>
      </c>
      <c r="C11" s="2" t="s">
        <v>205</v>
      </c>
      <c r="D11" s="17">
        <v>75000</v>
      </c>
      <c r="E11" s="17">
        <v>10000000</v>
      </c>
      <c r="F11" s="14" t="s">
        <v>29</v>
      </c>
      <c r="G11" s="11">
        <v>3.2</v>
      </c>
      <c r="H11" s="11">
        <v>230</v>
      </c>
      <c r="I11" s="11">
        <v>7</v>
      </c>
      <c r="J11" s="11">
        <v>35</v>
      </c>
      <c r="K11" s="11" t="s">
        <v>202</v>
      </c>
      <c r="L11" s="11" t="s">
        <v>189</v>
      </c>
      <c r="M11" s="18" t="s">
        <v>30</v>
      </c>
      <c r="N11" s="2">
        <v>0</v>
      </c>
      <c r="O11" s="2">
        <f>7.7</f>
        <v>7.7</v>
      </c>
      <c r="P11" s="2">
        <v>1</v>
      </c>
      <c r="Q11" s="2">
        <v>0</v>
      </c>
      <c r="R11" s="2">
        <v>0</v>
      </c>
      <c r="S11" s="2">
        <v>25</v>
      </c>
      <c r="T11" s="2">
        <v>5</v>
      </c>
      <c r="U11" s="2">
        <v>6</v>
      </c>
      <c r="V11" s="14" t="s">
        <v>197</v>
      </c>
      <c r="W11" s="26" t="s">
        <v>198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Z8"/>
  <sheetViews>
    <sheetView topLeftCell="L1" zoomScale="110" zoomScaleNormal="110" workbookViewId="0">
      <selection activeCell="AB23" sqref="AB23"/>
    </sheetView>
  </sheetViews>
  <sheetFormatPr baseColWidth="10" defaultColWidth="9.1640625" defaultRowHeight="15" x14ac:dyDescent="0.2"/>
  <cols>
    <col min="1" max="1" width="43.33203125" customWidth="1"/>
    <col min="2" max="2" width="12.6640625" customWidth="1"/>
    <col min="3" max="3" width="19.6640625" customWidth="1"/>
    <col min="4" max="5" width="19.33203125" customWidth="1"/>
    <col min="14" max="14" width="10" bestFit="1" customWidth="1"/>
    <col min="15" max="15" width="17.33203125" bestFit="1" customWidth="1"/>
    <col min="18" max="18" width="10" bestFit="1" customWidth="1"/>
    <col min="22" max="22" width="18.1640625" bestFit="1" customWidth="1"/>
    <col min="24" max="24" width="7" customWidth="1"/>
    <col min="26" max="26" width="17.33203125" bestFit="1" customWidth="1"/>
    <col min="257" max="257" width="43.33203125" customWidth="1"/>
    <col min="258" max="258" width="12.6640625" customWidth="1"/>
    <col min="259" max="259" width="19.6640625" customWidth="1"/>
    <col min="260" max="261" width="19.33203125" customWidth="1"/>
    <col min="270" max="270" width="10" bestFit="1" customWidth="1"/>
    <col min="271" max="271" width="17.33203125" bestFit="1" customWidth="1"/>
    <col min="274" max="274" width="10" bestFit="1" customWidth="1"/>
    <col min="278" max="278" width="18.1640625" bestFit="1" customWidth="1"/>
    <col min="280" max="280" width="7" customWidth="1"/>
    <col min="282" max="282" width="17.33203125" bestFit="1" customWidth="1"/>
    <col min="513" max="513" width="43.33203125" customWidth="1"/>
    <col min="514" max="514" width="12.6640625" customWidth="1"/>
    <col min="515" max="515" width="19.6640625" customWidth="1"/>
    <col min="516" max="517" width="19.33203125" customWidth="1"/>
    <col min="526" max="526" width="10" bestFit="1" customWidth="1"/>
    <col min="527" max="527" width="17.33203125" bestFit="1" customWidth="1"/>
    <col min="530" max="530" width="10" bestFit="1" customWidth="1"/>
    <col min="534" max="534" width="18.1640625" bestFit="1" customWidth="1"/>
    <col min="536" max="536" width="7" customWidth="1"/>
    <col min="538" max="538" width="17.33203125" bestFit="1" customWidth="1"/>
    <col min="769" max="769" width="43.33203125" customWidth="1"/>
    <col min="770" max="770" width="12.6640625" customWidth="1"/>
    <col min="771" max="771" width="19.6640625" customWidth="1"/>
    <col min="772" max="773" width="19.33203125" customWidth="1"/>
    <col min="782" max="782" width="10" bestFit="1" customWidth="1"/>
    <col min="783" max="783" width="17.33203125" bestFit="1" customWidth="1"/>
    <col min="786" max="786" width="10" bestFit="1" customWidth="1"/>
    <col min="790" max="790" width="18.1640625" bestFit="1" customWidth="1"/>
    <col min="792" max="792" width="7" customWidth="1"/>
    <col min="794" max="794" width="17.33203125" bestFit="1" customWidth="1"/>
    <col min="1025" max="1025" width="43.33203125" customWidth="1"/>
    <col min="1026" max="1026" width="12.6640625" customWidth="1"/>
    <col min="1027" max="1027" width="19.6640625" customWidth="1"/>
    <col min="1028" max="1029" width="19.33203125" customWidth="1"/>
    <col min="1038" max="1038" width="10" bestFit="1" customWidth="1"/>
    <col min="1039" max="1039" width="17.33203125" bestFit="1" customWidth="1"/>
    <col min="1042" max="1042" width="10" bestFit="1" customWidth="1"/>
    <col min="1046" max="1046" width="18.1640625" bestFit="1" customWidth="1"/>
    <col min="1048" max="1048" width="7" customWidth="1"/>
    <col min="1050" max="1050" width="17.33203125" bestFit="1" customWidth="1"/>
    <col min="1281" max="1281" width="43.33203125" customWidth="1"/>
    <col min="1282" max="1282" width="12.6640625" customWidth="1"/>
    <col min="1283" max="1283" width="19.6640625" customWidth="1"/>
    <col min="1284" max="1285" width="19.33203125" customWidth="1"/>
    <col min="1294" max="1294" width="10" bestFit="1" customWidth="1"/>
    <col min="1295" max="1295" width="17.33203125" bestFit="1" customWidth="1"/>
    <col min="1298" max="1298" width="10" bestFit="1" customWidth="1"/>
    <col min="1302" max="1302" width="18.1640625" bestFit="1" customWidth="1"/>
    <col min="1304" max="1304" width="7" customWidth="1"/>
    <col min="1306" max="1306" width="17.33203125" bestFit="1" customWidth="1"/>
    <col min="1537" max="1537" width="43.33203125" customWidth="1"/>
    <col min="1538" max="1538" width="12.6640625" customWidth="1"/>
    <col min="1539" max="1539" width="19.6640625" customWidth="1"/>
    <col min="1540" max="1541" width="19.33203125" customWidth="1"/>
    <col min="1550" max="1550" width="10" bestFit="1" customWidth="1"/>
    <col min="1551" max="1551" width="17.33203125" bestFit="1" customWidth="1"/>
    <col min="1554" max="1554" width="10" bestFit="1" customWidth="1"/>
    <col min="1558" max="1558" width="18.1640625" bestFit="1" customWidth="1"/>
    <col min="1560" max="1560" width="7" customWidth="1"/>
    <col min="1562" max="1562" width="17.33203125" bestFit="1" customWidth="1"/>
    <col min="1793" max="1793" width="43.33203125" customWidth="1"/>
    <col min="1794" max="1794" width="12.6640625" customWidth="1"/>
    <col min="1795" max="1795" width="19.6640625" customWidth="1"/>
    <col min="1796" max="1797" width="19.33203125" customWidth="1"/>
    <col min="1806" max="1806" width="10" bestFit="1" customWidth="1"/>
    <col min="1807" max="1807" width="17.33203125" bestFit="1" customWidth="1"/>
    <col min="1810" max="1810" width="10" bestFit="1" customWidth="1"/>
    <col min="1814" max="1814" width="18.1640625" bestFit="1" customWidth="1"/>
    <col min="1816" max="1816" width="7" customWidth="1"/>
    <col min="1818" max="1818" width="17.33203125" bestFit="1" customWidth="1"/>
    <col min="2049" max="2049" width="43.33203125" customWidth="1"/>
    <col min="2050" max="2050" width="12.6640625" customWidth="1"/>
    <col min="2051" max="2051" width="19.6640625" customWidth="1"/>
    <col min="2052" max="2053" width="19.33203125" customWidth="1"/>
    <col min="2062" max="2062" width="10" bestFit="1" customWidth="1"/>
    <col min="2063" max="2063" width="17.33203125" bestFit="1" customWidth="1"/>
    <col min="2066" max="2066" width="10" bestFit="1" customWidth="1"/>
    <col min="2070" max="2070" width="18.1640625" bestFit="1" customWidth="1"/>
    <col min="2072" max="2072" width="7" customWidth="1"/>
    <col min="2074" max="2074" width="17.33203125" bestFit="1" customWidth="1"/>
    <col min="2305" max="2305" width="43.33203125" customWidth="1"/>
    <col min="2306" max="2306" width="12.6640625" customWidth="1"/>
    <col min="2307" max="2307" width="19.6640625" customWidth="1"/>
    <col min="2308" max="2309" width="19.33203125" customWidth="1"/>
    <col min="2318" max="2318" width="10" bestFit="1" customWidth="1"/>
    <col min="2319" max="2319" width="17.33203125" bestFit="1" customWidth="1"/>
    <col min="2322" max="2322" width="10" bestFit="1" customWidth="1"/>
    <col min="2326" max="2326" width="18.1640625" bestFit="1" customWidth="1"/>
    <col min="2328" max="2328" width="7" customWidth="1"/>
    <col min="2330" max="2330" width="17.33203125" bestFit="1" customWidth="1"/>
    <col min="2561" max="2561" width="43.33203125" customWidth="1"/>
    <col min="2562" max="2562" width="12.6640625" customWidth="1"/>
    <col min="2563" max="2563" width="19.6640625" customWidth="1"/>
    <col min="2564" max="2565" width="19.33203125" customWidth="1"/>
    <col min="2574" max="2574" width="10" bestFit="1" customWidth="1"/>
    <col min="2575" max="2575" width="17.33203125" bestFit="1" customWidth="1"/>
    <col min="2578" max="2578" width="10" bestFit="1" customWidth="1"/>
    <col min="2582" max="2582" width="18.1640625" bestFit="1" customWidth="1"/>
    <col min="2584" max="2584" width="7" customWidth="1"/>
    <col min="2586" max="2586" width="17.33203125" bestFit="1" customWidth="1"/>
    <col min="2817" max="2817" width="43.33203125" customWidth="1"/>
    <col min="2818" max="2818" width="12.6640625" customWidth="1"/>
    <col min="2819" max="2819" width="19.6640625" customWidth="1"/>
    <col min="2820" max="2821" width="19.33203125" customWidth="1"/>
    <col min="2830" max="2830" width="10" bestFit="1" customWidth="1"/>
    <col min="2831" max="2831" width="17.33203125" bestFit="1" customWidth="1"/>
    <col min="2834" max="2834" width="10" bestFit="1" customWidth="1"/>
    <col min="2838" max="2838" width="18.1640625" bestFit="1" customWidth="1"/>
    <col min="2840" max="2840" width="7" customWidth="1"/>
    <col min="2842" max="2842" width="17.33203125" bestFit="1" customWidth="1"/>
    <col min="3073" max="3073" width="43.33203125" customWidth="1"/>
    <col min="3074" max="3074" width="12.6640625" customWidth="1"/>
    <col min="3075" max="3075" width="19.6640625" customWidth="1"/>
    <col min="3076" max="3077" width="19.33203125" customWidth="1"/>
    <col min="3086" max="3086" width="10" bestFit="1" customWidth="1"/>
    <col min="3087" max="3087" width="17.33203125" bestFit="1" customWidth="1"/>
    <col min="3090" max="3090" width="10" bestFit="1" customWidth="1"/>
    <col min="3094" max="3094" width="18.1640625" bestFit="1" customWidth="1"/>
    <col min="3096" max="3096" width="7" customWidth="1"/>
    <col min="3098" max="3098" width="17.33203125" bestFit="1" customWidth="1"/>
    <col min="3329" max="3329" width="43.33203125" customWidth="1"/>
    <col min="3330" max="3330" width="12.6640625" customWidth="1"/>
    <col min="3331" max="3331" width="19.6640625" customWidth="1"/>
    <col min="3332" max="3333" width="19.33203125" customWidth="1"/>
    <col min="3342" max="3342" width="10" bestFit="1" customWidth="1"/>
    <col min="3343" max="3343" width="17.33203125" bestFit="1" customWidth="1"/>
    <col min="3346" max="3346" width="10" bestFit="1" customWidth="1"/>
    <col min="3350" max="3350" width="18.1640625" bestFit="1" customWidth="1"/>
    <col min="3352" max="3352" width="7" customWidth="1"/>
    <col min="3354" max="3354" width="17.33203125" bestFit="1" customWidth="1"/>
    <col min="3585" max="3585" width="43.33203125" customWidth="1"/>
    <col min="3586" max="3586" width="12.6640625" customWidth="1"/>
    <col min="3587" max="3587" width="19.6640625" customWidth="1"/>
    <col min="3588" max="3589" width="19.33203125" customWidth="1"/>
    <col min="3598" max="3598" width="10" bestFit="1" customWidth="1"/>
    <col min="3599" max="3599" width="17.33203125" bestFit="1" customWidth="1"/>
    <col min="3602" max="3602" width="10" bestFit="1" customWidth="1"/>
    <col min="3606" max="3606" width="18.1640625" bestFit="1" customWidth="1"/>
    <col min="3608" max="3608" width="7" customWidth="1"/>
    <col min="3610" max="3610" width="17.33203125" bestFit="1" customWidth="1"/>
    <col min="3841" max="3841" width="43.33203125" customWidth="1"/>
    <col min="3842" max="3842" width="12.6640625" customWidth="1"/>
    <col min="3843" max="3843" width="19.6640625" customWidth="1"/>
    <col min="3844" max="3845" width="19.33203125" customWidth="1"/>
    <col min="3854" max="3854" width="10" bestFit="1" customWidth="1"/>
    <col min="3855" max="3855" width="17.33203125" bestFit="1" customWidth="1"/>
    <col min="3858" max="3858" width="10" bestFit="1" customWidth="1"/>
    <col min="3862" max="3862" width="18.1640625" bestFit="1" customWidth="1"/>
    <col min="3864" max="3864" width="7" customWidth="1"/>
    <col min="3866" max="3866" width="17.33203125" bestFit="1" customWidth="1"/>
    <col min="4097" max="4097" width="43.33203125" customWidth="1"/>
    <col min="4098" max="4098" width="12.6640625" customWidth="1"/>
    <col min="4099" max="4099" width="19.6640625" customWidth="1"/>
    <col min="4100" max="4101" width="19.33203125" customWidth="1"/>
    <col min="4110" max="4110" width="10" bestFit="1" customWidth="1"/>
    <col min="4111" max="4111" width="17.33203125" bestFit="1" customWidth="1"/>
    <col min="4114" max="4114" width="10" bestFit="1" customWidth="1"/>
    <col min="4118" max="4118" width="18.1640625" bestFit="1" customWidth="1"/>
    <col min="4120" max="4120" width="7" customWidth="1"/>
    <col min="4122" max="4122" width="17.33203125" bestFit="1" customWidth="1"/>
    <col min="4353" max="4353" width="43.33203125" customWidth="1"/>
    <col min="4354" max="4354" width="12.6640625" customWidth="1"/>
    <col min="4355" max="4355" width="19.6640625" customWidth="1"/>
    <col min="4356" max="4357" width="19.33203125" customWidth="1"/>
    <col min="4366" max="4366" width="10" bestFit="1" customWidth="1"/>
    <col min="4367" max="4367" width="17.33203125" bestFit="1" customWidth="1"/>
    <col min="4370" max="4370" width="10" bestFit="1" customWidth="1"/>
    <col min="4374" max="4374" width="18.1640625" bestFit="1" customWidth="1"/>
    <col min="4376" max="4376" width="7" customWidth="1"/>
    <col min="4378" max="4378" width="17.33203125" bestFit="1" customWidth="1"/>
    <col min="4609" max="4609" width="43.33203125" customWidth="1"/>
    <col min="4610" max="4610" width="12.6640625" customWidth="1"/>
    <col min="4611" max="4611" width="19.6640625" customWidth="1"/>
    <col min="4612" max="4613" width="19.33203125" customWidth="1"/>
    <col min="4622" max="4622" width="10" bestFit="1" customWidth="1"/>
    <col min="4623" max="4623" width="17.33203125" bestFit="1" customWidth="1"/>
    <col min="4626" max="4626" width="10" bestFit="1" customWidth="1"/>
    <col min="4630" max="4630" width="18.1640625" bestFit="1" customWidth="1"/>
    <col min="4632" max="4632" width="7" customWidth="1"/>
    <col min="4634" max="4634" width="17.33203125" bestFit="1" customWidth="1"/>
    <col min="4865" max="4865" width="43.33203125" customWidth="1"/>
    <col min="4866" max="4866" width="12.6640625" customWidth="1"/>
    <col min="4867" max="4867" width="19.6640625" customWidth="1"/>
    <col min="4868" max="4869" width="19.33203125" customWidth="1"/>
    <col min="4878" max="4878" width="10" bestFit="1" customWidth="1"/>
    <col min="4879" max="4879" width="17.33203125" bestFit="1" customWidth="1"/>
    <col min="4882" max="4882" width="10" bestFit="1" customWidth="1"/>
    <col min="4886" max="4886" width="18.1640625" bestFit="1" customWidth="1"/>
    <col min="4888" max="4888" width="7" customWidth="1"/>
    <col min="4890" max="4890" width="17.33203125" bestFit="1" customWidth="1"/>
    <col min="5121" max="5121" width="43.33203125" customWidth="1"/>
    <col min="5122" max="5122" width="12.6640625" customWidth="1"/>
    <col min="5123" max="5123" width="19.6640625" customWidth="1"/>
    <col min="5124" max="5125" width="19.33203125" customWidth="1"/>
    <col min="5134" max="5134" width="10" bestFit="1" customWidth="1"/>
    <col min="5135" max="5135" width="17.33203125" bestFit="1" customWidth="1"/>
    <col min="5138" max="5138" width="10" bestFit="1" customWidth="1"/>
    <col min="5142" max="5142" width="18.1640625" bestFit="1" customWidth="1"/>
    <col min="5144" max="5144" width="7" customWidth="1"/>
    <col min="5146" max="5146" width="17.33203125" bestFit="1" customWidth="1"/>
    <col min="5377" max="5377" width="43.33203125" customWidth="1"/>
    <col min="5378" max="5378" width="12.6640625" customWidth="1"/>
    <col min="5379" max="5379" width="19.6640625" customWidth="1"/>
    <col min="5380" max="5381" width="19.33203125" customWidth="1"/>
    <col min="5390" max="5390" width="10" bestFit="1" customWidth="1"/>
    <col min="5391" max="5391" width="17.33203125" bestFit="1" customWidth="1"/>
    <col min="5394" max="5394" width="10" bestFit="1" customWidth="1"/>
    <col min="5398" max="5398" width="18.1640625" bestFit="1" customWidth="1"/>
    <col min="5400" max="5400" width="7" customWidth="1"/>
    <col min="5402" max="5402" width="17.33203125" bestFit="1" customWidth="1"/>
    <col min="5633" max="5633" width="43.33203125" customWidth="1"/>
    <col min="5634" max="5634" width="12.6640625" customWidth="1"/>
    <col min="5635" max="5635" width="19.6640625" customWidth="1"/>
    <col min="5636" max="5637" width="19.33203125" customWidth="1"/>
    <col min="5646" max="5646" width="10" bestFit="1" customWidth="1"/>
    <col min="5647" max="5647" width="17.33203125" bestFit="1" customWidth="1"/>
    <col min="5650" max="5650" width="10" bestFit="1" customWidth="1"/>
    <col min="5654" max="5654" width="18.1640625" bestFit="1" customWidth="1"/>
    <col min="5656" max="5656" width="7" customWidth="1"/>
    <col min="5658" max="5658" width="17.33203125" bestFit="1" customWidth="1"/>
    <col min="5889" max="5889" width="43.33203125" customWidth="1"/>
    <col min="5890" max="5890" width="12.6640625" customWidth="1"/>
    <col min="5891" max="5891" width="19.6640625" customWidth="1"/>
    <col min="5892" max="5893" width="19.33203125" customWidth="1"/>
    <col min="5902" max="5902" width="10" bestFit="1" customWidth="1"/>
    <col min="5903" max="5903" width="17.33203125" bestFit="1" customWidth="1"/>
    <col min="5906" max="5906" width="10" bestFit="1" customWidth="1"/>
    <col min="5910" max="5910" width="18.1640625" bestFit="1" customWidth="1"/>
    <col min="5912" max="5912" width="7" customWidth="1"/>
    <col min="5914" max="5914" width="17.33203125" bestFit="1" customWidth="1"/>
    <col min="6145" max="6145" width="43.33203125" customWidth="1"/>
    <col min="6146" max="6146" width="12.6640625" customWidth="1"/>
    <col min="6147" max="6147" width="19.6640625" customWidth="1"/>
    <col min="6148" max="6149" width="19.33203125" customWidth="1"/>
    <col min="6158" max="6158" width="10" bestFit="1" customWidth="1"/>
    <col min="6159" max="6159" width="17.33203125" bestFit="1" customWidth="1"/>
    <col min="6162" max="6162" width="10" bestFit="1" customWidth="1"/>
    <col min="6166" max="6166" width="18.1640625" bestFit="1" customWidth="1"/>
    <col min="6168" max="6168" width="7" customWidth="1"/>
    <col min="6170" max="6170" width="17.33203125" bestFit="1" customWidth="1"/>
    <col min="6401" max="6401" width="43.33203125" customWidth="1"/>
    <col min="6402" max="6402" width="12.6640625" customWidth="1"/>
    <col min="6403" max="6403" width="19.6640625" customWidth="1"/>
    <col min="6404" max="6405" width="19.33203125" customWidth="1"/>
    <col min="6414" max="6414" width="10" bestFit="1" customWidth="1"/>
    <col min="6415" max="6415" width="17.33203125" bestFit="1" customWidth="1"/>
    <col min="6418" max="6418" width="10" bestFit="1" customWidth="1"/>
    <col min="6422" max="6422" width="18.1640625" bestFit="1" customWidth="1"/>
    <col min="6424" max="6424" width="7" customWidth="1"/>
    <col min="6426" max="6426" width="17.33203125" bestFit="1" customWidth="1"/>
    <col min="6657" max="6657" width="43.33203125" customWidth="1"/>
    <col min="6658" max="6658" width="12.6640625" customWidth="1"/>
    <col min="6659" max="6659" width="19.6640625" customWidth="1"/>
    <col min="6660" max="6661" width="19.33203125" customWidth="1"/>
    <col min="6670" max="6670" width="10" bestFit="1" customWidth="1"/>
    <col min="6671" max="6671" width="17.33203125" bestFit="1" customWidth="1"/>
    <col min="6674" max="6674" width="10" bestFit="1" customWidth="1"/>
    <col min="6678" max="6678" width="18.1640625" bestFit="1" customWidth="1"/>
    <col min="6680" max="6680" width="7" customWidth="1"/>
    <col min="6682" max="6682" width="17.33203125" bestFit="1" customWidth="1"/>
    <col min="6913" max="6913" width="43.33203125" customWidth="1"/>
    <col min="6914" max="6914" width="12.6640625" customWidth="1"/>
    <col min="6915" max="6915" width="19.6640625" customWidth="1"/>
    <col min="6916" max="6917" width="19.33203125" customWidth="1"/>
    <col min="6926" max="6926" width="10" bestFit="1" customWidth="1"/>
    <col min="6927" max="6927" width="17.33203125" bestFit="1" customWidth="1"/>
    <col min="6930" max="6930" width="10" bestFit="1" customWidth="1"/>
    <col min="6934" max="6934" width="18.1640625" bestFit="1" customWidth="1"/>
    <col min="6936" max="6936" width="7" customWidth="1"/>
    <col min="6938" max="6938" width="17.33203125" bestFit="1" customWidth="1"/>
    <col min="7169" max="7169" width="43.33203125" customWidth="1"/>
    <col min="7170" max="7170" width="12.6640625" customWidth="1"/>
    <col min="7171" max="7171" width="19.6640625" customWidth="1"/>
    <col min="7172" max="7173" width="19.33203125" customWidth="1"/>
    <col min="7182" max="7182" width="10" bestFit="1" customWidth="1"/>
    <col min="7183" max="7183" width="17.33203125" bestFit="1" customWidth="1"/>
    <col min="7186" max="7186" width="10" bestFit="1" customWidth="1"/>
    <col min="7190" max="7190" width="18.1640625" bestFit="1" customWidth="1"/>
    <col min="7192" max="7192" width="7" customWidth="1"/>
    <col min="7194" max="7194" width="17.33203125" bestFit="1" customWidth="1"/>
    <col min="7425" max="7425" width="43.33203125" customWidth="1"/>
    <col min="7426" max="7426" width="12.6640625" customWidth="1"/>
    <col min="7427" max="7427" width="19.6640625" customWidth="1"/>
    <col min="7428" max="7429" width="19.33203125" customWidth="1"/>
    <col min="7438" max="7438" width="10" bestFit="1" customWidth="1"/>
    <col min="7439" max="7439" width="17.33203125" bestFit="1" customWidth="1"/>
    <col min="7442" max="7442" width="10" bestFit="1" customWidth="1"/>
    <col min="7446" max="7446" width="18.1640625" bestFit="1" customWidth="1"/>
    <col min="7448" max="7448" width="7" customWidth="1"/>
    <col min="7450" max="7450" width="17.33203125" bestFit="1" customWidth="1"/>
    <col min="7681" max="7681" width="43.33203125" customWidth="1"/>
    <col min="7682" max="7682" width="12.6640625" customWidth="1"/>
    <col min="7683" max="7683" width="19.6640625" customWidth="1"/>
    <col min="7684" max="7685" width="19.33203125" customWidth="1"/>
    <col min="7694" max="7694" width="10" bestFit="1" customWidth="1"/>
    <col min="7695" max="7695" width="17.33203125" bestFit="1" customWidth="1"/>
    <col min="7698" max="7698" width="10" bestFit="1" customWidth="1"/>
    <col min="7702" max="7702" width="18.1640625" bestFit="1" customWidth="1"/>
    <col min="7704" max="7704" width="7" customWidth="1"/>
    <col min="7706" max="7706" width="17.33203125" bestFit="1" customWidth="1"/>
    <col min="7937" max="7937" width="43.33203125" customWidth="1"/>
    <col min="7938" max="7938" width="12.6640625" customWidth="1"/>
    <col min="7939" max="7939" width="19.6640625" customWidth="1"/>
    <col min="7940" max="7941" width="19.33203125" customWidth="1"/>
    <col min="7950" max="7950" width="10" bestFit="1" customWidth="1"/>
    <col min="7951" max="7951" width="17.33203125" bestFit="1" customWidth="1"/>
    <col min="7954" max="7954" width="10" bestFit="1" customWidth="1"/>
    <col min="7958" max="7958" width="18.1640625" bestFit="1" customWidth="1"/>
    <col min="7960" max="7960" width="7" customWidth="1"/>
    <col min="7962" max="7962" width="17.33203125" bestFit="1" customWidth="1"/>
    <col min="8193" max="8193" width="43.33203125" customWidth="1"/>
    <col min="8194" max="8194" width="12.6640625" customWidth="1"/>
    <col min="8195" max="8195" width="19.6640625" customWidth="1"/>
    <col min="8196" max="8197" width="19.33203125" customWidth="1"/>
    <col min="8206" max="8206" width="10" bestFit="1" customWidth="1"/>
    <col min="8207" max="8207" width="17.33203125" bestFit="1" customWidth="1"/>
    <col min="8210" max="8210" width="10" bestFit="1" customWidth="1"/>
    <col min="8214" max="8214" width="18.1640625" bestFit="1" customWidth="1"/>
    <col min="8216" max="8216" width="7" customWidth="1"/>
    <col min="8218" max="8218" width="17.33203125" bestFit="1" customWidth="1"/>
    <col min="8449" max="8449" width="43.33203125" customWidth="1"/>
    <col min="8450" max="8450" width="12.6640625" customWidth="1"/>
    <col min="8451" max="8451" width="19.6640625" customWidth="1"/>
    <col min="8452" max="8453" width="19.33203125" customWidth="1"/>
    <col min="8462" max="8462" width="10" bestFit="1" customWidth="1"/>
    <col min="8463" max="8463" width="17.33203125" bestFit="1" customWidth="1"/>
    <col min="8466" max="8466" width="10" bestFit="1" customWidth="1"/>
    <col min="8470" max="8470" width="18.1640625" bestFit="1" customWidth="1"/>
    <col min="8472" max="8472" width="7" customWidth="1"/>
    <col min="8474" max="8474" width="17.33203125" bestFit="1" customWidth="1"/>
    <col min="8705" max="8705" width="43.33203125" customWidth="1"/>
    <col min="8706" max="8706" width="12.6640625" customWidth="1"/>
    <col min="8707" max="8707" width="19.6640625" customWidth="1"/>
    <col min="8708" max="8709" width="19.33203125" customWidth="1"/>
    <col min="8718" max="8718" width="10" bestFit="1" customWidth="1"/>
    <col min="8719" max="8719" width="17.33203125" bestFit="1" customWidth="1"/>
    <col min="8722" max="8722" width="10" bestFit="1" customWidth="1"/>
    <col min="8726" max="8726" width="18.1640625" bestFit="1" customWidth="1"/>
    <col min="8728" max="8728" width="7" customWidth="1"/>
    <col min="8730" max="8730" width="17.33203125" bestFit="1" customWidth="1"/>
    <col min="8961" max="8961" width="43.33203125" customWidth="1"/>
    <col min="8962" max="8962" width="12.6640625" customWidth="1"/>
    <col min="8963" max="8963" width="19.6640625" customWidth="1"/>
    <col min="8964" max="8965" width="19.33203125" customWidth="1"/>
    <col min="8974" max="8974" width="10" bestFit="1" customWidth="1"/>
    <col min="8975" max="8975" width="17.33203125" bestFit="1" customWidth="1"/>
    <col min="8978" max="8978" width="10" bestFit="1" customWidth="1"/>
    <col min="8982" max="8982" width="18.1640625" bestFit="1" customWidth="1"/>
    <col min="8984" max="8984" width="7" customWidth="1"/>
    <col min="8986" max="8986" width="17.33203125" bestFit="1" customWidth="1"/>
    <col min="9217" max="9217" width="43.33203125" customWidth="1"/>
    <col min="9218" max="9218" width="12.6640625" customWidth="1"/>
    <col min="9219" max="9219" width="19.6640625" customWidth="1"/>
    <col min="9220" max="9221" width="19.33203125" customWidth="1"/>
    <col min="9230" max="9230" width="10" bestFit="1" customWidth="1"/>
    <col min="9231" max="9231" width="17.33203125" bestFit="1" customWidth="1"/>
    <col min="9234" max="9234" width="10" bestFit="1" customWidth="1"/>
    <col min="9238" max="9238" width="18.1640625" bestFit="1" customWidth="1"/>
    <col min="9240" max="9240" width="7" customWidth="1"/>
    <col min="9242" max="9242" width="17.33203125" bestFit="1" customWidth="1"/>
    <col min="9473" max="9473" width="43.33203125" customWidth="1"/>
    <col min="9474" max="9474" width="12.6640625" customWidth="1"/>
    <col min="9475" max="9475" width="19.6640625" customWidth="1"/>
    <col min="9476" max="9477" width="19.33203125" customWidth="1"/>
    <col min="9486" max="9486" width="10" bestFit="1" customWidth="1"/>
    <col min="9487" max="9487" width="17.33203125" bestFit="1" customWidth="1"/>
    <col min="9490" max="9490" width="10" bestFit="1" customWidth="1"/>
    <col min="9494" max="9494" width="18.1640625" bestFit="1" customWidth="1"/>
    <col min="9496" max="9496" width="7" customWidth="1"/>
    <col min="9498" max="9498" width="17.33203125" bestFit="1" customWidth="1"/>
    <col min="9729" max="9729" width="43.33203125" customWidth="1"/>
    <col min="9730" max="9730" width="12.6640625" customWidth="1"/>
    <col min="9731" max="9731" width="19.6640625" customWidth="1"/>
    <col min="9732" max="9733" width="19.33203125" customWidth="1"/>
    <col min="9742" max="9742" width="10" bestFit="1" customWidth="1"/>
    <col min="9743" max="9743" width="17.33203125" bestFit="1" customWidth="1"/>
    <col min="9746" max="9746" width="10" bestFit="1" customWidth="1"/>
    <col min="9750" max="9750" width="18.1640625" bestFit="1" customWidth="1"/>
    <col min="9752" max="9752" width="7" customWidth="1"/>
    <col min="9754" max="9754" width="17.33203125" bestFit="1" customWidth="1"/>
    <col min="9985" max="9985" width="43.33203125" customWidth="1"/>
    <col min="9986" max="9986" width="12.6640625" customWidth="1"/>
    <col min="9987" max="9987" width="19.6640625" customWidth="1"/>
    <col min="9988" max="9989" width="19.33203125" customWidth="1"/>
    <col min="9998" max="9998" width="10" bestFit="1" customWidth="1"/>
    <col min="9999" max="9999" width="17.33203125" bestFit="1" customWidth="1"/>
    <col min="10002" max="10002" width="10" bestFit="1" customWidth="1"/>
    <col min="10006" max="10006" width="18.1640625" bestFit="1" customWidth="1"/>
    <col min="10008" max="10008" width="7" customWidth="1"/>
    <col min="10010" max="10010" width="17.33203125" bestFit="1" customWidth="1"/>
    <col min="10241" max="10241" width="43.33203125" customWidth="1"/>
    <col min="10242" max="10242" width="12.6640625" customWidth="1"/>
    <col min="10243" max="10243" width="19.6640625" customWidth="1"/>
    <col min="10244" max="10245" width="19.33203125" customWidth="1"/>
    <col min="10254" max="10254" width="10" bestFit="1" customWidth="1"/>
    <col min="10255" max="10255" width="17.33203125" bestFit="1" customWidth="1"/>
    <col min="10258" max="10258" width="10" bestFit="1" customWidth="1"/>
    <col min="10262" max="10262" width="18.1640625" bestFit="1" customWidth="1"/>
    <col min="10264" max="10264" width="7" customWidth="1"/>
    <col min="10266" max="10266" width="17.33203125" bestFit="1" customWidth="1"/>
    <col min="10497" max="10497" width="43.33203125" customWidth="1"/>
    <col min="10498" max="10498" width="12.6640625" customWidth="1"/>
    <col min="10499" max="10499" width="19.6640625" customWidth="1"/>
    <col min="10500" max="10501" width="19.33203125" customWidth="1"/>
    <col min="10510" max="10510" width="10" bestFit="1" customWidth="1"/>
    <col min="10511" max="10511" width="17.33203125" bestFit="1" customWidth="1"/>
    <col min="10514" max="10514" width="10" bestFit="1" customWidth="1"/>
    <col min="10518" max="10518" width="18.1640625" bestFit="1" customWidth="1"/>
    <col min="10520" max="10520" width="7" customWidth="1"/>
    <col min="10522" max="10522" width="17.33203125" bestFit="1" customWidth="1"/>
    <col min="10753" max="10753" width="43.33203125" customWidth="1"/>
    <col min="10754" max="10754" width="12.6640625" customWidth="1"/>
    <col min="10755" max="10755" width="19.6640625" customWidth="1"/>
    <col min="10756" max="10757" width="19.33203125" customWidth="1"/>
    <col min="10766" max="10766" width="10" bestFit="1" customWidth="1"/>
    <col min="10767" max="10767" width="17.33203125" bestFit="1" customWidth="1"/>
    <col min="10770" max="10770" width="10" bestFit="1" customWidth="1"/>
    <col min="10774" max="10774" width="18.1640625" bestFit="1" customWidth="1"/>
    <col min="10776" max="10776" width="7" customWidth="1"/>
    <col min="10778" max="10778" width="17.33203125" bestFit="1" customWidth="1"/>
    <col min="11009" max="11009" width="43.33203125" customWidth="1"/>
    <col min="11010" max="11010" width="12.6640625" customWidth="1"/>
    <col min="11011" max="11011" width="19.6640625" customWidth="1"/>
    <col min="11012" max="11013" width="19.33203125" customWidth="1"/>
    <col min="11022" max="11022" width="10" bestFit="1" customWidth="1"/>
    <col min="11023" max="11023" width="17.33203125" bestFit="1" customWidth="1"/>
    <col min="11026" max="11026" width="10" bestFit="1" customWidth="1"/>
    <col min="11030" max="11030" width="18.1640625" bestFit="1" customWidth="1"/>
    <col min="11032" max="11032" width="7" customWidth="1"/>
    <col min="11034" max="11034" width="17.33203125" bestFit="1" customWidth="1"/>
    <col min="11265" max="11265" width="43.33203125" customWidth="1"/>
    <col min="11266" max="11266" width="12.6640625" customWidth="1"/>
    <col min="11267" max="11267" width="19.6640625" customWidth="1"/>
    <col min="11268" max="11269" width="19.33203125" customWidth="1"/>
    <col min="11278" max="11278" width="10" bestFit="1" customWidth="1"/>
    <col min="11279" max="11279" width="17.33203125" bestFit="1" customWidth="1"/>
    <col min="11282" max="11282" width="10" bestFit="1" customWidth="1"/>
    <col min="11286" max="11286" width="18.1640625" bestFit="1" customWidth="1"/>
    <col min="11288" max="11288" width="7" customWidth="1"/>
    <col min="11290" max="11290" width="17.33203125" bestFit="1" customWidth="1"/>
    <col min="11521" max="11521" width="43.33203125" customWidth="1"/>
    <col min="11522" max="11522" width="12.6640625" customWidth="1"/>
    <col min="11523" max="11523" width="19.6640625" customWidth="1"/>
    <col min="11524" max="11525" width="19.33203125" customWidth="1"/>
    <col min="11534" max="11534" width="10" bestFit="1" customWidth="1"/>
    <col min="11535" max="11535" width="17.33203125" bestFit="1" customWidth="1"/>
    <col min="11538" max="11538" width="10" bestFit="1" customWidth="1"/>
    <col min="11542" max="11542" width="18.1640625" bestFit="1" customWidth="1"/>
    <col min="11544" max="11544" width="7" customWidth="1"/>
    <col min="11546" max="11546" width="17.33203125" bestFit="1" customWidth="1"/>
    <col min="11777" max="11777" width="43.33203125" customWidth="1"/>
    <col min="11778" max="11778" width="12.6640625" customWidth="1"/>
    <col min="11779" max="11779" width="19.6640625" customWidth="1"/>
    <col min="11780" max="11781" width="19.33203125" customWidth="1"/>
    <col min="11790" max="11790" width="10" bestFit="1" customWidth="1"/>
    <col min="11791" max="11791" width="17.33203125" bestFit="1" customWidth="1"/>
    <col min="11794" max="11794" width="10" bestFit="1" customWidth="1"/>
    <col min="11798" max="11798" width="18.1640625" bestFit="1" customWidth="1"/>
    <col min="11800" max="11800" width="7" customWidth="1"/>
    <col min="11802" max="11802" width="17.33203125" bestFit="1" customWidth="1"/>
    <col min="12033" max="12033" width="43.33203125" customWidth="1"/>
    <col min="12034" max="12034" width="12.6640625" customWidth="1"/>
    <col min="12035" max="12035" width="19.6640625" customWidth="1"/>
    <col min="12036" max="12037" width="19.33203125" customWidth="1"/>
    <col min="12046" max="12046" width="10" bestFit="1" customWidth="1"/>
    <col min="12047" max="12047" width="17.33203125" bestFit="1" customWidth="1"/>
    <col min="12050" max="12050" width="10" bestFit="1" customWidth="1"/>
    <col min="12054" max="12054" width="18.1640625" bestFit="1" customWidth="1"/>
    <col min="12056" max="12056" width="7" customWidth="1"/>
    <col min="12058" max="12058" width="17.33203125" bestFit="1" customWidth="1"/>
    <col min="12289" max="12289" width="43.33203125" customWidth="1"/>
    <col min="12290" max="12290" width="12.6640625" customWidth="1"/>
    <col min="12291" max="12291" width="19.6640625" customWidth="1"/>
    <col min="12292" max="12293" width="19.33203125" customWidth="1"/>
    <col min="12302" max="12302" width="10" bestFit="1" customWidth="1"/>
    <col min="12303" max="12303" width="17.33203125" bestFit="1" customWidth="1"/>
    <col min="12306" max="12306" width="10" bestFit="1" customWidth="1"/>
    <col min="12310" max="12310" width="18.1640625" bestFit="1" customWidth="1"/>
    <col min="12312" max="12312" width="7" customWidth="1"/>
    <col min="12314" max="12314" width="17.33203125" bestFit="1" customWidth="1"/>
    <col min="12545" max="12545" width="43.33203125" customWidth="1"/>
    <col min="12546" max="12546" width="12.6640625" customWidth="1"/>
    <col min="12547" max="12547" width="19.6640625" customWidth="1"/>
    <col min="12548" max="12549" width="19.33203125" customWidth="1"/>
    <col min="12558" max="12558" width="10" bestFit="1" customWidth="1"/>
    <col min="12559" max="12559" width="17.33203125" bestFit="1" customWidth="1"/>
    <col min="12562" max="12562" width="10" bestFit="1" customWidth="1"/>
    <col min="12566" max="12566" width="18.1640625" bestFit="1" customWidth="1"/>
    <col min="12568" max="12568" width="7" customWidth="1"/>
    <col min="12570" max="12570" width="17.33203125" bestFit="1" customWidth="1"/>
    <col min="12801" max="12801" width="43.33203125" customWidth="1"/>
    <col min="12802" max="12802" width="12.6640625" customWidth="1"/>
    <col min="12803" max="12803" width="19.6640625" customWidth="1"/>
    <col min="12804" max="12805" width="19.33203125" customWidth="1"/>
    <col min="12814" max="12814" width="10" bestFit="1" customWidth="1"/>
    <col min="12815" max="12815" width="17.33203125" bestFit="1" customWidth="1"/>
    <col min="12818" max="12818" width="10" bestFit="1" customWidth="1"/>
    <col min="12822" max="12822" width="18.1640625" bestFit="1" customWidth="1"/>
    <col min="12824" max="12824" width="7" customWidth="1"/>
    <col min="12826" max="12826" width="17.33203125" bestFit="1" customWidth="1"/>
    <col min="13057" max="13057" width="43.33203125" customWidth="1"/>
    <col min="13058" max="13058" width="12.6640625" customWidth="1"/>
    <col min="13059" max="13059" width="19.6640625" customWidth="1"/>
    <col min="13060" max="13061" width="19.33203125" customWidth="1"/>
    <col min="13070" max="13070" width="10" bestFit="1" customWidth="1"/>
    <col min="13071" max="13071" width="17.33203125" bestFit="1" customWidth="1"/>
    <col min="13074" max="13074" width="10" bestFit="1" customWidth="1"/>
    <col min="13078" max="13078" width="18.1640625" bestFit="1" customWidth="1"/>
    <col min="13080" max="13080" width="7" customWidth="1"/>
    <col min="13082" max="13082" width="17.33203125" bestFit="1" customWidth="1"/>
    <col min="13313" max="13313" width="43.33203125" customWidth="1"/>
    <col min="13314" max="13314" width="12.6640625" customWidth="1"/>
    <col min="13315" max="13315" width="19.6640625" customWidth="1"/>
    <col min="13316" max="13317" width="19.33203125" customWidth="1"/>
    <col min="13326" max="13326" width="10" bestFit="1" customWidth="1"/>
    <col min="13327" max="13327" width="17.33203125" bestFit="1" customWidth="1"/>
    <col min="13330" max="13330" width="10" bestFit="1" customWidth="1"/>
    <col min="13334" max="13334" width="18.1640625" bestFit="1" customWidth="1"/>
    <col min="13336" max="13336" width="7" customWidth="1"/>
    <col min="13338" max="13338" width="17.33203125" bestFit="1" customWidth="1"/>
    <col min="13569" max="13569" width="43.33203125" customWidth="1"/>
    <col min="13570" max="13570" width="12.6640625" customWidth="1"/>
    <col min="13571" max="13571" width="19.6640625" customWidth="1"/>
    <col min="13572" max="13573" width="19.33203125" customWidth="1"/>
    <col min="13582" max="13582" width="10" bestFit="1" customWidth="1"/>
    <col min="13583" max="13583" width="17.33203125" bestFit="1" customWidth="1"/>
    <col min="13586" max="13586" width="10" bestFit="1" customWidth="1"/>
    <col min="13590" max="13590" width="18.1640625" bestFit="1" customWidth="1"/>
    <col min="13592" max="13592" width="7" customWidth="1"/>
    <col min="13594" max="13594" width="17.33203125" bestFit="1" customWidth="1"/>
    <col min="13825" max="13825" width="43.33203125" customWidth="1"/>
    <col min="13826" max="13826" width="12.6640625" customWidth="1"/>
    <col min="13827" max="13827" width="19.6640625" customWidth="1"/>
    <col min="13828" max="13829" width="19.33203125" customWidth="1"/>
    <col min="13838" max="13838" width="10" bestFit="1" customWidth="1"/>
    <col min="13839" max="13839" width="17.33203125" bestFit="1" customWidth="1"/>
    <col min="13842" max="13842" width="10" bestFit="1" customWidth="1"/>
    <col min="13846" max="13846" width="18.1640625" bestFit="1" customWidth="1"/>
    <col min="13848" max="13848" width="7" customWidth="1"/>
    <col min="13850" max="13850" width="17.33203125" bestFit="1" customWidth="1"/>
    <col min="14081" max="14081" width="43.33203125" customWidth="1"/>
    <col min="14082" max="14082" width="12.6640625" customWidth="1"/>
    <col min="14083" max="14083" width="19.6640625" customWidth="1"/>
    <col min="14084" max="14085" width="19.33203125" customWidth="1"/>
    <col min="14094" max="14094" width="10" bestFit="1" customWidth="1"/>
    <col min="14095" max="14095" width="17.33203125" bestFit="1" customWidth="1"/>
    <col min="14098" max="14098" width="10" bestFit="1" customWidth="1"/>
    <col min="14102" max="14102" width="18.1640625" bestFit="1" customWidth="1"/>
    <col min="14104" max="14104" width="7" customWidth="1"/>
    <col min="14106" max="14106" width="17.33203125" bestFit="1" customWidth="1"/>
    <col min="14337" max="14337" width="43.33203125" customWidth="1"/>
    <col min="14338" max="14338" width="12.6640625" customWidth="1"/>
    <col min="14339" max="14339" width="19.6640625" customWidth="1"/>
    <col min="14340" max="14341" width="19.33203125" customWidth="1"/>
    <col min="14350" max="14350" width="10" bestFit="1" customWidth="1"/>
    <col min="14351" max="14351" width="17.33203125" bestFit="1" customWidth="1"/>
    <col min="14354" max="14354" width="10" bestFit="1" customWidth="1"/>
    <col min="14358" max="14358" width="18.1640625" bestFit="1" customWidth="1"/>
    <col min="14360" max="14360" width="7" customWidth="1"/>
    <col min="14362" max="14362" width="17.33203125" bestFit="1" customWidth="1"/>
    <col min="14593" max="14593" width="43.33203125" customWidth="1"/>
    <col min="14594" max="14594" width="12.6640625" customWidth="1"/>
    <col min="14595" max="14595" width="19.6640625" customWidth="1"/>
    <col min="14596" max="14597" width="19.33203125" customWidth="1"/>
    <col min="14606" max="14606" width="10" bestFit="1" customWidth="1"/>
    <col min="14607" max="14607" width="17.33203125" bestFit="1" customWidth="1"/>
    <col min="14610" max="14610" width="10" bestFit="1" customWidth="1"/>
    <col min="14614" max="14614" width="18.1640625" bestFit="1" customWidth="1"/>
    <col min="14616" max="14616" width="7" customWidth="1"/>
    <col min="14618" max="14618" width="17.33203125" bestFit="1" customWidth="1"/>
    <col min="14849" max="14849" width="43.33203125" customWidth="1"/>
    <col min="14850" max="14850" width="12.6640625" customWidth="1"/>
    <col min="14851" max="14851" width="19.6640625" customWidth="1"/>
    <col min="14852" max="14853" width="19.33203125" customWidth="1"/>
    <col min="14862" max="14862" width="10" bestFit="1" customWidth="1"/>
    <col min="14863" max="14863" width="17.33203125" bestFit="1" customWidth="1"/>
    <col min="14866" max="14866" width="10" bestFit="1" customWidth="1"/>
    <col min="14870" max="14870" width="18.1640625" bestFit="1" customWidth="1"/>
    <col min="14872" max="14872" width="7" customWidth="1"/>
    <col min="14874" max="14874" width="17.33203125" bestFit="1" customWidth="1"/>
    <col min="15105" max="15105" width="43.33203125" customWidth="1"/>
    <col min="15106" max="15106" width="12.6640625" customWidth="1"/>
    <col min="15107" max="15107" width="19.6640625" customWidth="1"/>
    <col min="15108" max="15109" width="19.33203125" customWidth="1"/>
    <col min="15118" max="15118" width="10" bestFit="1" customWidth="1"/>
    <col min="15119" max="15119" width="17.33203125" bestFit="1" customWidth="1"/>
    <col min="15122" max="15122" width="10" bestFit="1" customWidth="1"/>
    <col min="15126" max="15126" width="18.1640625" bestFit="1" customWidth="1"/>
    <col min="15128" max="15128" width="7" customWidth="1"/>
    <col min="15130" max="15130" width="17.33203125" bestFit="1" customWidth="1"/>
    <col min="15361" max="15361" width="43.33203125" customWidth="1"/>
    <col min="15362" max="15362" width="12.6640625" customWidth="1"/>
    <col min="15363" max="15363" width="19.6640625" customWidth="1"/>
    <col min="15364" max="15365" width="19.33203125" customWidth="1"/>
    <col min="15374" max="15374" width="10" bestFit="1" customWidth="1"/>
    <col min="15375" max="15375" width="17.33203125" bestFit="1" customWidth="1"/>
    <col min="15378" max="15378" width="10" bestFit="1" customWidth="1"/>
    <col min="15382" max="15382" width="18.1640625" bestFit="1" customWidth="1"/>
    <col min="15384" max="15384" width="7" customWidth="1"/>
    <col min="15386" max="15386" width="17.33203125" bestFit="1" customWidth="1"/>
    <col min="15617" max="15617" width="43.33203125" customWidth="1"/>
    <col min="15618" max="15618" width="12.6640625" customWidth="1"/>
    <col min="15619" max="15619" width="19.6640625" customWidth="1"/>
    <col min="15620" max="15621" width="19.33203125" customWidth="1"/>
    <col min="15630" max="15630" width="10" bestFit="1" customWidth="1"/>
    <col min="15631" max="15631" width="17.33203125" bestFit="1" customWidth="1"/>
    <col min="15634" max="15634" width="10" bestFit="1" customWidth="1"/>
    <col min="15638" max="15638" width="18.1640625" bestFit="1" customWidth="1"/>
    <col min="15640" max="15640" width="7" customWidth="1"/>
    <col min="15642" max="15642" width="17.33203125" bestFit="1" customWidth="1"/>
    <col min="15873" max="15873" width="43.33203125" customWidth="1"/>
    <col min="15874" max="15874" width="12.6640625" customWidth="1"/>
    <col min="15875" max="15875" width="19.6640625" customWidth="1"/>
    <col min="15876" max="15877" width="19.33203125" customWidth="1"/>
    <col min="15886" max="15886" width="10" bestFit="1" customWidth="1"/>
    <col min="15887" max="15887" width="17.33203125" bestFit="1" customWidth="1"/>
    <col min="15890" max="15890" width="10" bestFit="1" customWidth="1"/>
    <col min="15894" max="15894" width="18.1640625" bestFit="1" customWidth="1"/>
    <col min="15896" max="15896" width="7" customWidth="1"/>
    <col min="15898" max="15898" width="17.33203125" bestFit="1" customWidth="1"/>
    <col min="16129" max="16129" width="43.33203125" customWidth="1"/>
    <col min="16130" max="16130" width="12.6640625" customWidth="1"/>
    <col min="16131" max="16131" width="19.6640625" customWidth="1"/>
    <col min="16132" max="16133" width="19.33203125" customWidth="1"/>
    <col min="16142" max="16142" width="10" bestFit="1" customWidth="1"/>
    <col min="16143" max="16143" width="17.33203125" bestFit="1" customWidth="1"/>
    <col min="16146" max="16146" width="10" bestFit="1" customWidth="1"/>
    <col min="16150" max="16150" width="18.1640625" bestFit="1" customWidth="1"/>
    <col min="16152" max="16152" width="7" customWidth="1"/>
    <col min="16154" max="16154" width="17.33203125" bestFit="1" customWidth="1"/>
  </cols>
  <sheetData>
    <row r="1" spans="1:26" x14ac:dyDescent="0.2">
      <c r="A1" s="35" t="s">
        <v>0</v>
      </c>
      <c r="B1" s="36" t="s">
        <v>1</v>
      </c>
      <c r="C1" s="37" t="s">
        <v>2</v>
      </c>
      <c r="D1" s="35" t="s">
        <v>3</v>
      </c>
      <c r="E1" s="35" t="s">
        <v>4</v>
      </c>
      <c r="F1" s="35" t="s">
        <v>87</v>
      </c>
      <c r="G1" s="35" t="s">
        <v>17</v>
      </c>
      <c r="H1" s="35" t="s">
        <v>18</v>
      </c>
      <c r="I1" s="35" t="s">
        <v>19</v>
      </c>
      <c r="J1" s="35" t="s">
        <v>20</v>
      </c>
      <c r="K1" s="35" t="s">
        <v>21</v>
      </c>
      <c r="L1" s="35" t="s">
        <v>22</v>
      </c>
      <c r="M1" s="35" t="s">
        <v>23</v>
      </c>
      <c r="N1" s="35" t="s">
        <v>96</v>
      </c>
      <c r="O1" s="35" t="s">
        <v>24</v>
      </c>
      <c r="P1" s="35" t="s">
        <v>25</v>
      </c>
      <c r="Q1" s="35" t="s">
        <v>97</v>
      </c>
      <c r="R1" s="35" t="s">
        <v>98</v>
      </c>
      <c r="S1" s="35" t="s">
        <v>99</v>
      </c>
      <c r="T1" s="35" t="s">
        <v>100</v>
      </c>
      <c r="U1" s="35" t="s">
        <v>101</v>
      </c>
      <c r="V1" s="35" t="s">
        <v>102</v>
      </c>
      <c r="W1" s="35" t="s">
        <v>103</v>
      </c>
      <c r="X1" s="35" t="s">
        <v>104</v>
      </c>
      <c r="Y1" s="35" t="s">
        <v>105</v>
      </c>
      <c r="Z1" s="35" t="s">
        <v>26</v>
      </c>
    </row>
    <row r="2" spans="1:26" x14ac:dyDescent="0.2">
      <c r="A2" s="1" t="s">
        <v>88</v>
      </c>
      <c r="B2" s="14" t="s">
        <v>89</v>
      </c>
      <c r="C2" s="15" t="s">
        <v>106</v>
      </c>
      <c r="D2" s="17">
        <v>100</v>
      </c>
      <c r="E2" s="17">
        <v>12000</v>
      </c>
      <c r="F2" s="2" t="s">
        <v>90</v>
      </c>
      <c r="G2" s="2" t="s">
        <v>30</v>
      </c>
      <c r="H2" s="2">
        <v>0</v>
      </c>
      <c r="I2" s="2">
        <f>2771.2/0.962</f>
        <v>2880.6652806652805</v>
      </c>
      <c r="J2" s="2">
        <v>1</v>
      </c>
      <c r="K2" s="2">
        <v>0</v>
      </c>
      <c r="L2" s="2">
        <f>-284.2/0.962</f>
        <v>-295.42619542619542</v>
      </c>
      <c r="M2" s="2">
        <v>25</v>
      </c>
      <c r="N2" s="11">
        <v>25</v>
      </c>
      <c r="O2" s="2">
        <v>1</v>
      </c>
      <c r="P2" s="2">
        <v>6</v>
      </c>
      <c r="Q2" s="11">
        <v>0</v>
      </c>
      <c r="R2" s="11">
        <v>0</v>
      </c>
      <c r="S2" s="11">
        <v>70</v>
      </c>
      <c r="T2" s="11">
        <v>90</v>
      </c>
      <c r="U2" s="11">
        <v>0</v>
      </c>
      <c r="V2" s="11">
        <v>997</v>
      </c>
      <c r="W2" s="11">
        <v>4.1900000000000004</v>
      </c>
      <c r="X2" s="11">
        <v>0.98</v>
      </c>
      <c r="Y2" s="11">
        <v>0.96</v>
      </c>
      <c r="Z2" s="2" t="s">
        <v>91</v>
      </c>
    </row>
    <row r="3" spans="1:26" x14ac:dyDescent="0.2">
      <c r="A3" s="1" t="s">
        <v>88</v>
      </c>
      <c r="B3" s="14" t="s">
        <v>89</v>
      </c>
      <c r="C3" s="15" t="s">
        <v>106</v>
      </c>
      <c r="D3" s="17">
        <v>12000</v>
      </c>
      <c r="E3" s="17">
        <v>10000000000</v>
      </c>
      <c r="F3" s="2" t="s">
        <v>90</v>
      </c>
      <c r="G3" s="2" t="s">
        <v>30</v>
      </c>
      <c r="H3" s="2">
        <v>0</v>
      </c>
      <c r="I3" s="2">
        <f>2771.2/0.962</f>
        <v>2880.6652806652805</v>
      </c>
      <c r="J3" s="2">
        <v>1</v>
      </c>
      <c r="K3" s="2">
        <v>0</v>
      </c>
      <c r="L3" s="2">
        <f>-284.2/0.962</f>
        <v>-295.42619542619542</v>
      </c>
      <c r="M3" s="2">
        <v>25</v>
      </c>
      <c r="N3" s="11">
        <v>25</v>
      </c>
      <c r="O3" s="2">
        <v>1</v>
      </c>
      <c r="P3" s="2">
        <v>6</v>
      </c>
      <c r="Q3" s="11">
        <v>0</v>
      </c>
      <c r="R3" s="11">
        <v>0</v>
      </c>
      <c r="S3" s="11">
        <v>70</v>
      </c>
      <c r="T3" s="11">
        <v>90</v>
      </c>
      <c r="U3" s="11">
        <v>0</v>
      </c>
      <c r="V3" s="11">
        <v>997</v>
      </c>
      <c r="W3" s="11">
        <v>4.1900000000000004</v>
      </c>
      <c r="X3" s="11">
        <v>0.98</v>
      </c>
      <c r="Y3" s="11">
        <v>0.96</v>
      </c>
      <c r="Z3" s="2" t="s">
        <v>4</v>
      </c>
    </row>
    <row r="4" spans="1:26" x14ac:dyDescent="0.2">
      <c r="A4" s="1" t="s">
        <v>107</v>
      </c>
      <c r="B4" s="14" t="s">
        <v>92</v>
      </c>
      <c r="C4" s="15" t="s">
        <v>108</v>
      </c>
      <c r="D4" s="17">
        <v>0</v>
      </c>
      <c r="E4" s="17">
        <v>10000000000</v>
      </c>
      <c r="F4" s="11" t="s">
        <v>109</v>
      </c>
      <c r="G4" s="11" t="s">
        <v>30</v>
      </c>
      <c r="H4" s="11">
        <v>0</v>
      </c>
      <c r="I4" s="11">
        <v>108</v>
      </c>
      <c r="J4" s="11">
        <v>1</v>
      </c>
      <c r="K4" s="11">
        <v>0</v>
      </c>
      <c r="L4" s="11">
        <v>0</v>
      </c>
      <c r="M4" s="11">
        <v>25</v>
      </c>
      <c r="N4" s="11">
        <v>25</v>
      </c>
      <c r="O4" s="11">
        <v>2</v>
      </c>
      <c r="P4" s="11">
        <v>6</v>
      </c>
      <c r="Q4" s="11">
        <v>0</v>
      </c>
      <c r="R4" s="11">
        <v>0</v>
      </c>
      <c r="S4" s="11">
        <v>4</v>
      </c>
      <c r="T4" s="11">
        <v>13</v>
      </c>
      <c r="U4" s="11">
        <v>0</v>
      </c>
      <c r="V4" s="11">
        <v>997</v>
      </c>
      <c r="W4" s="11">
        <v>4.1900000000000004</v>
      </c>
      <c r="X4" s="11">
        <v>0.98</v>
      </c>
      <c r="Y4" s="11">
        <v>0.96</v>
      </c>
      <c r="Z4" s="11" t="s">
        <v>91</v>
      </c>
    </row>
    <row r="5" spans="1:26" x14ac:dyDescent="0.2">
      <c r="A5" s="1" t="s">
        <v>110</v>
      </c>
      <c r="B5" s="14" t="s">
        <v>111</v>
      </c>
      <c r="C5" s="15" t="s">
        <v>108</v>
      </c>
      <c r="D5" s="17">
        <v>0</v>
      </c>
      <c r="E5" s="17">
        <v>10000000000</v>
      </c>
      <c r="F5" s="11" t="s">
        <v>109</v>
      </c>
      <c r="G5" s="11" t="s">
        <v>30</v>
      </c>
      <c r="H5" s="11">
        <v>0</v>
      </c>
      <c r="I5" s="11">
        <v>117.9</v>
      </c>
      <c r="J5" s="11">
        <v>1</v>
      </c>
      <c r="K5" s="11">
        <v>0</v>
      </c>
      <c r="L5" s="11">
        <v>0</v>
      </c>
      <c r="M5" s="11">
        <v>25</v>
      </c>
      <c r="N5" s="11">
        <v>25</v>
      </c>
      <c r="O5" s="11">
        <v>2</v>
      </c>
      <c r="P5" s="11">
        <v>6</v>
      </c>
      <c r="Q5" s="11">
        <v>4.8</v>
      </c>
      <c r="R5" s="11">
        <v>0</v>
      </c>
      <c r="S5" s="11">
        <v>-0.5</v>
      </c>
      <c r="T5" s="11">
        <v>0.5</v>
      </c>
      <c r="U5" s="11">
        <v>334</v>
      </c>
      <c r="V5" s="11">
        <v>917</v>
      </c>
      <c r="W5" s="11">
        <v>2.11</v>
      </c>
      <c r="X5" s="11">
        <v>0.98</v>
      </c>
      <c r="Y5" s="11">
        <v>0.96</v>
      </c>
      <c r="Z5" s="11" t="s">
        <v>91</v>
      </c>
    </row>
    <row r="6" spans="1:26" x14ac:dyDescent="0.2">
      <c r="A6" s="1" t="s">
        <v>112</v>
      </c>
      <c r="B6" s="14" t="s">
        <v>113</v>
      </c>
      <c r="C6" s="15" t="s">
        <v>108</v>
      </c>
      <c r="D6" s="17">
        <v>0</v>
      </c>
      <c r="E6" s="17">
        <v>10000000000</v>
      </c>
      <c r="F6" s="11" t="s">
        <v>109</v>
      </c>
      <c r="G6" s="11" t="s">
        <v>30</v>
      </c>
      <c r="H6" s="11">
        <v>0</v>
      </c>
      <c r="I6" s="11">
        <v>117.9</v>
      </c>
      <c r="J6" s="11">
        <v>1</v>
      </c>
      <c r="K6" s="11">
        <v>0</v>
      </c>
      <c r="L6" s="11">
        <v>0</v>
      </c>
      <c r="M6" s="11">
        <v>25</v>
      </c>
      <c r="N6" s="11">
        <v>7</v>
      </c>
      <c r="O6" s="11">
        <v>2</v>
      </c>
      <c r="P6" s="11">
        <v>6</v>
      </c>
      <c r="Q6" s="11">
        <v>4.8</v>
      </c>
      <c r="R6" s="11">
        <v>4</v>
      </c>
      <c r="S6" s="11">
        <v>3.5</v>
      </c>
      <c r="T6" s="11">
        <v>4.5</v>
      </c>
      <c r="U6" s="11">
        <v>234</v>
      </c>
      <c r="V6" s="11">
        <v>1600</v>
      </c>
      <c r="W6" s="11">
        <v>2</v>
      </c>
      <c r="X6" s="11">
        <v>0.98</v>
      </c>
      <c r="Y6" s="11">
        <v>0.96</v>
      </c>
      <c r="Z6" s="11" t="s">
        <v>91</v>
      </c>
    </row>
    <row r="7" spans="1:26" x14ac:dyDescent="0.2">
      <c r="A7" s="1" t="s">
        <v>114</v>
      </c>
      <c r="B7" s="14" t="s">
        <v>115</v>
      </c>
      <c r="C7" s="15" t="s">
        <v>108</v>
      </c>
      <c r="D7" s="17">
        <v>0</v>
      </c>
      <c r="E7" s="17">
        <v>10000000000</v>
      </c>
      <c r="F7" s="11" t="s">
        <v>109</v>
      </c>
      <c r="G7" s="11" t="s">
        <v>30</v>
      </c>
      <c r="H7" s="11">
        <v>0</v>
      </c>
      <c r="I7" s="11">
        <v>156.30000000000001</v>
      </c>
      <c r="J7" s="11">
        <v>1</v>
      </c>
      <c r="K7" s="11">
        <v>0</v>
      </c>
      <c r="L7" s="11">
        <v>0</v>
      </c>
      <c r="M7" s="11">
        <v>25</v>
      </c>
      <c r="N7" s="11">
        <v>7</v>
      </c>
      <c r="O7" s="11">
        <v>2</v>
      </c>
      <c r="P7" s="11">
        <v>6</v>
      </c>
      <c r="Q7" s="11">
        <v>27.3</v>
      </c>
      <c r="R7" s="11">
        <v>5.4</v>
      </c>
      <c r="S7" s="11">
        <v>4.9000000000000004</v>
      </c>
      <c r="T7" s="11">
        <v>5.9</v>
      </c>
      <c r="U7" s="11">
        <v>105</v>
      </c>
      <c r="V7" s="11">
        <v>1125</v>
      </c>
      <c r="W7" s="11">
        <v>2.09</v>
      </c>
      <c r="X7" s="11">
        <v>0.98</v>
      </c>
      <c r="Y7" s="11">
        <v>0.96</v>
      </c>
      <c r="Z7" s="11" t="s">
        <v>91</v>
      </c>
    </row>
    <row r="8" spans="1:26" x14ac:dyDescent="0.2">
      <c r="A8" s="1" t="s">
        <v>116</v>
      </c>
      <c r="B8" s="14" t="s">
        <v>117</v>
      </c>
      <c r="C8" s="15" t="s">
        <v>108</v>
      </c>
      <c r="D8" s="17">
        <v>0</v>
      </c>
      <c r="E8" s="17">
        <v>10000000000</v>
      </c>
      <c r="F8" s="11" t="s">
        <v>109</v>
      </c>
      <c r="G8" s="11" t="s">
        <v>30</v>
      </c>
      <c r="H8" s="11">
        <v>0</v>
      </c>
      <c r="I8" s="11">
        <v>141.5</v>
      </c>
      <c r="J8" s="11">
        <v>1</v>
      </c>
      <c r="K8" s="11">
        <v>0</v>
      </c>
      <c r="L8" s="11">
        <v>0</v>
      </c>
      <c r="M8" s="11">
        <v>25</v>
      </c>
      <c r="N8" s="11">
        <v>7</v>
      </c>
      <c r="O8" s="11">
        <v>2</v>
      </c>
      <c r="P8" s="11">
        <v>6</v>
      </c>
      <c r="Q8" s="11">
        <v>19.7</v>
      </c>
      <c r="R8" s="11">
        <v>5</v>
      </c>
      <c r="S8" s="11">
        <v>4.5</v>
      </c>
      <c r="T8" s="11">
        <v>5.5</v>
      </c>
      <c r="U8" s="11">
        <v>230</v>
      </c>
      <c r="V8" s="11">
        <v>760</v>
      </c>
      <c r="W8" s="11">
        <v>2.14</v>
      </c>
      <c r="X8" s="11">
        <v>0.98</v>
      </c>
      <c r="Y8" s="11">
        <v>0.96</v>
      </c>
      <c r="Z8" s="11" t="s">
        <v>91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88DD75-4ED6-A447-B30A-4A128452EE65}">
  <dimension ref="A1:W7"/>
  <sheetViews>
    <sheetView workbookViewId="0">
      <selection activeCell="U27" sqref="U27"/>
    </sheetView>
  </sheetViews>
  <sheetFormatPr baseColWidth="10" defaultColWidth="10.83203125" defaultRowHeight="15" x14ac:dyDescent="0.2"/>
  <cols>
    <col min="1" max="1" width="28.6640625" customWidth="1"/>
    <col min="2" max="2" width="16.5" customWidth="1"/>
    <col min="3" max="3" width="30" bestFit="1" customWidth="1"/>
    <col min="4" max="4" width="16.6640625" customWidth="1"/>
    <col min="5" max="5" width="23" customWidth="1"/>
    <col min="6" max="6" width="9" customWidth="1"/>
    <col min="7" max="10" width="17" customWidth="1"/>
    <col min="11" max="11" width="18.33203125" bestFit="1" customWidth="1"/>
    <col min="12" max="12" width="20" bestFit="1" customWidth="1"/>
    <col min="13" max="21" width="8.83203125"/>
    <col min="22" max="22" width="10" bestFit="1" customWidth="1"/>
    <col min="23" max="23" width="16.3320312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220</v>
      </c>
      <c r="H1" s="35" t="s">
        <v>217</v>
      </c>
      <c r="I1" s="35" t="s">
        <v>219</v>
      </c>
      <c r="J1" s="35" t="s">
        <v>218</v>
      </c>
      <c r="K1" s="35" t="s">
        <v>221</v>
      </c>
      <c r="L1" s="35" t="s">
        <v>222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6" t="s">
        <v>26</v>
      </c>
      <c r="W1" s="39" t="s">
        <v>123</v>
      </c>
    </row>
    <row r="2" spans="1:23" x14ac:dyDescent="0.2">
      <c r="A2" s="1" t="s">
        <v>213</v>
      </c>
      <c r="B2" s="2" t="s">
        <v>206</v>
      </c>
      <c r="C2" s="2" t="s">
        <v>211</v>
      </c>
      <c r="D2" s="17">
        <v>0</v>
      </c>
      <c r="E2" s="17">
        <v>25000</v>
      </c>
      <c r="F2" s="2" t="s">
        <v>207</v>
      </c>
      <c r="G2" s="2">
        <v>1</v>
      </c>
      <c r="H2" s="17">
        <v>360</v>
      </c>
      <c r="I2" s="17">
        <v>360</v>
      </c>
      <c r="J2" s="17">
        <v>1100</v>
      </c>
      <c r="K2" s="2" t="s">
        <v>216</v>
      </c>
      <c r="L2" s="2" t="s">
        <v>216</v>
      </c>
      <c r="M2" s="2" t="s">
        <v>30</v>
      </c>
      <c r="N2" s="2">
        <f>-333/0.962</f>
        <v>-346.15384615384619</v>
      </c>
      <c r="O2" s="2">
        <f>0.067/0.962</f>
        <v>6.964656964656965E-2</v>
      </c>
      <c r="P2" s="2">
        <v>1</v>
      </c>
      <c r="Q2" s="2">
        <v>0</v>
      </c>
      <c r="R2" s="2">
        <v>0</v>
      </c>
      <c r="S2" s="2">
        <v>20</v>
      </c>
      <c r="T2" s="2">
        <v>5</v>
      </c>
      <c r="U2" s="2">
        <v>5</v>
      </c>
      <c r="V2" s="14" t="s">
        <v>197</v>
      </c>
      <c r="W2" s="26" t="s">
        <v>223</v>
      </c>
    </row>
    <row r="3" spans="1:23" x14ac:dyDescent="0.2">
      <c r="A3" s="1" t="s">
        <v>214</v>
      </c>
      <c r="B3" s="2" t="s">
        <v>208</v>
      </c>
      <c r="C3" s="2" t="s">
        <v>212</v>
      </c>
      <c r="D3" s="17">
        <v>5000</v>
      </c>
      <c r="E3" s="17">
        <v>40000000</v>
      </c>
      <c r="F3" s="2" t="s">
        <v>207</v>
      </c>
      <c r="G3" s="2">
        <v>1</v>
      </c>
      <c r="H3" s="17">
        <v>1100</v>
      </c>
      <c r="I3" s="17">
        <v>1100</v>
      </c>
      <c r="J3" s="17">
        <v>36000</v>
      </c>
      <c r="K3" s="2" t="s">
        <v>216</v>
      </c>
      <c r="L3" s="2" t="s">
        <v>216</v>
      </c>
      <c r="M3" s="2" t="s">
        <v>30</v>
      </c>
      <c r="N3" s="2">
        <f>5000/0.962</f>
        <v>5197.5051975051974</v>
      </c>
      <c r="O3" s="2">
        <v>0</v>
      </c>
      <c r="P3" s="2">
        <v>0</v>
      </c>
      <c r="Q3" s="2">
        <v>0</v>
      </c>
      <c r="R3" s="2">
        <v>0</v>
      </c>
      <c r="S3" s="2">
        <v>20</v>
      </c>
      <c r="T3" s="2">
        <v>5</v>
      </c>
      <c r="U3" s="2">
        <v>5</v>
      </c>
      <c r="V3" s="14" t="s">
        <v>197</v>
      </c>
      <c r="W3" s="26" t="s">
        <v>223</v>
      </c>
    </row>
    <row r="4" spans="1:23" x14ac:dyDescent="0.2">
      <c r="A4" s="1" t="s">
        <v>215</v>
      </c>
      <c r="B4" s="2" t="s">
        <v>209</v>
      </c>
      <c r="C4" s="2" t="s">
        <v>210</v>
      </c>
      <c r="D4" s="17">
        <v>5000</v>
      </c>
      <c r="E4" s="17">
        <v>100000000</v>
      </c>
      <c r="F4" s="2" t="s">
        <v>207</v>
      </c>
      <c r="G4" s="2">
        <v>1</v>
      </c>
      <c r="H4" s="17">
        <v>36000</v>
      </c>
      <c r="I4" s="17">
        <v>36000</v>
      </c>
      <c r="J4" s="17">
        <v>100000</v>
      </c>
      <c r="K4" s="2" t="s">
        <v>216</v>
      </c>
      <c r="L4" s="2" t="s">
        <v>216</v>
      </c>
      <c r="M4" s="2" t="s">
        <v>30</v>
      </c>
      <c r="N4" s="2">
        <f>-3000/0.962</f>
        <v>-3118.5031185031185</v>
      </c>
      <c r="O4" s="2">
        <f>0.08/0.962</f>
        <v>8.3160083160083165E-2</v>
      </c>
      <c r="P4" s="2">
        <v>1</v>
      </c>
      <c r="Q4" s="2">
        <v>0</v>
      </c>
      <c r="R4" s="2">
        <v>0</v>
      </c>
      <c r="S4" s="2">
        <v>20</v>
      </c>
      <c r="T4" s="2">
        <v>5</v>
      </c>
      <c r="U4" s="2">
        <v>5</v>
      </c>
      <c r="V4" s="14" t="s">
        <v>197</v>
      </c>
      <c r="W4" s="26" t="s">
        <v>223</v>
      </c>
    </row>
    <row r="7" spans="1:23" x14ac:dyDescent="0.2">
      <c r="A7" s="41"/>
      <c r="U7" s="41"/>
    </row>
  </sheetData>
  <pageMargins left="0.7" right="0.7" top="0.75" bottom="0.75" header="0.3" footer="0.3"/>
  <pageSetup paperSize="9"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O5"/>
  <sheetViews>
    <sheetView zoomScaleNormal="100" workbookViewId="0">
      <selection activeCell="C19" sqref="C19"/>
    </sheetView>
  </sheetViews>
  <sheetFormatPr baseColWidth="10" defaultColWidth="8.83203125" defaultRowHeight="15" x14ac:dyDescent="0.2"/>
  <cols>
    <col min="1" max="1" width="17.5" customWidth="1"/>
    <col min="3" max="3" width="18" customWidth="1"/>
    <col min="4" max="5" width="21.6640625" customWidth="1"/>
    <col min="8" max="8" width="11.6640625" customWidth="1"/>
    <col min="10" max="10" width="13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35" t="s">
        <v>93</v>
      </c>
      <c r="B2" s="2" t="s">
        <v>94</v>
      </c>
      <c r="C2" s="2">
        <v>500</v>
      </c>
      <c r="D2" s="2">
        <v>4000</v>
      </c>
      <c r="E2" s="2" t="s">
        <v>29</v>
      </c>
      <c r="F2" s="2" t="s">
        <v>30</v>
      </c>
      <c r="G2" s="2">
        <v>0</v>
      </c>
      <c r="H2" s="2">
        <f>28.2/0.962</f>
        <v>29.313929313929314</v>
      </c>
      <c r="I2" s="2">
        <v>0.52159999999999995</v>
      </c>
      <c r="J2" s="2">
        <v>0</v>
      </c>
      <c r="K2" s="2">
        <v>0</v>
      </c>
      <c r="L2" s="2">
        <v>25</v>
      </c>
      <c r="M2" s="2">
        <v>1</v>
      </c>
      <c r="N2" s="2">
        <v>6</v>
      </c>
      <c r="O2" s="2" t="s">
        <v>23</v>
      </c>
    </row>
    <row r="3" spans="1:15" x14ac:dyDescent="0.2">
      <c r="A3" s="1" t="s">
        <v>93</v>
      </c>
      <c r="B3" s="2" t="s">
        <v>94</v>
      </c>
      <c r="C3" s="2">
        <v>4000</v>
      </c>
      <c r="D3" s="2">
        <v>37000</v>
      </c>
      <c r="E3" s="2" t="s">
        <v>29</v>
      </c>
      <c r="F3" s="2" t="s">
        <v>30</v>
      </c>
      <c r="G3" s="2">
        <v>0</v>
      </c>
      <c r="H3" s="2">
        <f>4.1587/0.962</f>
        <v>4.3229729729729724</v>
      </c>
      <c r="I3" s="2">
        <v>0.74639999999999995</v>
      </c>
      <c r="J3" s="2">
        <v>0</v>
      </c>
      <c r="K3" s="2">
        <v>0</v>
      </c>
      <c r="L3" s="2">
        <v>25</v>
      </c>
      <c r="M3" s="2">
        <v>1</v>
      </c>
      <c r="N3" s="2">
        <v>6</v>
      </c>
      <c r="O3" s="2" t="s">
        <v>23</v>
      </c>
    </row>
    <row r="4" spans="1:15" x14ac:dyDescent="0.2">
      <c r="A4" s="1" t="s">
        <v>93</v>
      </c>
      <c r="B4" s="2" t="s">
        <v>94</v>
      </c>
      <c r="C4" s="2">
        <v>37000</v>
      </c>
      <c r="D4" s="2">
        <v>375000</v>
      </c>
      <c r="E4" s="2" t="s">
        <v>29</v>
      </c>
      <c r="F4" s="2" t="s">
        <v>30</v>
      </c>
      <c r="G4" s="2">
        <v>0</v>
      </c>
      <c r="H4" s="2">
        <f>0.9782/0.962</f>
        <v>1.0168399168399169</v>
      </c>
      <c r="I4" s="2">
        <v>0.88729999999999998</v>
      </c>
      <c r="J4" s="2">
        <v>0</v>
      </c>
      <c r="K4" s="2">
        <v>0</v>
      </c>
      <c r="L4" s="2">
        <v>25</v>
      </c>
      <c r="M4" s="2">
        <v>1</v>
      </c>
      <c r="N4" s="2">
        <v>6</v>
      </c>
      <c r="O4" s="2" t="s">
        <v>23</v>
      </c>
    </row>
    <row r="5" spans="1:15" x14ac:dyDescent="0.2">
      <c r="A5" s="1" t="s">
        <v>93</v>
      </c>
      <c r="B5" s="2" t="s">
        <v>94</v>
      </c>
      <c r="C5" s="2">
        <v>37000</v>
      </c>
      <c r="D5" s="5">
        <v>10000000000</v>
      </c>
      <c r="E5" s="2" t="s">
        <v>29</v>
      </c>
      <c r="F5" s="2" t="s">
        <v>30</v>
      </c>
      <c r="G5" s="2">
        <v>0</v>
      </c>
      <c r="H5" s="2">
        <f>0.9782/0.962</f>
        <v>1.0168399168399169</v>
      </c>
      <c r="I5" s="2">
        <v>0.88729999999999998</v>
      </c>
      <c r="J5" s="2">
        <v>0</v>
      </c>
      <c r="K5" s="2">
        <v>0</v>
      </c>
      <c r="L5" s="2">
        <v>25</v>
      </c>
      <c r="M5" s="2">
        <v>1</v>
      </c>
      <c r="N5" s="2">
        <v>6</v>
      </c>
      <c r="O5" s="2" t="s">
        <v>80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2"/>
  <sheetViews>
    <sheetView zoomScaleNormal="100" workbookViewId="0">
      <selection activeCell="AH22" sqref="AH22"/>
    </sheetView>
  </sheetViews>
  <sheetFormatPr baseColWidth="10" defaultColWidth="8.83203125" defaultRowHeight="15" x14ac:dyDescent="0.2"/>
  <cols>
    <col min="1" max="1" width="23" customWidth="1"/>
    <col min="2" max="2" width="15.33203125" customWidth="1"/>
    <col min="3" max="3" width="16.6640625" customWidth="1"/>
    <col min="4" max="4" width="13" customWidth="1"/>
    <col min="15" max="15" width="29.6640625" customWidth="1"/>
  </cols>
  <sheetData>
    <row r="1" spans="1:15" x14ac:dyDescent="0.2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17</v>
      </c>
      <c r="G1" s="1" t="s">
        <v>18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25</v>
      </c>
      <c r="O1" s="1" t="s">
        <v>26</v>
      </c>
    </row>
    <row r="2" spans="1:15" x14ac:dyDescent="0.2">
      <c r="A2" s="1" t="s">
        <v>83</v>
      </c>
      <c r="B2" s="2" t="s">
        <v>84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2">
        <f>42.78/0.902</f>
        <v>47.427937915742795</v>
      </c>
      <c r="I2" s="2">
        <v>0.74</v>
      </c>
      <c r="J2" s="2">
        <v>0</v>
      </c>
      <c r="K2" s="2">
        <v>0</v>
      </c>
      <c r="L2" s="2">
        <v>50</v>
      </c>
      <c r="M2" s="2">
        <v>0</v>
      </c>
      <c r="N2" s="2">
        <v>5</v>
      </c>
      <c r="O2" s="2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G3"/>
  <sheetViews>
    <sheetView zoomScaleNormal="100" workbookViewId="0">
      <selection activeCell="B16" sqref="B16"/>
    </sheetView>
  </sheetViews>
  <sheetFormatPr baseColWidth="10" defaultColWidth="8.83203125" defaultRowHeight="15" x14ac:dyDescent="0.2"/>
  <cols>
    <col min="1" max="1" width="16.6640625" customWidth="1"/>
    <col min="4" max="4" width="15" bestFit="1" customWidth="1"/>
    <col min="5" max="5" width="14.33203125" bestFit="1" customWidth="1"/>
    <col min="6" max="6" width="16.33203125" bestFit="1" customWidth="1"/>
    <col min="11" max="11" width="9.1640625" bestFit="1" customWidth="1"/>
    <col min="12" max="12" width="9" bestFit="1" customWidth="1"/>
    <col min="21" max="21" width="14.33203125" customWidth="1"/>
    <col min="22" max="22" width="12.6640625" customWidth="1"/>
    <col min="23" max="23" width="10.5" customWidth="1"/>
  </cols>
  <sheetData>
    <row r="1" spans="1:33" x14ac:dyDescent="0.2">
      <c r="A1" s="35" t="s">
        <v>0</v>
      </c>
      <c r="B1" s="35" t="s">
        <v>1</v>
      </c>
      <c r="C1" s="35" t="s">
        <v>2</v>
      </c>
      <c r="D1" s="35" t="s">
        <v>6</v>
      </c>
      <c r="E1" s="35" t="s">
        <v>33</v>
      </c>
      <c r="F1" s="35" t="s">
        <v>34</v>
      </c>
      <c r="G1" s="35" t="s">
        <v>35</v>
      </c>
      <c r="H1" s="35" t="s">
        <v>36</v>
      </c>
      <c r="I1" s="35" t="s">
        <v>37</v>
      </c>
      <c r="J1" s="35" t="s">
        <v>38</v>
      </c>
      <c r="K1" s="35" t="s">
        <v>39</v>
      </c>
      <c r="L1" s="35" t="s">
        <v>40</v>
      </c>
      <c r="M1" s="40" t="s">
        <v>41</v>
      </c>
      <c r="N1" s="38" t="s">
        <v>42</v>
      </c>
      <c r="O1" s="38" t="s">
        <v>43</v>
      </c>
      <c r="P1" s="38" t="s">
        <v>44</v>
      </c>
      <c r="Q1" s="38" t="s">
        <v>45</v>
      </c>
      <c r="R1" s="38" t="s">
        <v>46</v>
      </c>
      <c r="S1" s="38" t="s">
        <v>47</v>
      </c>
      <c r="T1" s="38" t="s">
        <v>48</v>
      </c>
      <c r="U1" s="35" t="s">
        <v>3</v>
      </c>
      <c r="V1" s="35" t="s">
        <v>4</v>
      </c>
      <c r="W1" s="35" t="s">
        <v>5</v>
      </c>
      <c r="X1" s="35" t="s">
        <v>17</v>
      </c>
      <c r="Y1" s="35" t="s">
        <v>18</v>
      </c>
      <c r="Z1" s="35" t="s">
        <v>19</v>
      </c>
      <c r="AA1" s="35" t="s">
        <v>20</v>
      </c>
      <c r="AB1" s="35" t="s">
        <v>21</v>
      </c>
      <c r="AC1" s="35" t="s">
        <v>22</v>
      </c>
      <c r="AD1" s="35" t="s">
        <v>23</v>
      </c>
      <c r="AE1" s="35" t="s">
        <v>24</v>
      </c>
      <c r="AF1" s="35" t="s">
        <v>25</v>
      </c>
      <c r="AG1" s="35" t="s">
        <v>26</v>
      </c>
    </row>
    <row r="2" spans="1:33" x14ac:dyDescent="0.2">
      <c r="A2" s="1" t="s">
        <v>49</v>
      </c>
      <c r="B2" s="2" t="s">
        <v>50</v>
      </c>
      <c r="C2" s="2" t="s">
        <v>51</v>
      </c>
      <c r="D2" s="2">
        <v>2</v>
      </c>
      <c r="E2" s="2">
        <v>2.0230000000000001</v>
      </c>
      <c r="F2" s="2">
        <v>0.88800000000000001</v>
      </c>
      <c r="G2" s="2">
        <v>0.77500000000000002</v>
      </c>
      <c r="H2" s="2">
        <v>3.91</v>
      </c>
      <c r="I2" s="2">
        <v>8.0999999999999996E-3</v>
      </c>
      <c r="J2" s="7">
        <v>57.98</v>
      </c>
      <c r="K2" s="7">
        <v>86.97</v>
      </c>
      <c r="L2" s="7">
        <v>28.99</v>
      </c>
      <c r="M2" s="7">
        <v>8000</v>
      </c>
      <c r="N2" s="7">
        <v>192</v>
      </c>
      <c r="O2" s="7">
        <v>0.87</v>
      </c>
      <c r="P2" s="7">
        <v>0</v>
      </c>
      <c r="Q2" s="8">
        <f>170/($E2*$F2)</f>
        <v>94.632447573624034</v>
      </c>
      <c r="R2" s="8">
        <f>270/($E2*$F2)</f>
        <v>150.29859320516758</v>
      </c>
      <c r="S2" s="8">
        <f>80/($E2*$F2)</f>
        <v>44.532916505234837</v>
      </c>
      <c r="T2" s="8">
        <v>3680</v>
      </c>
      <c r="U2" s="2">
        <v>1</v>
      </c>
      <c r="V2" s="5">
        <v>10000000000</v>
      </c>
      <c r="W2" s="2" t="s">
        <v>52</v>
      </c>
      <c r="X2" s="2" t="s">
        <v>30</v>
      </c>
      <c r="Y2" s="2">
        <v>0</v>
      </c>
      <c r="Z2" s="2">
        <f>2050/0.962</f>
        <v>2130.9771309771309</v>
      </c>
      <c r="AA2" s="2">
        <v>1</v>
      </c>
      <c r="AB2" s="2">
        <v>0</v>
      </c>
      <c r="AC2" s="2">
        <v>0</v>
      </c>
      <c r="AD2" s="2">
        <v>20</v>
      </c>
      <c r="AE2" s="2">
        <v>5</v>
      </c>
      <c r="AF2" s="2">
        <v>5</v>
      </c>
      <c r="AG2" s="2" t="s">
        <v>25</v>
      </c>
    </row>
    <row r="3" spans="1:33" x14ac:dyDescent="0.2">
      <c r="A3" s="1" t="s">
        <v>53</v>
      </c>
      <c r="B3" s="2" t="s">
        <v>54</v>
      </c>
      <c r="C3" s="2" t="s">
        <v>55</v>
      </c>
      <c r="D3" s="2">
        <v>2</v>
      </c>
      <c r="E3" s="2">
        <v>4.3220000000000001</v>
      </c>
      <c r="F3" s="2">
        <v>0.65500000000000003</v>
      </c>
      <c r="G3" s="2">
        <v>0.72099999999999997</v>
      </c>
      <c r="H3" s="2">
        <v>0.89</v>
      </c>
      <c r="I3" s="2">
        <v>1.9900000000000001E-2</v>
      </c>
      <c r="J3" s="7">
        <v>88.2</v>
      </c>
      <c r="K3" s="7">
        <v>147.12</v>
      </c>
      <c r="L3" s="7">
        <v>33.1</v>
      </c>
      <c r="M3" s="7">
        <v>39000</v>
      </c>
      <c r="N3" s="7">
        <v>196</v>
      </c>
      <c r="O3" s="7">
        <v>0.91</v>
      </c>
      <c r="P3" s="7">
        <v>0</v>
      </c>
      <c r="Q3" s="8">
        <f>8000/($E3*$F3)</f>
        <v>2825.9464271206075</v>
      </c>
      <c r="R3" s="8">
        <f>22000/($E3*$F3)</f>
        <v>7771.3526745816707</v>
      </c>
      <c r="S3" s="8">
        <f>2000/($E3*$F3)</f>
        <v>706.48660678015187</v>
      </c>
      <c r="T3" s="8">
        <v>3680</v>
      </c>
      <c r="U3" s="2">
        <v>1</v>
      </c>
      <c r="V3" s="5">
        <v>10000000000</v>
      </c>
      <c r="W3" s="2" t="s">
        <v>52</v>
      </c>
      <c r="X3" s="2" t="s">
        <v>30</v>
      </c>
      <c r="Y3" s="2">
        <v>0</v>
      </c>
      <c r="Z3" s="2">
        <f>2050/0.962</f>
        <v>2130.9771309771309</v>
      </c>
      <c r="AA3" s="2">
        <v>1</v>
      </c>
      <c r="AB3" s="2">
        <v>0</v>
      </c>
      <c r="AC3" s="2">
        <v>0</v>
      </c>
      <c r="AD3" s="2">
        <v>20</v>
      </c>
      <c r="AE3" s="2">
        <v>5</v>
      </c>
      <c r="AF3" s="2">
        <v>5</v>
      </c>
      <c r="AG3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2"/>
  <sheetViews>
    <sheetView workbookViewId="0">
      <selection activeCell="F54" sqref="F54"/>
    </sheetView>
  </sheetViews>
  <sheetFormatPr baseColWidth="10" defaultColWidth="8.83203125" defaultRowHeight="15" x14ac:dyDescent="0.2"/>
  <cols>
    <col min="1" max="1" width="18.5" customWidth="1"/>
    <col min="3" max="3" width="9.5" customWidth="1"/>
    <col min="4" max="5" width="10.5" customWidth="1"/>
    <col min="8" max="8" width="10.5" customWidth="1"/>
  </cols>
  <sheetData>
    <row r="1" spans="1:15" x14ac:dyDescent="0.2">
      <c r="A1" s="35" t="s">
        <v>0</v>
      </c>
      <c r="B1" s="35" t="s">
        <v>1</v>
      </c>
      <c r="C1" s="35" t="s">
        <v>3</v>
      </c>
      <c r="D1" s="35" t="s">
        <v>4</v>
      </c>
      <c r="E1" s="35" t="s">
        <v>5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  <c r="K1" s="35" t="s">
        <v>22</v>
      </c>
      <c r="L1" s="35" t="s">
        <v>23</v>
      </c>
      <c r="M1" s="35" t="s">
        <v>24</v>
      </c>
      <c r="N1" s="35" t="s">
        <v>25</v>
      </c>
      <c r="O1" s="35" t="s">
        <v>26</v>
      </c>
    </row>
    <row r="2" spans="1:15" x14ac:dyDescent="0.2">
      <c r="A2" s="1" t="s">
        <v>56</v>
      </c>
      <c r="B2" s="2" t="s">
        <v>57</v>
      </c>
      <c r="C2" s="2">
        <v>1</v>
      </c>
      <c r="D2" s="5">
        <v>10000000000</v>
      </c>
      <c r="E2" s="2" t="s">
        <v>29</v>
      </c>
      <c r="F2" s="2" t="s">
        <v>30</v>
      </c>
      <c r="G2" s="2">
        <v>0</v>
      </c>
      <c r="H2" s="4">
        <f>5/0.962</f>
        <v>5.1975051975051976</v>
      </c>
      <c r="I2" s="2">
        <v>1</v>
      </c>
      <c r="J2" s="2">
        <v>0</v>
      </c>
      <c r="K2" s="2">
        <v>0</v>
      </c>
      <c r="L2" s="2">
        <v>20</v>
      </c>
      <c r="M2" s="2">
        <v>1</v>
      </c>
      <c r="N2" s="2">
        <v>5</v>
      </c>
      <c r="O2" s="2" t="s">
        <v>25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0"/>
  <sheetViews>
    <sheetView zoomScaleNormal="100" workbookViewId="0">
      <selection activeCell="I27" sqref="I27"/>
    </sheetView>
  </sheetViews>
  <sheetFormatPr baseColWidth="10" defaultColWidth="8.83203125" defaultRowHeight="15" x14ac:dyDescent="0.2"/>
  <cols>
    <col min="1" max="1" width="24.83203125" bestFit="1" customWidth="1"/>
    <col min="2" max="4" width="13.33203125" customWidth="1"/>
    <col min="5" max="5" width="17.6640625" customWidth="1"/>
    <col min="6" max="11" width="16.5" customWidth="1"/>
    <col min="18" max="18" width="22.6640625" customWidth="1"/>
    <col min="22" max="22" width="75" bestFit="1" customWidth="1"/>
  </cols>
  <sheetData>
    <row r="1" spans="1:22" x14ac:dyDescent="0.2">
      <c r="A1" s="1" t="s">
        <v>0</v>
      </c>
      <c r="B1" s="1" t="s">
        <v>1</v>
      </c>
      <c r="C1" s="1" t="s">
        <v>2</v>
      </c>
      <c r="D1" s="1" t="s">
        <v>159</v>
      </c>
      <c r="E1" s="1" t="s">
        <v>3</v>
      </c>
      <c r="F1" s="1" t="s">
        <v>4</v>
      </c>
      <c r="G1" s="1" t="s">
        <v>5</v>
      </c>
      <c r="H1" s="1" t="s">
        <v>118</v>
      </c>
      <c r="I1" s="1" t="s">
        <v>150</v>
      </c>
      <c r="J1" s="1" t="s">
        <v>151</v>
      </c>
      <c r="K1" s="1" t="s">
        <v>158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6" t="s">
        <v>123</v>
      </c>
    </row>
    <row r="2" spans="1:22" x14ac:dyDescent="0.2">
      <c r="A2" s="1" t="s">
        <v>162</v>
      </c>
      <c r="B2" s="2" t="s">
        <v>58</v>
      </c>
      <c r="C2" s="2" t="s">
        <v>156</v>
      </c>
      <c r="D2" s="2" t="s">
        <v>160</v>
      </c>
      <c r="E2" s="17">
        <v>1</v>
      </c>
      <c r="F2" s="17">
        <v>90000</v>
      </c>
      <c r="G2" s="2" t="s">
        <v>29</v>
      </c>
      <c r="H2" s="21">
        <v>0.82</v>
      </c>
      <c r="I2" s="2">
        <v>26.5</v>
      </c>
      <c r="J2" s="2">
        <v>82</v>
      </c>
      <c r="K2" s="2">
        <v>126</v>
      </c>
      <c r="L2" s="2" t="s">
        <v>30</v>
      </c>
      <c r="M2" s="2">
        <f>20300/0.902</f>
        <v>22505.543237250553</v>
      </c>
      <c r="N2" s="2">
        <f>0.275/0.902</f>
        <v>0.3048780487804878</v>
      </c>
      <c r="O2" s="2">
        <v>1</v>
      </c>
      <c r="P2" s="2">
        <v>0</v>
      </c>
      <c r="Q2" s="2">
        <v>0</v>
      </c>
      <c r="R2" s="2">
        <v>20</v>
      </c>
      <c r="S2" s="2">
        <v>5</v>
      </c>
      <c r="T2" s="2">
        <v>5</v>
      </c>
      <c r="U2" s="2"/>
      <c r="V2" s="11" t="s">
        <v>154</v>
      </c>
    </row>
    <row r="3" spans="1:22" x14ac:dyDescent="0.2">
      <c r="A3" s="1" t="s">
        <v>162</v>
      </c>
      <c r="B3" s="2" t="s">
        <v>58</v>
      </c>
      <c r="C3" s="2" t="s">
        <v>156</v>
      </c>
      <c r="D3" s="2" t="s">
        <v>160</v>
      </c>
      <c r="E3" s="17">
        <v>90000</v>
      </c>
      <c r="F3" s="17">
        <v>730000</v>
      </c>
      <c r="G3" s="2" t="s">
        <v>29</v>
      </c>
      <c r="H3" s="21">
        <v>0.8</v>
      </c>
      <c r="I3" s="2">
        <v>26.5</v>
      </c>
      <c r="J3" s="2">
        <v>82</v>
      </c>
      <c r="K3" s="2">
        <v>126</v>
      </c>
      <c r="L3" s="2" t="s">
        <v>30</v>
      </c>
      <c r="M3" s="2">
        <f>35100/0.902</f>
        <v>38913.525498891351</v>
      </c>
      <c r="N3" s="2">
        <f>0.11/0.902</f>
        <v>0.12195121951219512</v>
      </c>
      <c r="O3" s="2">
        <v>1</v>
      </c>
      <c r="P3" s="2">
        <v>0</v>
      </c>
      <c r="Q3" s="2">
        <v>0</v>
      </c>
      <c r="R3" s="2">
        <v>20</v>
      </c>
      <c r="S3" s="2">
        <v>5</v>
      </c>
      <c r="T3" s="2">
        <v>5</v>
      </c>
      <c r="U3" s="2"/>
      <c r="V3" s="11" t="s">
        <v>154</v>
      </c>
    </row>
    <row r="4" spans="1:22" x14ac:dyDescent="0.2">
      <c r="A4" s="1" t="s">
        <v>162</v>
      </c>
      <c r="B4" s="2" t="s">
        <v>58</v>
      </c>
      <c r="C4" s="2" t="s">
        <v>156</v>
      </c>
      <c r="D4" s="2" t="s">
        <v>160</v>
      </c>
      <c r="E4" s="17">
        <v>730000</v>
      </c>
      <c r="F4" s="17">
        <v>10000000000</v>
      </c>
      <c r="G4" s="2" t="s">
        <v>29</v>
      </c>
      <c r="H4" s="21">
        <v>0.82</v>
      </c>
      <c r="I4" s="2">
        <v>26.5</v>
      </c>
      <c r="J4" s="2">
        <v>82</v>
      </c>
      <c r="K4" s="2">
        <v>126</v>
      </c>
      <c r="L4" s="2" t="s">
        <v>30</v>
      </c>
      <c r="M4" s="2">
        <f>84000/0.902</f>
        <v>93126.385809312633</v>
      </c>
      <c r="N4" s="2">
        <f>0.014/0.902</f>
        <v>1.5521064301552106E-2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5</v>
      </c>
      <c r="U4" s="2"/>
      <c r="V4" s="11" t="s">
        <v>154</v>
      </c>
    </row>
    <row r="5" spans="1:22" x14ac:dyDescent="0.2">
      <c r="A5" s="1" t="s">
        <v>164</v>
      </c>
      <c r="B5" s="2" t="s">
        <v>153</v>
      </c>
      <c r="C5" s="2" t="s">
        <v>155</v>
      </c>
      <c r="D5" s="2" t="s">
        <v>161</v>
      </c>
      <c r="E5" s="17">
        <v>1</v>
      </c>
      <c r="F5" s="17">
        <v>90000</v>
      </c>
      <c r="G5" s="2" t="s">
        <v>29</v>
      </c>
      <c r="H5" s="21">
        <v>0.84</v>
      </c>
      <c r="I5" s="2">
        <v>26.5</v>
      </c>
      <c r="J5" s="2">
        <v>82</v>
      </c>
      <c r="K5" s="2">
        <v>126</v>
      </c>
      <c r="L5" s="2" t="s">
        <v>30</v>
      </c>
      <c r="M5" s="2">
        <f>20300/0.902</f>
        <v>22505.543237250553</v>
      </c>
      <c r="N5" s="2">
        <f>0.275/0.902</f>
        <v>0.3048780487804878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5</v>
      </c>
      <c r="U5" s="2"/>
      <c r="V5" s="11" t="s">
        <v>154</v>
      </c>
    </row>
    <row r="6" spans="1:22" x14ac:dyDescent="0.2">
      <c r="A6" s="1" t="s">
        <v>164</v>
      </c>
      <c r="B6" s="2" t="s">
        <v>153</v>
      </c>
      <c r="C6" s="2" t="s">
        <v>155</v>
      </c>
      <c r="D6" s="2" t="s">
        <v>161</v>
      </c>
      <c r="E6" s="17">
        <v>90000</v>
      </c>
      <c r="F6" s="17">
        <v>730000</v>
      </c>
      <c r="G6" s="2" t="s">
        <v>29</v>
      </c>
      <c r="H6" s="21">
        <v>0.82</v>
      </c>
      <c r="I6" s="2">
        <v>26.5</v>
      </c>
      <c r="J6" s="2">
        <v>82</v>
      </c>
      <c r="K6" s="2">
        <v>126</v>
      </c>
      <c r="L6" s="2" t="s">
        <v>30</v>
      </c>
      <c r="M6" s="2">
        <f>35100/0.902</f>
        <v>38913.525498891351</v>
      </c>
      <c r="N6" s="2">
        <f>0.11/0.902</f>
        <v>0.12195121951219512</v>
      </c>
      <c r="O6" s="2">
        <v>1</v>
      </c>
      <c r="P6" s="2">
        <v>0</v>
      </c>
      <c r="Q6" s="2">
        <v>0</v>
      </c>
      <c r="R6" s="2">
        <v>20</v>
      </c>
      <c r="S6" s="2">
        <v>5</v>
      </c>
      <c r="T6" s="2">
        <v>5</v>
      </c>
      <c r="U6" s="2"/>
      <c r="V6" s="11" t="s">
        <v>154</v>
      </c>
    </row>
    <row r="7" spans="1:22" x14ac:dyDescent="0.2">
      <c r="A7" s="1" t="s">
        <v>164</v>
      </c>
      <c r="B7" s="2" t="s">
        <v>153</v>
      </c>
      <c r="C7" s="2" t="s">
        <v>155</v>
      </c>
      <c r="D7" s="2" t="s">
        <v>161</v>
      </c>
      <c r="E7" s="17">
        <v>730000</v>
      </c>
      <c r="F7" s="17">
        <v>10000000000</v>
      </c>
      <c r="G7" s="2" t="s">
        <v>29</v>
      </c>
      <c r="H7" s="21">
        <v>0.84</v>
      </c>
      <c r="I7" s="2">
        <v>26.5</v>
      </c>
      <c r="J7" s="2">
        <v>82</v>
      </c>
      <c r="K7" s="2">
        <v>126</v>
      </c>
      <c r="L7" s="2" t="s">
        <v>30</v>
      </c>
      <c r="M7" s="2">
        <f>84000/0.902</f>
        <v>93126.385809312633</v>
      </c>
      <c r="N7" s="2">
        <f>0.014/0.902</f>
        <v>1.5521064301552106E-2</v>
      </c>
      <c r="O7" s="2">
        <v>1</v>
      </c>
      <c r="P7" s="2">
        <v>0</v>
      </c>
      <c r="Q7" s="2">
        <v>0</v>
      </c>
      <c r="R7" s="2">
        <v>20</v>
      </c>
      <c r="S7" s="2">
        <v>5</v>
      </c>
      <c r="T7" s="2">
        <v>5</v>
      </c>
      <c r="U7" s="2"/>
      <c r="V7" s="11" t="s">
        <v>154</v>
      </c>
    </row>
    <row r="8" spans="1:22" x14ac:dyDescent="0.2">
      <c r="A8" s="1" t="s">
        <v>163</v>
      </c>
      <c r="B8" s="2" t="s">
        <v>225</v>
      </c>
      <c r="C8" s="2" t="s">
        <v>157</v>
      </c>
      <c r="D8" s="2" t="s">
        <v>160</v>
      </c>
      <c r="E8" s="17">
        <v>1</v>
      </c>
      <c r="F8" s="17">
        <v>90000</v>
      </c>
      <c r="G8" s="2" t="s">
        <v>29</v>
      </c>
      <c r="H8" s="21">
        <v>0.92</v>
      </c>
      <c r="I8" s="2">
        <v>26.5</v>
      </c>
      <c r="J8" s="2">
        <v>82</v>
      </c>
      <c r="K8" s="2">
        <v>88</v>
      </c>
      <c r="L8" s="2" t="s">
        <v>30</v>
      </c>
      <c r="M8" s="2">
        <f>20300/0.902</f>
        <v>22505.543237250553</v>
      </c>
      <c r="N8" s="2">
        <f>0.275/0.902</f>
        <v>0.3048780487804878</v>
      </c>
      <c r="O8" s="2">
        <v>1</v>
      </c>
      <c r="P8" s="2">
        <v>0</v>
      </c>
      <c r="Q8" s="2">
        <v>0</v>
      </c>
      <c r="R8" s="2">
        <v>20</v>
      </c>
      <c r="S8" s="2">
        <v>5</v>
      </c>
      <c r="T8" s="2">
        <v>5</v>
      </c>
      <c r="U8" s="2"/>
      <c r="V8" s="11" t="s">
        <v>154</v>
      </c>
    </row>
    <row r="9" spans="1:22" x14ac:dyDescent="0.2">
      <c r="A9" s="1" t="s">
        <v>163</v>
      </c>
      <c r="B9" s="2" t="s">
        <v>225</v>
      </c>
      <c r="C9" s="2" t="s">
        <v>157</v>
      </c>
      <c r="D9" s="2" t="s">
        <v>160</v>
      </c>
      <c r="E9" s="17">
        <v>90000</v>
      </c>
      <c r="F9" s="17">
        <v>730000</v>
      </c>
      <c r="G9" s="2" t="s">
        <v>29</v>
      </c>
      <c r="H9" s="21">
        <v>0.9</v>
      </c>
      <c r="I9" s="2">
        <v>26.5</v>
      </c>
      <c r="J9" s="2">
        <v>82</v>
      </c>
      <c r="K9" s="2">
        <v>88</v>
      </c>
      <c r="L9" s="2" t="s">
        <v>30</v>
      </c>
      <c r="M9" s="2">
        <f>35100/0.902</f>
        <v>38913.525498891351</v>
      </c>
      <c r="N9" s="2">
        <f>0.11/0.902</f>
        <v>0.12195121951219512</v>
      </c>
      <c r="O9" s="2">
        <v>1</v>
      </c>
      <c r="P9" s="2">
        <v>0</v>
      </c>
      <c r="Q9" s="2">
        <v>0</v>
      </c>
      <c r="R9" s="2">
        <v>20</v>
      </c>
      <c r="S9" s="2">
        <v>5</v>
      </c>
      <c r="T9" s="2">
        <v>5</v>
      </c>
      <c r="U9" s="2"/>
      <c r="V9" s="11" t="s">
        <v>154</v>
      </c>
    </row>
    <row r="10" spans="1:22" x14ac:dyDescent="0.2">
      <c r="A10" s="1" t="s">
        <v>163</v>
      </c>
      <c r="B10" s="2" t="s">
        <v>225</v>
      </c>
      <c r="C10" s="2" t="s">
        <v>157</v>
      </c>
      <c r="D10" s="2" t="s">
        <v>160</v>
      </c>
      <c r="E10" s="17">
        <v>730000</v>
      </c>
      <c r="F10" s="17">
        <v>10000000000</v>
      </c>
      <c r="G10" s="2" t="s">
        <v>29</v>
      </c>
      <c r="H10" s="21">
        <v>0.92</v>
      </c>
      <c r="I10" s="2">
        <v>26.5</v>
      </c>
      <c r="J10" s="2">
        <v>82</v>
      </c>
      <c r="K10" s="2">
        <v>88</v>
      </c>
      <c r="L10" s="2" t="s">
        <v>30</v>
      </c>
      <c r="M10" s="2">
        <f>84000/0.902</f>
        <v>93126.385809312633</v>
      </c>
      <c r="N10" s="2">
        <f>0.014/0.902</f>
        <v>1.5521064301552106E-2</v>
      </c>
      <c r="O10" s="2">
        <v>1</v>
      </c>
      <c r="P10" s="2">
        <v>0</v>
      </c>
      <c r="Q10" s="2">
        <v>0</v>
      </c>
      <c r="R10" s="2">
        <v>20</v>
      </c>
      <c r="S10" s="2">
        <v>5</v>
      </c>
      <c r="T10" s="2">
        <v>5</v>
      </c>
      <c r="U10" s="2"/>
      <c r="V10" s="11" t="s">
        <v>154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13"/>
  <sheetViews>
    <sheetView workbookViewId="0">
      <selection activeCell="B8" sqref="B8:B11"/>
    </sheetView>
  </sheetViews>
  <sheetFormatPr baseColWidth="10" defaultColWidth="8.83203125" defaultRowHeight="15" x14ac:dyDescent="0.2"/>
  <cols>
    <col min="1" max="1" width="38.6640625" bestFit="1" customWidth="1"/>
    <col min="5" max="5" width="17" customWidth="1"/>
    <col min="6" max="7" width="17.6640625" customWidth="1"/>
    <col min="8" max="9" width="15.5" customWidth="1"/>
    <col min="10" max="10" width="17.1640625" bestFit="1" customWidth="1"/>
    <col min="11" max="12" width="17.6640625" customWidth="1"/>
    <col min="15" max="15" width="10.5" customWidth="1"/>
    <col min="22" max="22" width="18.1640625" bestFit="1" customWidth="1"/>
    <col min="23" max="23" width="72.5" customWidth="1"/>
  </cols>
  <sheetData>
    <row r="1" spans="1:23" x14ac:dyDescent="0.2">
      <c r="A1" s="35" t="s">
        <v>0</v>
      </c>
      <c r="B1" s="35" t="s">
        <v>1</v>
      </c>
      <c r="C1" s="35" t="s">
        <v>2</v>
      </c>
      <c r="D1" s="35" t="s">
        <v>159</v>
      </c>
      <c r="E1" s="35" t="s">
        <v>3</v>
      </c>
      <c r="F1" s="35" t="s">
        <v>4</v>
      </c>
      <c r="G1" s="35" t="s">
        <v>5</v>
      </c>
      <c r="H1" s="38" t="s">
        <v>170</v>
      </c>
      <c r="I1" s="38" t="s">
        <v>171</v>
      </c>
      <c r="J1" s="38" t="s">
        <v>183</v>
      </c>
      <c r="K1" s="38" t="s">
        <v>136</v>
      </c>
      <c r="L1" s="35" t="s">
        <v>158</v>
      </c>
      <c r="M1" s="35" t="s">
        <v>17</v>
      </c>
      <c r="N1" s="35" t="s">
        <v>18</v>
      </c>
      <c r="O1" s="35" t="s">
        <v>19</v>
      </c>
      <c r="P1" s="35" t="s">
        <v>20</v>
      </c>
      <c r="Q1" s="35" t="s">
        <v>21</v>
      </c>
      <c r="R1" s="35" t="s">
        <v>22</v>
      </c>
      <c r="S1" s="35" t="s">
        <v>23</v>
      </c>
      <c r="T1" s="35" t="s">
        <v>24</v>
      </c>
      <c r="U1" s="35" t="s">
        <v>25</v>
      </c>
      <c r="V1" s="35" t="s">
        <v>26</v>
      </c>
      <c r="W1" s="35" t="s">
        <v>123</v>
      </c>
    </row>
    <row r="2" spans="1:23" ht="32" x14ac:dyDescent="0.2">
      <c r="A2" s="1" t="s">
        <v>175</v>
      </c>
      <c r="B2" s="12" t="s">
        <v>165</v>
      </c>
      <c r="C2" s="12" t="s">
        <v>166</v>
      </c>
      <c r="D2" s="12" t="s">
        <v>160</v>
      </c>
      <c r="E2" s="17">
        <v>850000</v>
      </c>
      <c r="F2" s="17">
        <v>2600000</v>
      </c>
      <c r="G2" s="12" t="s">
        <v>29</v>
      </c>
      <c r="H2" s="27">
        <v>0.4</v>
      </c>
      <c r="I2" s="31">
        <v>0.47</v>
      </c>
      <c r="J2" s="33">
        <v>380</v>
      </c>
      <c r="K2" s="32">
        <v>100</v>
      </c>
      <c r="L2" s="12">
        <v>140</v>
      </c>
      <c r="M2" s="12" t="s">
        <v>30</v>
      </c>
      <c r="N2" s="12">
        <v>0</v>
      </c>
      <c r="O2" s="13">
        <v>1.81</v>
      </c>
      <c r="P2" s="12">
        <v>1</v>
      </c>
      <c r="Q2" s="12">
        <v>0</v>
      </c>
      <c r="R2" s="12">
        <v>0</v>
      </c>
      <c r="S2" s="12">
        <v>30</v>
      </c>
      <c r="T2" s="12">
        <v>2</v>
      </c>
      <c r="U2" s="12">
        <v>5</v>
      </c>
      <c r="V2" s="12" t="s">
        <v>169</v>
      </c>
      <c r="W2" s="30" t="s">
        <v>176</v>
      </c>
    </row>
    <row r="3" spans="1:23" ht="32" x14ac:dyDescent="0.2">
      <c r="A3" s="6" t="s">
        <v>175</v>
      </c>
      <c r="B3" s="22" t="s">
        <v>165</v>
      </c>
      <c r="C3" s="22" t="s">
        <v>166</v>
      </c>
      <c r="D3" s="22" t="s">
        <v>160</v>
      </c>
      <c r="E3" s="17">
        <v>2600000</v>
      </c>
      <c r="F3" s="23">
        <v>3500000</v>
      </c>
      <c r="G3" s="22" t="s">
        <v>29</v>
      </c>
      <c r="H3" s="28">
        <v>0.43</v>
      </c>
      <c r="I3" s="28">
        <v>0.44</v>
      </c>
      <c r="J3" s="34">
        <v>380</v>
      </c>
      <c r="K3" s="12">
        <v>100</v>
      </c>
      <c r="L3" s="12">
        <v>140</v>
      </c>
      <c r="M3" s="12" t="s">
        <v>30</v>
      </c>
      <c r="N3" s="12">
        <v>0</v>
      </c>
      <c r="O3" s="13">
        <v>1.81</v>
      </c>
      <c r="P3" s="12">
        <v>1</v>
      </c>
      <c r="Q3" s="12">
        <v>0</v>
      </c>
      <c r="R3" s="12">
        <v>0</v>
      </c>
      <c r="S3" s="12">
        <v>30</v>
      </c>
      <c r="T3" s="12">
        <v>2</v>
      </c>
      <c r="U3" s="12">
        <v>5</v>
      </c>
      <c r="V3" s="12" t="s">
        <v>169</v>
      </c>
      <c r="W3" s="30" t="s">
        <v>176</v>
      </c>
    </row>
    <row r="4" spans="1:23" ht="32" x14ac:dyDescent="0.2">
      <c r="A4" s="16" t="s">
        <v>175</v>
      </c>
      <c r="B4" s="11" t="s">
        <v>165</v>
      </c>
      <c r="C4" s="11" t="s">
        <v>166</v>
      </c>
      <c r="D4" s="11" t="s">
        <v>160</v>
      </c>
      <c r="E4" s="23">
        <v>3500000</v>
      </c>
      <c r="F4" s="24">
        <v>10000000</v>
      </c>
      <c r="G4" s="11" t="s">
        <v>29</v>
      </c>
      <c r="H4" s="29">
        <v>0.45500000000000002</v>
      </c>
      <c r="I4" s="29">
        <v>0.43</v>
      </c>
      <c r="J4" s="33">
        <v>380</v>
      </c>
      <c r="K4" s="11">
        <v>100</v>
      </c>
      <c r="L4" s="11">
        <v>140</v>
      </c>
      <c r="M4" s="11" t="s">
        <v>30</v>
      </c>
      <c r="N4" s="12">
        <v>0</v>
      </c>
      <c r="O4" s="13">
        <v>1.81</v>
      </c>
      <c r="P4" s="12">
        <v>1</v>
      </c>
      <c r="Q4" s="12">
        <v>0</v>
      </c>
      <c r="R4" s="12">
        <v>0</v>
      </c>
      <c r="S4" s="12">
        <v>30</v>
      </c>
      <c r="T4" s="12">
        <v>2</v>
      </c>
      <c r="U4" s="12">
        <v>5</v>
      </c>
      <c r="V4" s="11" t="s">
        <v>169</v>
      </c>
      <c r="W4" s="30" t="s">
        <v>176</v>
      </c>
    </row>
    <row r="5" spans="1:23" ht="32" x14ac:dyDescent="0.2">
      <c r="A5" s="16" t="s">
        <v>174</v>
      </c>
      <c r="B5" s="11" t="s">
        <v>172</v>
      </c>
      <c r="C5" s="11" t="s">
        <v>184</v>
      </c>
      <c r="D5" s="11" t="s">
        <v>173</v>
      </c>
      <c r="E5" s="24">
        <v>180000</v>
      </c>
      <c r="F5" s="24">
        <v>280000</v>
      </c>
      <c r="G5" s="11" t="s">
        <v>29</v>
      </c>
      <c r="H5" s="29">
        <v>0.35</v>
      </c>
      <c r="I5" s="29">
        <v>0.39</v>
      </c>
      <c r="J5" s="33">
        <v>380</v>
      </c>
      <c r="K5" s="11">
        <v>100</v>
      </c>
      <c r="L5" s="11">
        <v>140</v>
      </c>
      <c r="M5" s="11" t="s">
        <v>30</v>
      </c>
      <c r="N5" s="12">
        <v>0</v>
      </c>
      <c r="O5" s="13">
        <v>1.81</v>
      </c>
      <c r="P5" s="12">
        <v>1</v>
      </c>
      <c r="Q5" s="12">
        <v>0</v>
      </c>
      <c r="R5" s="12">
        <v>0</v>
      </c>
      <c r="S5" s="12">
        <v>30</v>
      </c>
      <c r="T5" s="12">
        <v>3</v>
      </c>
      <c r="U5" s="12">
        <v>5</v>
      </c>
      <c r="V5" s="11" t="s">
        <v>169</v>
      </c>
      <c r="W5" s="30" t="s">
        <v>176</v>
      </c>
    </row>
    <row r="6" spans="1:23" ht="32" x14ac:dyDescent="0.2">
      <c r="A6" s="16" t="s">
        <v>174</v>
      </c>
      <c r="B6" s="11" t="s">
        <v>172</v>
      </c>
      <c r="C6" s="11" t="s">
        <v>184</v>
      </c>
      <c r="D6" s="11" t="s">
        <v>173</v>
      </c>
      <c r="E6" s="24">
        <v>280000</v>
      </c>
      <c r="F6" s="24">
        <v>900000</v>
      </c>
      <c r="G6" s="11" t="s">
        <v>29</v>
      </c>
      <c r="H6" s="29">
        <v>0.39</v>
      </c>
      <c r="I6" s="29">
        <v>0.4</v>
      </c>
      <c r="J6" s="33">
        <v>380</v>
      </c>
      <c r="K6" s="11">
        <v>100</v>
      </c>
      <c r="L6" s="11">
        <v>140</v>
      </c>
      <c r="M6" s="11" t="s">
        <v>30</v>
      </c>
      <c r="N6" s="12">
        <v>0</v>
      </c>
      <c r="O6" s="13">
        <v>1.81</v>
      </c>
      <c r="P6" s="12">
        <v>1</v>
      </c>
      <c r="Q6" s="12">
        <v>0</v>
      </c>
      <c r="R6" s="12">
        <v>0</v>
      </c>
      <c r="S6" s="12">
        <v>30</v>
      </c>
      <c r="T6" s="12">
        <v>3</v>
      </c>
      <c r="U6" s="12">
        <v>5</v>
      </c>
      <c r="V6" s="11" t="s">
        <v>169</v>
      </c>
      <c r="W6" s="30" t="s">
        <v>176</v>
      </c>
    </row>
    <row r="7" spans="1:23" ht="32" x14ac:dyDescent="0.2">
      <c r="A7" s="16" t="s">
        <v>174</v>
      </c>
      <c r="B7" s="11" t="s">
        <v>172</v>
      </c>
      <c r="C7" s="11" t="s">
        <v>184</v>
      </c>
      <c r="D7" s="11" t="s">
        <v>173</v>
      </c>
      <c r="E7" s="24">
        <v>900000</v>
      </c>
      <c r="F7" s="24">
        <v>2600000</v>
      </c>
      <c r="G7" s="11" t="s">
        <v>29</v>
      </c>
      <c r="H7" s="29">
        <v>0.42</v>
      </c>
      <c r="I7" s="29">
        <v>0.41</v>
      </c>
      <c r="J7" s="33">
        <v>380</v>
      </c>
      <c r="K7" s="11">
        <v>100</v>
      </c>
      <c r="L7" s="11">
        <v>140</v>
      </c>
      <c r="M7" s="11" t="s">
        <v>30</v>
      </c>
      <c r="N7" s="12">
        <v>0</v>
      </c>
      <c r="O7" s="13">
        <v>1.81</v>
      </c>
      <c r="P7" s="12">
        <v>1</v>
      </c>
      <c r="Q7" s="12">
        <v>0</v>
      </c>
      <c r="R7" s="12">
        <v>0</v>
      </c>
      <c r="S7" s="12">
        <v>30</v>
      </c>
      <c r="T7" s="12">
        <v>3</v>
      </c>
      <c r="U7" s="12">
        <v>5</v>
      </c>
      <c r="V7" s="11" t="s">
        <v>169</v>
      </c>
      <c r="W7" s="30" t="s">
        <v>176</v>
      </c>
    </row>
    <row r="8" spans="1:23" x14ac:dyDescent="0.2">
      <c r="A8" s="16" t="s">
        <v>179</v>
      </c>
      <c r="B8" s="11" t="s">
        <v>227</v>
      </c>
      <c r="C8" s="11" t="s">
        <v>168</v>
      </c>
      <c r="D8" s="11" t="s">
        <v>178</v>
      </c>
      <c r="E8" s="24">
        <v>1000000</v>
      </c>
      <c r="F8" s="24">
        <v>5000000</v>
      </c>
      <c r="G8" s="11" t="s">
        <v>29</v>
      </c>
      <c r="H8" s="29">
        <v>0.15</v>
      </c>
      <c r="I8" s="29">
        <v>0.65</v>
      </c>
      <c r="J8" s="33">
        <v>380</v>
      </c>
      <c r="K8" s="11">
        <v>100</v>
      </c>
      <c r="L8" s="11">
        <v>250</v>
      </c>
      <c r="M8" s="11" t="s">
        <v>30</v>
      </c>
      <c r="N8" s="11">
        <v>0</v>
      </c>
      <c r="O8" s="25">
        <v>0.74299999999999999</v>
      </c>
      <c r="P8" s="11">
        <v>1</v>
      </c>
      <c r="Q8" s="11">
        <v>0</v>
      </c>
      <c r="R8" s="11">
        <v>0</v>
      </c>
      <c r="S8" s="11">
        <v>20</v>
      </c>
      <c r="T8" s="11">
        <v>5</v>
      </c>
      <c r="U8" s="11">
        <v>5</v>
      </c>
      <c r="V8" s="11" t="s">
        <v>80</v>
      </c>
      <c r="W8" s="26" t="s">
        <v>177</v>
      </c>
    </row>
    <row r="9" spans="1:23" x14ac:dyDescent="0.2">
      <c r="A9" s="16" t="s">
        <v>179</v>
      </c>
      <c r="B9" s="11" t="s">
        <v>227</v>
      </c>
      <c r="C9" s="11" t="s">
        <v>168</v>
      </c>
      <c r="D9" s="11" t="s">
        <v>178</v>
      </c>
      <c r="E9" s="24">
        <v>5000000</v>
      </c>
      <c r="F9" s="24">
        <v>50000000</v>
      </c>
      <c r="G9" s="11" t="s">
        <v>29</v>
      </c>
      <c r="H9" s="29">
        <v>0.17</v>
      </c>
      <c r="I9" s="29">
        <v>0.67</v>
      </c>
      <c r="J9" s="33">
        <v>380</v>
      </c>
      <c r="K9" s="11">
        <v>100</v>
      </c>
      <c r="L9" s="11">
        <v>250</v>
      </c>
      <c r="M9" s="11" t="s">
        <v>30</v>
      </c>
      <c r="N9" s="11">
        <v>0</v>
      </c>
      <c r="O9" s="11">
        <v>0.74299999999999999</v>
      </c>
      <c r="P9" s="11">
        <v>1</v>
      </c>
      <c r="Q9" s="11">
        <v>0</v>
      </c>
      <c r="R9" s="11">
        <v>0</v>
      </c>
      <c r="S9" s="11">
        <v>20</v>
      </c>
      <c r="T9" s="11">
        <v>5</v>
      </c>
      <c r="U9" s="11">
        <v>5</v>
      </c>
      <c r="V9" s="11" t="s">
        <v>80</v>
      </c>
      <c r="W9" s="26" t="s">
        <v>177</v>
      </c>
    </row>
    <row r="10" spans="1:23" x14ac:dyDescent="0.2">
      <c r="A10" s="16" t="s">
        <v>180</v>
      </c>
      <c r="B10" s="11" t="s">
        <v>226</v>
      </c>
      <c r="C10" s="11" t="s">
        <v>168</v>
      </c>
      <c r="D10" s="11" t="s">
        <v>178</v>
      </c>
      <c r="E10" s="24">
        <v>1000000</v>
      </c>
      <c r="F10" s="24">
        <v>50000000</v>
      </c>
      <c r="G10" s="11" t="s">
        <v>29</v>
      </c>
      <c r="H10" s="29">
        <v>0.18</v>
      </c>
      <c r="I10" s="29">
        <v>0.8</v>
      </c>
      <c r="J10" s="33">
        <v>380</v>
      </c>
      <c r="K10" s="11">
        <v>100</v>
      </c>
      <c r="L10" s="11">
        <v>350</v>
      </c>
      <c r="M10" s="11" t="s">
        <v>30</v>
      </c>
      <c r="N10" s="11">
        <v>0</v>
      </c>
      <c r="O10" s="25">
        <v>0.74299999999999999</v>
      </c>
      <c r="P10" s="11">
        <v>1</v>
      </c>
      <c r="Q10" s="11">
        <v>0</v>
      </c>
      <c r="R10" s="11">
        <v>0</v>
      </c>
      <c r="S10" s="11">
        <v>20</v>
      </c>
      <c r="T10" s="11">
        <v>5</v>
      </c>
      <c r="U10" s="11">
        <v>5</v>
      </c>
      <c r="V10" s="11" t="s">
        <v>80</v>
      </c>
      <c r="W10" s="26" t="s">
        <v>177</v>
      </c>
    </row>
    <row r="11" spans="1:23" x14ac:dyDescent="0.2">
      <c r="A11" s="16" t="s">
        <v>182</v>
      </c>
      <c r="B11" s="11" t="s">
        <v>59</v>
      </c>
      <c r="C11" s="11" t="s">
        <v>167</v>
      </c>
      <c r="D11" s="11" t="s">
        <v>160</v>
      </c>
      <c r="E11" s="24">
        <v>30000000</v>
      </c>
      <c r="F11" s="24">
        <v>150000000</v>
      </c>
      <c r="G11" s="11" t="s">
        <v>29</v>
      </c>
      <c r="H11" s="29">
        <v>0.62</v>
      </c>
      <c r="I11" s="29">
        <v>0.28999999999999998</v>
      </c>
      <c r="J11" s="33">
        <v>380</v>
      </c>
      <c r="K11" s="11">
        <v>100</v>
      </c>
      <c r="L11" s="11">
        <v>150</v>
      </c>
      <c r="M11" s="11" t="s">
        <v>30</v>
      </c>
      <c r="N11" s="11">
        <v>0</v>
      </c>
      <c r="O11" s="11">
        <f>534.71/0.962</f>
        <v>555.83160083160089</v>
      </c>
      <c r="P11" s="11">
        <v>0.59670000000000001</v>
      </c>
      <c r="Q11" s="11">
        <v>0</v>
      </c>
      <c r="R11" s="11">
        <v>0</v>
      </c>
      <c r="S11" s="11">
        <v>25</v>
      </c>
      <c r="T11" s="11">
        <v>3</v>
      </c>
      <c r="U11" s="11">
        <v>6</v>
      </c>
      <c r="V11" s="11" t="s">
        <v>80</v>
      </c>
      <c r="W11" s="26" t="s">
        <v>181</v>
      </c>
    </row>
    <row r="13" spans="1:23" x14ac:dyDescent="0.2">
      <c r="B13" s="9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"/>
  <sheetViews>
    <sheetView zoomScale="125" zoomScaleNormal="100" workbookViewId="0">
      <selection activeCell="D9" sqref="D9"/>
    </sheetView>
  </sheetViews>
  <sheetFormatPr baseColWidth="10" defaultColWidth="8.83203125" defaultRowHeight="15" x14ac:dyDescent="0.2"/>
  <cols>
    <col min="1" max="1" width="28.6640625" customWidth="1"/>
    <col min="2" max="2" width="16.5" customWidth="1"/>
    <col min="3" max="3" width="17.83203125" bestFit="1" customWidth="1"/>
    <col min="4" max="4" width="16.6640625" customWidth="1"/>
    <col min="5" max="6" width="23" customWidth="1"/>
    <col min="7" max="10" width="15.83203125" customWidth="1"/>
    <col min="20" max="20" width="10" bestFit="1" customWidth="1"/>
    <col min="21" max="21" width="111.6640625" bestFit="1" customWidth="1"/>
  </cols>
  <sheetData>
    <row r="1" spans="1:21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190</v>
      </c>
      <c r="H1" s="35" t="s">
        <v>186</v>
      </c>
      <c r="I1" s="35" t="s">
        <v>187</v>
      </c>
      <c r="J1" s="35" t="s">
        <v>188</v>
      </c>
      <c r="K1" s="35" t="s">
        <v>17</v>
      </c>
      <c r="L1" s="35" t="s">
        <v>18</v>
      </c>
      <c r="M1" s="35" t="s">
        <v>19</v>
      </c>
      <c r="N1" s="35" t="s">
        <v>20</v>
      </c>
      <c r="O1" s="35" t="s">
        <v>21</v>
      </c>
      <c r="P1" s="35" t="s">
        <v>22</v>
      </c>
      <c r="Q1" s="35" t="s">
        <v>23</v>
      </c>
      <c r="R1" s="35" t="s">
        <v>24</v>
      </c>
      <c r="S1" s="36" t="s">
        <v>25</v>
      </c>
      <c r="T1" s="39" t="s">
        <v>26</v>
      </c>
      <c r="U1" s="39" t="s">
        <v>123</v>
      </c>
    </row>
    <row r="2" spans="1:21" x14ac:dyDescent="0.2">
      <c r="A2" s="1" t="s">
        <v>81</v>
      </c>
      <c r="B2" s="2" t="s">
        <v>82</v>
      </c>
      <c r="C2" s="2" t="s">
        <v>185</v>
      </c>
      <c r="D2" s="17">
        <v>1</v>
      </c>
      <c r="E2" s="17">
        <v>80000</v>
      </c>
      <c r="F2" s="2" t="s">
        <v>29</v>
      </c>
      <c r="G2" s="2">
        <v>-20</v>
      </c>
      <c r="H2" s="2">
        <v>160</v>
      </c>
      <c r="I2" s="2" t="s">
        <v>189</v>
      </c>
      <c r="J2" s="2" t="s">
        <v>189</v>
      </c>
      <c r="K2" s="2" t="s">
        <v>30</v>
      </c>
      <c r="L2" s="2">
        <f>-333/0.962</f>
        <v>-346.15384615384619</v>
      </c>
      <c r="M2" s="2">
        <f>0.067/0.962</f>
        <v>6.964656964656965E-2</v>
      </c>
      <c r="N2" s="2">
        <v>1</v>
      </c>
      <c r="O2" s="2">
        <v>0</v>
      </c>
      <c r="P2" s="2">
        <v>0</v>
      </c>
      <c r="Q2" s="2">
        <v>20</v>
      </c>
      <c r="R2" s="2">
        <v>5</v>
      </c>
      <c r="S2" s="14">
        <v>5</v>
      </c>
      <c r="T2" s="11" t="s">
        <v>80</v>
      </c>
      <c r="U2" s="26" t="s">
        <v>224</v>
      </c>
    </row>
    <row r="3" spans="1:21" x14ac:dyDescent="0.2">
      <c r="A3" s="1" t="s">
        <v>81</v>
      </c>
      <c r="B3" s="2" t="s">
        <v>82</v>
      </c>
      <c r="C3" s="2" t="s">
        <v>185</v>
      </c>
      <c r="D3" s="17">
        <v>80000</v>
      </c>
      <c r="E3" s="17">
        <v>100000</v>
      </c>
      <c r="F3" s="2" t="s">
        <v>29</v>
      </c>
      <c r="G3" s="2">
        <v>-20</v>
      </c>
      <c r="H3" s="2">
        <v>160</v>
      </c>
      <c r="I3" s="2" t="s">
        <v>189</v>
      </c>
      <c r="J3" s="2" t="s">
        <v>189</v>
      </c>
      <c r="K3" s="2" t="s">
        <v>30</v>
      </c>
      <c r="L3" s="2">
        <f>5000/0.962</f>
        <v>5197.5051975051974</v>
      </c>
      <c r="M3" s="2">
        <v>0</v>
      </c>
      <c r="N3" s="2">
        <v>0</v>
      </c>
      <c r="O3" s="2">
        <v>0</v>
      </c>
      <c r="P3" s="2">
        <v>0</v>
      </c>
      <c r="Q3" s="2">
        <v>20</v>
      </c>
      <c r="R3" s="2">
        <v>5</v>
      </c>
      <c r="S3" s="14">
        <v>5</v>
      </c>
      <c r="T3" s="11" t="s">
        <v>80</v>
      </c>
      <c r="U3" s="26" t="s">
        <v>224</v>
      </c>
    </row>
    <row r="4" spans="1:21" x14ac:dyDescent="0.2">
      <c r="A4" s="1" t="s">
        <v>81</v>
      </c>
      <c r="B4" s="2" t="s">
        <v>82</v>
      </c>
      <c r="C4" s="12" t="s">
        <v>185</v>
      </c>
      <c r="D4" s="23">
        <v>100000</v>
      </c>
      <c r="E4" s="23">
        <v>10000000000</v>
      </c>
      <c r="F4" s="12" t="s">
        <v>29</v>
      </c>
      <c r="G4" s="12">
        <v>-20</v>
      </c>
      <c r="H4" s="12">
        <v>160</v>
      </c>
      <c r="I4" s="12" t="s">
        <v>189</v>
      </c>
      <c r="J4" s="12" t="s">
        <v>189</v>
      </c>
      <c r="K4" s="2" t="s">
        <v>30</v>
      </c>
      <c r="L4" s="2">
        <f>-3000/0.962</f>
        <v>-3118.5031185031185</v>
      </c>
      <c r="M4" s="2">
        <f>0.08/0.962</f>
        <v>8.3160083160083165E-2</v>
      </c>
      <c r="N4" s="2">
        <v>1</v>
      </c>
      <c r="O4" s="2">
        <v>0</v>
      </c>
      <c r="P4" s="2">
        <v>0</v>
      </c>
      <c r="Q4" s="2">
        <v>20</v>
      </c>
      <c r="R4" s="2">
        <v>5</v>
      </c>
      <c r="S4" s="14">
        <v>5</v>
      </c>
      <c r="T4" s="11" t="s">
        <v>80</v>
      </c>
      <c r="U4" s="26" t="s">
        <v>224</v>
      </c>
    </row>
    <row r="5" spans="1:21" x14ac:dyDescent="0.2">
      <c r="A5" s="1" t="s">
        <v>233</v>
      </c>
      <c r="B5" s="2" t="s">
        <v>234</v>
      </c>
      <c r="C5" s="2" t="s">
        <v>237</v>
      </c>
      <c r="D5" s="2">
        <v>0</v>
      </c>
      <c r="E5" s="5">
        <v>500</v>
      </c>
      <c r="F5" s="2" t="s">
        <v>235</v>
      </c>
      <c r="G5" s="2"/>
      <c r="H5" s="2"/>
      <c r="I5" s="2"/>
      <c r="J5" s="2"/>
      <c r="K5" s="2" t="s">
        <v>30</v>
      </c>
      <c r="L5" s="2">
        <v>3381</v>
      </c>
      <c r="M5" s="2">
        <v>229.8</v>
      </c>
      <c r="N5" s="2">
        <v>0</v>
      </c>
      <c r="O5" s="2">
        <v>0</v>
      </c>
      <c r="P5" s="2">
        <v>0</v>
      </c>
      <c r="Q5" s="2">
        <v>20</v>
      </c>
      <c r="R5" s="2">
        <v>5</v>
      </c>
      <c r="S5" s="2">
        <v>5</v>
      </c>
      <c r="T5" s="2" t="s">
        <v>236</v>
      </c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V15"/>
  <sheetViews>
    <sheetView zoomScaleNormal="100" workbookViewId="0">
      <selection activeCell="B2" sqref="B2:C7"/>
    </sheetView>
  </sheetViews>
  <sheetFormatPr baseColWidth="10" defaultColWidth="8.83203125" defaultRowHeight="15" x14ac:dyDescent="0.2"/>
  <cols>
    <col min="1" max="1" width="45.5" bestFit="1" customWidth="1"/>
    <col min="4" max="4" width="17.5" customWidth="1"/>
    <col min="5" max="6" width="15.6640625" customWidth="1"/>
    <col min="7" max="7" width="11.1640625" customWidth="1"/>
    <col min="8" max="8" width="12.1640625" bestFit="1" customWidth="1"/>
    <col min="9" max="9" width="13.6640625" bestFit="1" customWidth="1"/>
    <col min="10" max="10" width="15.5" bestFit="1" customWidth="1"/>
    <col min="11" max="11" width="15.83203125" bestFit="1" customWidth="1"/>
    <col min="21" max="21" width="33.33203125" bestFit="1" customWidth="1"/>
    <col min="22" max="22" width="45.83203125" bestFit="1" customWidth="1"/>
  </cols>
  <sheetData>
    <row r="1" spans="1:22" x14ac:dyDescent="0.2">
      <c r="A1" s="35" t="s">
        <v>0</v>
      </c>
      <c r="B1" s="35" t="s">
        <v>1</v>
      </c>
      <c r="C1" s="1" t="s">
        <v>228</v>
      </c>
      <c r="D1" s="35" t="s">
        <v>2</v>
      </c>
      <c r="E1" s="35" t="s">
        <v>3</v>
      </c>
      <c r="F1" s="35" t="s">
        <v>4</v>
      </c>
      <c r="G1" s="35" t="s">
        <v>5</v>
      </c>
      <c r="H1" s="35" t="s">
        <v>118</v>
      </c>
      <c r="I1" s="35" t="s">
        <v>127</v>
      </c>
      <c r="J1" s="35" t="s">
        <v>126</v>
      </c>
      <c r="K1" s="35" t="s">
        <v>125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5" t="s">
        <v>26</v>
      </c>
      <c r="V1" s="35" t="s">
        <v>123</v>
      </c>
    </row>
    <row r="2" spans="1:22" x14ac:dyDescent="0.2">
      <c r="A2" s="1" t="s">
        <v>122</v>
      </c>
      <c r="B2" s="2" t="s">
        <v>60</v>
      </c>
      <c r="C2" s="12">
        <v>0.47</v>
      </c>
      <c r="D2" s="2" t="s">
        <v>119</v>
      </c>
      <c r="E2" s="17">
        <v>1050000</v>
      </c>
      <c r="F2" s="17">
        <v>70000000</v>
      </c>
      <c r="G2" s="2" t="s">
        <v>29</v>
      </c>
      <c r="H2" s="2">
        <v>6.3</v>
      </c>
      <c r="I2" s="2">
        <v>380</v>
      </c>
      <c r="J2" s="2">
        <v>34.61</v>
      </c>
      <c r="K2" s="2">
        <v>6.67</v>
      </c>
      <c r="L2" s="2" t="s">
        <v>30</v>
      </c>
      <c r="M2" s="2">
        <v>1568000</v>
      </c>
      <c r="N2" s="2">
        <v>0.3049</v>
      </c>
      <c r="O2" s="2">
        <v>1</v>
      </c>
      <c r="P2" s="2">
        <v>0</v>
      </c>
      <c r="Q2" s="2">
        <v>0</v>
      </c>
      <c r="R2" s="2">
        <v>25</v>
      </c>
      <c r="S2" s="2">
        <v>5</v>
      </c>
      <c r="T2" s="2">
        <v>5</v>
      </c>
      <c r="U2" s="2" t="s">
        <v>95</v>
      </c>
      <c r="V2" s="2" t="s">
        <v>124</v>
      </c>
    </row>
    <row r="3" spans="1:22" x14ac:dyDescent="0.2">
      <c r="A3" s="1" t="s">
        <v>121</v>
      </c>
      <c r="B3" s="14" t="s">
        <v>61</v>
      </c>
      <c r="C3" s="11">
        <v>0.4</v>
      </c>
      <c r="D3" s="18" t="s">
        <v>120</v>
      </c>
      <c r="E3" s="17">
        <v>1</v>
      </c>
      <c r="F3" s="17">
        <v>260000</v>
      </c>
      <c r="G3" s="2" t="s">
        <v>29</v>
      </c>
      <c r="H3" s="2">
        <v>4.7</v>
      </c>
      <c r="I3" s="2">
        <v>380</v>
      </c>
      <c r="J3" s="2">
        <v>34.61</v>
      </c>
      <c r="K3" s="2">
        <v>6.67</v>
      </c>
      <c r="L3" s="2" t="s">
        <v>30</v>
      </c>
      <c r="M3" s="2">
        <f>11357/0.902</f>
        <v>12590.90909090909</v>
      </c>
      <c r="N3" s="2">
        <f>127.5/0.902/1000</f>
        <v>0.14135254988913526</v>
      </c>
      <c r="O3" s="2">
        <v>1</v>
      </c>
      <c r="P3" s="2">
        <v>0</v>
      </c>
      <c r="Q3" s="2">
        <v>0</v>
      </c>
      <c r="R3" s="2">
        <v>25</v>
      </c>
      <c r="S3" s="2">
        <v>5</v>
      </c>
      <c r="T3" s="2">
        <v>5</v>
      </c>
      <c r="U3" s="2" t="s">
        <v>25</v>
      </c>
      <c r="V3" s="2" t="s">
        <v>124</v>
      </c>
    </row>
    <row r="4" spans="1:22" s="9" customFormat="1" x14ac:dyDescent="0.2">
      <c r="A4" s="1" t="s">
        <v>121</v>
      </c>
      <c r="B4" s="14" t="s">
        <v>61</v>
      </c>
      <c r="C4" s="11">
        <v>0.4</v>
      </c>
      <c r="D4" s="18" t="s">
        <v>120</v>
      </c>
      <c r="E4" s="17">
        <v>260000</v>
      </c>
      <c r="F4" s="17">
        <v>530000</v>
      </c>
      <c r="G4" s="2" t="s">
        <v>29</v>
      </c>
      <c r="H4" s="2">
        <v>4.9000000000000004</v>
      </c>
      <c r="I4" s="2">
        <v>380</v>
      </c>
      <c r="J4" s="2">
        <v>34.61</v>
      </c>
      <c r="K4" s="2">
        <v>6.67</v>
      </c>
      <c r="L4" s="2" t="s">
        <v>30</v>
      </c>
      <c r="M4" s="2">
        <f>11357/0.902</f>
        <v>12590.90909090909</v>
      </c>
      <c r="N4" s="2">
        <f>127.5/0.902/1000</f>
        <v>0.14135254988913526</v>
      </c>
      <c r="O4" s="2">
        <v>1</v>
      </c>
      <c r="P4" s="2">
        <v>0</v>
      </c>
      <c r="Q4" s="2">
        <v>0</v>
      </c>
      <c r="R4" s="2">
        <v>25</v>
      </c>
      <c r="S4" s="2">
        <v>5</v>
      </c>
      <c r="T4" s="2">
        <v>5</v>
      </c>
      <c r="U4" s="2" t="s">
        <v>25</v>
      </c>
      <c r="V4" s="2" t="s">
        <v>124</v>
      </c>
    </row>
    <row r="5" spans="1:22" s="9" customFormat="1" x14ac:dyDescent="0.2">
      <c r="A5" s="1" t="s">
        <v>121</v>
      </c>
      <c r="B5" s="14" t="s">
        <v>61</v>
      </c>
      <c r="C5" s="11">
        <v>0.4</v>
      </c>
      <c r="D5" s="18" t="s">
        <v>120</v>
      </c>
      <c r="E5" s="17">
        <v>530000</v>
      </c>
      <c r="F5" s="17">
        <v>1050000</v>
      </c>
      <c r="G5" s="2" t="s">
        <v>29</v>
      </c>
      <c r="H5" s="2">
        <v>5.3</v>
      </c>
      <c r="I5" s="2">
        <v>380</v>
      </c>
      <c r="J5" s="2">
        <v>34.61</v>
      </c>
      <c r="K5" s="2">
        <v>6.67</v>
      </c>
      <c r="L5" s="2" t="s">
        <v>30</v>
      </c>
      <c r="M5" s="2">
        <f>11357/0.902</f>
        <v>12590.90909090909</v>
      </c>
      <c r="N5" s="2">
        <f>127.5/0.902/1000</f>
        <v>0.14135254988913526</v>
      </c>
      <c r="O5" s="2">
        <v>1</v>
      </c>
      <c r="P5" s="2">
        <v>0</v>
      </c>
      <c r="Q5" s="2">
        <v>0</v>
      </c>
      <c r="R5" s="2">
        <v>25</v>
      </c>
      <c r="S5" s="2">
        <v>5</v>
      </c>
      <c r="T5" s="2">
        <v>5</v>
      </c>
      <c r="U5" s="2" t="s">
        <v>25</v>
      </c>
      <c r="V5" s="2" t="s">
        <v>124</v>
      </c>
    </row>
    <row r="6" spans="1:22" s="9" customFormat="1" x14ac:dyDescent="0.2">
      <c r="A6" s="1" t="s">
        <v>121</v>
      </c>
      <c r="B6" s="14" t="s">
        <v>61</v>
      </c>
      <c r="C6" s="11">
        <v>0.4</v>
      </c>
      <c r="D6" s="18" t="s">
        <v>120</v>
      </c>
      <c r="E6" s="17">
        <v>1050000</v>
      </c>
      <c r="F6" s="17">
        <v>2110000</v>
      </c>
      <c r="G6" s="2" t="s">
        <v>29</v>
      </c>
      <c r="H6" s="2">
        <v>5.8</v>
      </c>
      <c r="I6" s="2">
        <v>380</v>
      </c>
      <c r="J6" s="2">
        <v>34.61</v>
      </c>
      <c r="K6" s="2">
        <v>6.67</v>
      </c>
      <c r="L6" s="2" t="s">
        <v>30</v>
      </c>
      <c r="M6" s="2">
        <f>11357/0.902</f>
        <v>12590.90909090909</v>
      </c>
      <c r="N6" s="2">
        <f>127.5/0.902/1000</f>
        <v>0.14135254988913526</v>
      </c>
      <c r="O6" s="2">
        <v>1</v>
      </c>
      <c r="P6" s="2">
        <v>0</v>
      </c>
      <c r="Q6" s="2">
        <v>0</v>
      </c>
      <c r="R6" s="2">
        <v>25</v>
      </c>
      <c r="S6" s="2">
        <v>5</v>
      </c>
      <c r="T6" s="2">
        <v>5</v>
      </c>
      <c r="U6" s="2" t="s">
        <v>25</v>
      </c>
      <c r="V6" s="2" t="s">
        <v>124</v>
      </c>
    </row>
    <row r="7" spans="1:22" s="9" customFormat="1" x14ac:dyDescent="0.2">
      <c r="A7" s="1" t="s">
        <v>121</v>
      </c>
      <c r="B7" s="14" t="s">
        <v>61</v>
      </c>
      <c r="C7" s="11">
        <v>0.4</v>
      </c>
      <c r="D7" s="18" t="s">
        <v>120</v>
      </c>
      <c r="E7" s="17">
        <v>2110000</v>
      </c>
      <c r="F7" s="17">
        <v>70000000</v>
      </c>
      <c r="G7" s="2" t="s">
        <v>29</v>
      </c>
      <c r="H7" s="2">
        <v>6.3</v>
      </c>
      <c r="I7" s="2">
        <v>380</v>
      </c>
      <c r="J7" s="2">
        <v>34.61</v>
      </c>
      <c r="K7" s="2">
        <v>6.67</v>
      </c>
      <c r="L7" s="2" t="s">
        <v>30</v>
      </c>
      <c r="M7" s="2">
        <v>0</v>
      </c>
      <c r="N7" s="2">
        <v>0.36063110399999998</v>
      </c>
      <c r="O7" s="2">
        <v>1</v>
      </c>
      <c r="P7" s="2">
        <v>0</v>
      </c>
      <c r="Q7" s="2">
        <v>0</v>
      </c>
      <c r="R7" s="2">
        <v>25</v>
      </c>
      <c r="S7" s="2">
        <v>5</v>
      </c>
      <c r="T7" s="2">
        <v>5</v>
      </c>
      <c r="U7" s="2" t="s">
        <v>25</v>
      </c>
      <c r="V7" s="2" t="s">
        <v>124</v>
      </c>
    </row>
    <row r="13" spans="1:22" x14ac:dyDescent="0.2">
      <c r="P13" s="10"/>
    </row>
    <row r="15" spans="1:22" x14ac:dyDescent="0.2">
      <c r="P15" s="1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G7"/>
  <sheetViews>
    <sheetView topLeftCell="R1" zoomScaleNormal="100" workbookViewId="0">
      <selection activeCell="AE1" sqref="AE1:AG7"/>
    </sheetView>
  </sheetViews>
  <sheetFormatPr baseColWidth="10" defaultColWidth="8.83203125" defaultRowHeight="15" x14ac:dyDescent="0.2"/>
  <cols>
    <col min="1" max="1" width="29.5" bestFit="1" customWidth="1"/>
    <col min="4" max="4" width="9.1640625" bestFit="1" customWidth="1"/>
    <col min="5" max="5" width="13.6640625" bestFit="1" customWidth="1"/>
    <col min="7" max="7" width="12.1640625" bestFit="1" customWidth="1"/>
    <col min="8" max="8" width="12.1640625" customWidth="1"/>
    <col min="9" max="9" width="13.6640625" bestFit="1" customWidth="1"/>
    <col min="10" max="10" width="13.6640625" customWidth="1"/>
    <col min="11" max="12" width="12.33203125" bestFit="1" customWidth="1"/>
    <col min="33" max="33" width="45.83203125" bestFit="1" customWidth="1"/>
  </cols>
  <sheetData>
    <row r="1" spans="1:33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118</v>
      </c>
      <c r="H1" s="1" t="s">
        <v>133</v>
      </c>
      <c r="I1" s="1" t="s">
        <v>127</v>
      </c>
      <c r="J1" s="1" t="s">
        <v>128</v>
      </c>
      <c r="K1" s="1" t="s">
        <v>126</v>
      </c>
      <c r="L1" s="1" t="s">
        <v>125</v>
      </c>
      <c r="M1" s="1" t="s">
        <v>17</v>
      </c>
      <c r="N1" s="1" t="s">
        <v>18</v>
      </c>
      <c r="O1" s="1" t="s">
        <v>19</v>
      </c>
      <c r="P1" s="1" t="s">
        <v>20</v>
      </c>
      <c r="Q1" s="1" t="s">
        <v>21</v>
      </c>
      <c r="R1" s="1" t="s">
        <v>22</v>
      </c>
      <c r="S1" s="1" t="s">
        <v>23</v>
      </c>
      <c r="T1" s="1" t="s">
        <v>24</v>
      </c>
      <c r="U1" s="1" t="s">
        <v>25</v>
      </c>
      <c r="V1" s="1" t="s">
        <v>26</v>
      </c>
      <c r="W1" s="1" t="s">
        <v>62</v>
      </c>
      <c r="X1" s="1" t="s">
        <v>63</v>
      </c>
      <c r="Y1" s="1" t="s">
        <v>64</v>
      </c>
      <c r="Z1" s="1" t="s">
        <v>65</v>
      </c>
      <c r="AA1" s="1" t="s">
        <v>66</v>
      </c>
      <c r="AB1" s="1" t="s">
        <v>67</v>
      </c>
      <c r="AC1" s="1" t="s">
        <v>68</v>
      </c>
      <c r="AD1" s="1" t="s">
        <v>69</v>
      </c>
      <c r="AE1" s="1" t="s">
        <v>70</v>
      </c>
      <c r="AF1" s="1" t="s">
        <v>71</v>
      </c>
      <c r="AG1" s="6" t="s">
        <v>123</v>
      </c>
    </row>
    <row r="2" spans="1:33" x14ac:dyDescent="0.2">
      <c r="A2" s="1" t="s">
        <v>129</v>
      </c>
      <c r="B2" s="2" t="s">
        <v>72</v>
      </c>
      <c r="C2" s="2" t="s">
        <v>73</v>
      </c>
      <c r="D2" s="17">
        <v>0</v>
      </c>
      <c r="E2" s="17">
        <v>51150</v>
      </c>
      <c r="F2" s="2" t="s">
        <v>29</v>
      </c>
      <c r="G2" s="2">
        <v>0.7</v>
      </c>
      <c r="H2" s="2">
        <v>0.01</v>
      </c>
      <c r="I2" s="2">
        <v>460</v>
      </c>
      <c r="J2" s="2">
        <v>90</v>
      </c>
      <c r="K2" s="2">
        <v>38</v>
      </c>
      <c r="L2" s="2">
        <v>7</v>
      </c>
      <c r="M2" s="2" t="s">
        <v>30</v>
      </c>
      <c r="N2" s="2">
        <v>0</v>
      </c>
      <c r="O2" s="2">
        <v>0.4395</v>
      </c>
      <c r="P2" s="2">
        <v>1</v>
      </c>
      <c r="Q2" s="2">
        <v>0</v>
      </c>
      <c r="R2" s="2">
        <v>0</v>
      </c>
      <c r="S2" s="2">
        <v>25</v>
      </c>
      <c r="T2" s="2">
        <v>5</v>
      </c>
      <c r="U2" s="2">
        <v>5</v>
      </c>
      <c r="V2" s="2" t="s">
        <v>25</v>
      </c>
      <c r="W2" s="2">
        <v>0.42</v>
      </c>
      <c r="X2" s="2">
        <v>0.9</v>
      </c>
      <c r="Y2" s="2">
        <v>0.53</v>
      </c>
      <c r="Z2" s="2">
        <v>-2.5</v>
      </c>
      <c r="AA2" s="2">
        <v>-2.5</v>
      </c>
      <c r="AB2" s="2">
        <v>1.8</v>
      </c>
      <c r="AC2" s="2">
        <v>-2.1</v>
      </c>
      <c r="AD2" s="2">
        <v>1.5</v>
      </c>
      <c r="AE2" s="2">
        <v>3.23</v>
      </c>
      <c r="AF2" s="14">
        <v>2.14</v>
      </c>
      <c r="AG2" s="11" t="s">
        <v>238</v>
      </c>
    </row>
    <row r="3" spans="1:33" x14ac:dyDescent="0.2">
      <c r="A3" s="1" t="s">
        <v>129</v>
      </c>
      <c r="B3" s="2" t="s">
        <v>72</v>
      </c>
      <c r="C3" s="2" t="s">
        <v>73</v>
      </c>
      <c r="D3" s="17">
        <v>51150</v>
      </c>
      <c r="E3" s="17">
        <v>1176000</v>
      </c>
      <c r="F3" s="2" t="s">
        <v>29</v>
      </c>
      <c r="G3" s="2">
        <v>0.7</v>
      </c>
      <c r="H3" s="2">
        <v>0.01</v>
      </c>
      <c r="I3" s="2">
        <v>460</v>
      </c>
      <c r="J3" s="2">
        <v>90</v>
      </c>
      <c r="K3" s="2">
        <v>38</v>
      </c>
      <c r="L3" s="2">
        <v>7</v>
      </c>
      <c r="M3" s="2" t="s">
        <v>30</v>
      </c>
      <c r="N3" s="2">
        <v>0</v>
      </c>
      <c r="O3" s="2">
        <v>0.4395</v>
      </c>
      <c r="P3" s="2">
        <v>1</v>
      </c>
      <c r="Q3" s="2">
        <v>0</v>
      </c>
      <c r="R3" s="2">
        <v>0</v>
      </c>
      <c r="S3" s="2">
        <v>25</v>
      </c>
      <c r="T3" s="2">
        <v>5</v>
      </c>
      <c r="U3" s="2">
        <v>5</v>
      </c>
      <c r="V3" s="2" t="s">
        <v>25</v>
      </c>
      <c r="W3" s="2">
        <v>68.12</v>
      </c>
      <c r="X3" s="2">
        <v>-3281.1</v>
      </c>
      <c r="Y3" s="2">
        <v>88.05</v>
      </c>
      <c r="Z3" s="2">
        <v>-4216.1000000000004</v>
      </c>
      <c r="AA3" s="2">
        <v>-1.45</v>
      </c>
      <c r="AB3" s="2">
        <v>1.75</v>
      </c>
      <c r="AC3" s="2">
        <v>-1.45</v>
      </c>
      <c r="AD3" s="2">
        <v>1.75</v>
      </c>
      <c r="AE3" s="2">
        <v>81</v>
      </c>
      <c r="AF3" s="14">
        <v>33</v>
      </c>
      <c r="AG3" s="11" t="s">
        <v>124</v>
      </c>
    </row>
    <row r="4" spans="1:33" x14ac:dyDescent="0.2">
      <c r="A4" s="1" t="s">
        <v>130</v>
      </c>
      <c r="B4" s="2" t="s">
        <v>74</v>
      </c>
      <c r="C4" s="2" t="s">
        <v>76</v>
      </c>
      <c r="D4" s="17">
        <v>0</v>
      </c>
      <c r="E4" s="17">
        <v>58150</v>
      </c>
      <c r="F4" s="2" t="s">
        <v>29</v>
      </c>
      <c r="G4" s="2">
        <v>1</v>
      </c>
      <c r="H4" s="2">
        <v>0.01</v>
      </c>
      <c r="I4" s="2">
        <v>460</v>
      </c>
      <c r="J4" s="2">
        <v>90</v>
      </c>
      <c r="K4" s="2">
        <v>38</v>
      </c>
      <c r="L4" s="2">
        <v>7</v>
      </c>
      <c r="M4" s="2" t="s">
        <v>30</v>
      </c>
      <c r="N4" s="2">
        <v>0</v>
      </c>
      <c r="O4" s="2">
        <v>0.52969999999999995</v>
      </c>
      <c r="P4" s="2">
        <v>1</v>
      </c>
      <c r="Q4" s="2">
        <v>0</v>
      </c>
      <c r="R4" s="2">
        <v>0</v>
      </c>
      <c r="S4" s="2">
        <v>25</v>
      </c>
      <c r="T4" s="2">
        <v>5</v>
      </c>
      <c r="U4" s="2">
        <v>5</v>
      </c>
      <c r="V4" s="2" t="s">
        <v>25</v>
      </c>
      <c r="W4" s="2">
        <v>0.42</v>
      </c>
      <c r="X4" s="2">
        <v>0.9</v>
      </c>
      <c r="Y4" s="2">
        <v>0.53</v>
      </c>
      <c r="Z4" s="2">
        <v>-2.5</v>
      </c>
      <c r="AA4" s="2">
        <v>-2.5</v>
      </c>
      <c r="AB4" s="2">
        <v>1.8</v>
      </c>
      <c r="AC4" s="2">
        <v>-2.1</v>
      </c>
      <c r="AD4" s="2">
        <v>1.5</v>
      </c>
      <c r="AE4" s="14">
        <v>3.74</v>
      </c>
      <c r="AF4" s="42">
        <v>2.5</v>
      </c>
      <c r="AG4" s="11" t="s">
        <v>238</v>
      </c>
    </row>
    <row r="5" spans="1:33" x14ac:dyDescent="0.2">
      <c r="A5" s="1" t="s">
        <v>131</v>
      </c>
      <c r="B5" s="2" t="s">
        <v>74</v>
      </c>
      <c r="C5" s="2" t="s">
        <v>76</v>
      </c>
      <c r="D5" s="17">
        <v>58150</v>
      </c>
      <c r="E5" s="17">
        <v>1337450</v>
      </c>
      <c r="F5" s="2" t="s">
        <v>29</v>
      </c>
      <c r="G5" s="2">
        <v>1</v>
      </c>
      <c r="H5" s="2">
        <v>0.01</v>
      </c>
      <c r="I5" s="2">
        <v>460</v>
      </c>
      <c r="J5" s="2">
        <v>90</v>
      </c>
      <c r="K5" s="2">
        <v>38</v>
      </c>
      <c r="L5" s="2">
        <v>7</v>
      </c>
      <c r="M5" s="2" t="s">
        <v>30</v>
      </c>
      <c r="N5" s="2">
        <v>0</v>
      </c>
      <c r="O5" s="2">
        <v>0.52969999999999995</v>
      </c>
      <c r="P5" s="2">
        <v>1</v>
      </c>
      <c r="Q5" s="2">
        <v>0</v>
      </c>
      <c r="R5" s="2">
        <v>0</v>
      </c>
      <c r="S5" s="2">
        <v>25</v>
      </c>
      <c r="T5" s="2">
        <v>5</v>
      </c>
      <c r="U5" s="2">
        <v>5</v>
      </c>
      <c r="V5" s="2" t="s">
        <v>25</v>
      </c>
      <c r="W5" s="2">
        <v>18.100000000000001</v>
      </c>
      <c r="X5" s="2">
        <v>-1350.5</v>
      </c>
      <c r="Y5" s="2">
        <v>12.54</v>
      </c>
      <c r="Z5" s="2">
        <v>-917.3</v>
      </c>
      <c r="AA5" s="2">
        <v>-2.46</v>
      </c>
      <c r="AB5" s="2">
        <v>4.38</v>
      </c>
      <c r="AC5" s="2">
        <v>-2.46</v>
      </c>
      <c r="AD5" s="2">
        <v>4.38</v>
      </c>
      <c r="AE5" s="2">
        <v>68</v>
      </c>
      <c r="AF5" s="14">
        <v>14</v>
      </c>
      <c r="AG5" s="11" t="s">
        <v>124</v>
      </c>
    </row>
    <row r="6" spans="1:33" x14ac:dyDescent="0.2">
      <c r="A6" s="1" t="s">
        <v>131</v>
      </c>
      <c r="B6" s="2" t="s">
        <v>74</v>
      </c>
      <c r="C6" s="2" t="s">
        <v>76</v>
      </c>
      <c r="D6" s="17">
        <v>1337450</v>
      </c>
      <c r="E6" s="17">
        <v>10000000000</v>
      </c>
      <c r="F6" s="2" t="s">
        <v>29</v>
      </c>
      <c r="G6" s="2">
        <v>1</v>
      </c>
      <c r="H6" s="2">
        <v>0.01</v>
      </c>
      <c r="I6" s="2">
        <v>460</v>
      </c>
      <c r="J6" s="2">
        <v>90</v>
      </c>
      <c r="K6" s="2">
        <v>38</v>
      </c>
      <c r="L6" s="2">
        <v>7</v>
      </c>
      <c r="M6" s="2" t="s">
        <v>30</v>
      </c>
      <c r="N6" s="2">
        <v>0</v>
      </c>
      <c r="O6" s="2">
        <v>0.52969999999999995</v>
      </c>
      <c r="P6" s="2">
        <v>1</v>
      </c>
      <c r="Q6" s="2">
        <v>0</v>
      </c>
      <c r="R6" s="2">
        <v>0</v>
      </c>
      <c r="S6" s="2">
        <v>25</v>
      </c>
      <c r="T6" s="2">
        <v>5</v>
      </c>
      <c r="U6" s="2">
        <v>5</v>
      </c>
      <c r="V6" s="2" t="s">
        <v>25</v>
      </c>
      <c r="W6" s="2">
        <v>18.100000000000001</v>
      </c>
      <c r="X6" s="2">
        <v>-1350.5</v>
      </c>
      <c r="Y6" s="2">
        <v>12.54</v>
      </c>
      <c r="Z6" s="2">
        <v>-917.3</v>
      </c>
      <c r="AA6" s="2">
        <v>-2.46</v>
      </c>
      <c r="AB6" s="2">
        <v>4.38</v>
      </c>
      <c r="AC6" s="2">
        <v>-2.46</v>
      </c>
      <c r="AD6" s="2">
        <v>4.38</v>
      </c>
      <c r="AE6" s="14">
        <v>646</v>
      </c>
      <c r="AF6" s="42">
        <v>431</v>
      </c>
      <c r="AG6" s="11" t="s">
        <v>238</v>
      </c>
    </row>
    <row r="7" spans="1:33" x14ac:dyDescent="0.2">
      <c r="A7" s="1" t="s">
        <v>132</v>
      </c>
      <c r="B7" s="2" t="s">
        <v>75</v>
      </c>
      <c r="C7" s="2" t="s">
        <v>77</v>
      </c>
      <c r="D7" s="17">
        <v>116300</v>
      </c>
      <c r="E7" s="17">
        <v>1628200</v>
      </c>
      <c r="F7" s="2" t="s">
        <v>29</v>
      </c>
      <c r="G7" s="2">
        <v>1.2</v>
      </c>
      <c r="H7" s="2">
        <v>0.01</v>
      </c>
      <c r="I7" s="2">
        <v>460</v>
      </c>
      <c r="J7" s="2">
        <v>90</v>
      </c>
      <c r="K7" s="2">
        <v>38</v>
      </c>
      <c r="L7" s="2">
        <v>7</v>
      </c>
      <c r="M7" s="2" t="s">
        <v>30</v>
      </c>
      <c r="N7" s="2">
        <v>0</v>
      </c>
      <c r="O7" s="2">
        <v>0.64239999999999997</v>
      </c>
      <c r="P7" s="2">
        <v>1</v>
      </c>
      <c r="Q7" s="2">
        <v>0</v>
      </c>
      <c r="R7" s="2">
        <v>0</v>
      </c>
      <c r="S7" s="2">
        <v>25</v>
      </c>
      <c r="T7" s="2">
        <v>5</v>
      </c>
      <c r="U7" s="2">
        <v>5</v>
      </c>
      <c r="V7" s="2" t="s">
        <v>25</v>
      </c>
      <c r="W7" s="2">
        <v>14.6</v>
      </c>
      <c r="X7" s="2">
        <v>-1171.7</v>
      </c>
      <c r="Y7" s="2">
        <v>7.05</v>
      </c>
      <c r="Z7" s="2">
        <v>-504.2</v>
      </c>
      <c r="AA7" s="2">
        <v>-2.14</v>
      </c>
      <c r="AB7" s="2">
        <v>3.29</v>
      </c>
      <c r="AC7" s="2">
        <v>-2.14</v>
      </c>
      <c r="AD7" s="2">
        <v>3.29</v>
      </c>
      <c r="AE7" s="2">
        <v>62</v>
      </c>
      <c r="AF7" s="14">
        <v>10</v>
      </c>
      <c r="AG7" s="26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V7"/>
  <sheetViews>
    <sheetView zoomScaleNormal="100" workbookViewId="0">
      <selection activeCell="V23" sqref="V23"/>
    </sheetView>
  </sheetViews>
  <sheetFormatPr baseColWidth="10" defaultColWidth="8.83203125" defaultRowHeight="15" x14ac:dyDescent="0.2"/>
  <cols>
    <col min="1" max="1" width="26.5" customWidth="1"/>
    <col min="3" max="3" width="11.5" bestFit="1" customWidth="1"/>
    <col min="4" max="4" width="18.5" customWidth="1"/>
    <col min="5" max="5" width="20.83203125" bestFit="1" customWidth="1"/>
    <col min="6" max="6" width="8.1640625" customWidth="1"/>
    <col min="7" max="7" width="12.1640625" customWidth="1"/>
    <col min="8" max="8" width="13.6640625" bestFit="1" customWidth="1"/>
    <col min="9" max="9" width="15.1640625" bestFit="1" customWidth="1"/>
    <col min="10" max="10" width="16.5" bestFit="1" customWidth="1"/>
    <col min="11" max="11" width="12.83203125" bestFit="1" customWidth="1"/>
    <col min="21" max="21" width="29" customWidth="1"/>
    <col min="22" max="22" width="69" bestFit="1" customWidth="1"/>
  </cols>
  <sheetData>
    <row r="1" spans="1:22" x14ac:dyDescent="0.2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133</v>
      </c>
      <c r="H1" s="35" t="s">
        <v>127</v>
      </c>
      <c r="I1" s="35" t="s">
        <v>134</v>
      </c>
      <c r="J1" s="35" t="s">
        <v>136</v>
      </c>
      <c r="K1" s="35" t="s">
        <v>135</v>
      </c>
      <c r="L1" s="35" t="s">
        <v>17</v>
      </c>
      <c r="M1" s="35" t="s">
        <v>18</v>
      </c>
      <c r="N1" s="35" t="s">
        <v>19</v>
      </c>
      <c r="O1" s="35" t="s">
        <v>20</v>
      </c>
      <c r="P1" s="35" t="s">
        <v>21</v>
      </c>
      <c r="Q1" s="35" t="s">
        <v>22</v>
      </c>
      <c r="R1" s="35" t="s">
        <v>23</v>
      </c>
      <c r="S1" s="35" t="s">
        <v>24</v>
      </c>
      <c r="T1" s="35" t="s">
        <v>25</v>
      </c>
      <c r="U1" s="36" t="s">
        <v>26</v>
      </c>
      <c r="V1" s="39" t="s">
        <v>123</v>
      </c>
    </row>
    <row r="2" spans="1:22" x14ac:dyDescent="0.2">
      <c r="A2" s="1" t="s">
        <v>78</v>
      </c>
      <c r="B2" s="2" t="s">
        <v>79</v>
      </c>
      <c r="C2" s="2" t="s">
        <v>137</v>
      </c>
      <c r="D2" s="17">
        <v>1</v>
      </c>
      <c r="E2" s="17">
        <v>10000000</v>
      </c>
      <c r="F2" s="2" t="s">
        <v>29</v>
      </c>
      <c r="G2" s="19">
        <v>1.26E-2</v>
      </c>
      <c r="H2" s="2">
        <v>460</v>
      </c>
      <c r="I2" s="2">
        <v>35</v>
      </c>
      <c r="J2" s="2">
        <v>29.5</v>
      </c>
      <c r="K2" s="2">
        <v>24</v>
      </c>
      <c r="L2" s="2" t="s">
        <v>30</v>
      </c>
      <c r="M2" s="2">
        <v>1457.3</v>
      </c>
      <c r="N2" s="2">
        <v>1.61E-2</v>
      </c>
      <c r="O2" s="2">
        <v>1</v>
      </c>
      <c r="P2" s="2">
        <v>0</v>
      </c>
      <c r="Q2" s="2">
        <v>0</v>
      </c>
      <c r="R2" s="2">
        <v>20</v>
      </c>
      <c r="S2" s="2">
        <v>10</v>
      </c>
      <c r="T2" s="2">
        <v>15</v>
      </c>
      <c r="U2" s="14" t="s">
        <v>80</v>
      </c>
      <c r="V2" s="11" t="s">
        <v>139</v>
      </c>
    </row>
    <row r="3" spans="1:22" x14ac:dyDescent="0.2">
      <c r="A3" s="1" t="s">
        <v>78</v>
      </c>
      <c r="B3" s="2" t="s">
        <v>79</v>
      </c>
      <c r="C3" s="2" t="s">
        <v>137</v>
      </c>
      <c r="D3" s="17">
        <v>10000000</v>
      </c>
      <c r="E3" s="17">
        <v>1E+16</v>
      </c>
      <c r="F3" s="12" t="s">
        <v>29</v>
      </c>
      <c r="G3" s="19">
        <v>1.26E-2</v>
      </c>
      <c r="H3" s="12">
        <v>460</v>
      </c>
      <c r="I3" s="12">
        <v>35</v>
      </c>
      <c r="J3" s="12">
        <v>29.5</v>
      </c>
      <c r="K3" s="12">
        <v>24</v>
      </c>
      <c r="L3" s="12" t="s">
        <v>30</v>
      </c>
      <c r="M3" s="2">
        <v>1457.3</v>
      </c>
      <c r="N3" s="2">
        <v>1.61E-2</v>
      </c>
      <c r="O3" s="2">
        <v>1</v>
      </c>
      <c r="P3" s="2">
        <v>0</v>
      </c>
      <c r="Q3" s="2">
        <v>0</v>
      </c>
      <c r="R3" s="2">
        <v>20</v>
      </c>
      <c r="S3" s="2">
        <v>10</v>
      </c>
      <c r="T3" s="2">
        <v>15</v>
      </c>
      <c r="U3" s="14" t="s">
        <v>80</v>
      </c>
      <c r="V3" s="11" t="s">
        <v>139</v>
      </c>
    </row>
    <row r="4" spans="1:22" x14ac:dyDescent="0.2">
      <c r="A4" s="1" t="s">
        <v>78</v>
      </c>
      <c r="B4" s="2" t="s">
        <v>152</v>
      </c>
      <c r="C4" s="2" t="s">
        <v>138</v>
      </c>
      <c r="D4" s="17">
        <v>1</v>
      </c>
      <c r="E4" s="17">
        <v>10000000</v>
      </c>
      <c r="F4" s="12" t="s">
        <v>29</v>
      </c>
      <c r="G4" s="19">
        <v>3.15E-2</v>
      </c>
      <c r="H4" s="12">
        <v>460</v>
      </c>
      <c r="I4" s="12">
        <v>39</v>
      </c>
      <c r="J4" s="12">
        <v>32</v>
      </c>
      <c r="K4" s="12">
        <v>24</v>
      </c>
      <c r="L4" s="12" t="s">
        <v>30</v>
      </c>
      <c r="M4" s="2">
        <v>1457.3</v>
      </c>
      <c r="N4" s="2">
        <v>1.61E-2</v>
      </c>
      <c r="O4" s="2">
        <v>1</v>
      </c>
      <c r="P4" s="2">
        <v>0</v>
      </c>
      <c r="Q4" s="2">
        <v>0</v>
      </c>
      <c r="R4" s="2">
        <v>20</v>
      </c>
      <c r="S4" s="2">
        <v>5</v>
      </c>
      <c r="T4" s="2">
        <v>15</v>
      </c>
      <c r="U4" s="14" t="s">
        <v>24</v>
      </c>
      <c r="V4" s="11" t="s">
        <v>139</v>
      </c>
    </row>
    <row r="5" spans="1:22" x14ac:dyDescent="0.2">
      <c r="A5" s="1" t="s">
        <v>78</v>
      </c>
      <c r="B5" s="2" t="s">
        <v>152</v>
      </c>
      <c r="C5" s="2" t="s">
        <v>138</v>
      </c>
      <c r="D5" s="17">
        <v>10000000</v>
      </c>
      <c r="E5" s="17">
        <v>1E+16</v>
      </c>
      <c r="F5" s="11" t="s">
        <v>29</v>
      </c>
      <c r="G5" s="19">
        <v>3.15E-2</v>
      </c>
      <c r="H5" s="11">
        <v>460</v>
      </c>
      <c r="I5" s="11">
        <v>39</v>
      </c>
      <c r="J5" s="11">
        <v>32</v>
      </c>
      <c r="K5" s="11">
        <v>24</v>
      </c>
      <c r="L5" s="11" t="s">
        <v>30</v>
      </c>
      <c r="M5" s="18">
        <v>1457.3</v>
      </c>
      <c r="N5" s="2">
        <v>1.61E-2</v>
      </c>
      <c r="O5" s="2">
        <v>1</v>
      </c>
      <c r="P5" s="2">
        <v>0</v>
      </c>
      <c r="Q5" s="2">
        <v>0</v>
      </c>
      <c r="R5" s="2">
        <v>20</v>
      </c>
      <c r="S5" s="2">
        <v>5</v>
      </c>
      <c r="T5" s="2">
        <v>15</v>
      </c>
      <c r="U5" s="14" t="s">
        <v>80</v>
      </c>
      <c r="V5" s="11" t="s">
        <v>139</v>
      </c>
    </row>
    <row r="6" spans="1:22" x14ac:dyDescent="0.2">
      <c r="G6" s="9"/>
      <c r="H6" s="9"/>
      <c r="I6" s="9"/>
      <c r="J6" s="9"/>
      <c r="K6" s="9"/>
      <c r="V6" s="9"/>
    </row>
    <row r="7" spans="1:22" x14ac:dyDescent="0.2">
      <c r="G7" s="9"/>
      <c r="H7" s="9"/>
      <c r="I7" s="9"/>
      <c r="J7" s="9"/>
      <c r="K7" s="9"/>
      <c r="V7" s="20"/>
    </row>
  </sheetData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PHOTOVOLTAIC_PANELS</vt:lpstr>
      <vt:lpstr>SOLAR_THERMAL_PANELS</vt:lpstr>
      <vt:lpstr>PHOTOVOLTAIC_THERMAL_PANELS</vt:lpstr>
      <vt:lpstr>BOILERS</vt:lpstr>
      <vt:lpstr>COGENERATION_PLANTS</vt:lpstr>
      <vt:lpstr>HEAT_EXCHANGERS</vt:lpstr>
      <vt:lpstr>VAPOR_COMPRESSION_CHILLERS</vt:lpstr>
      <vt:lpstr>ABSORPTION_CHILLERS</vt:lpstr>
      <vt:lpstr>COOLING_TOWERS</vt:lpstr>
      <vt:lpstr>FUEL_CELLS</vt:lpstr>
      <vt:lpstr>UNITARY_AIR_CONDITIONERS</vt:lpstr>
      <vt:lpstr>HEAT_PUMPS</vt:lpstr>
      <vt:lpstr>THERMAL_ENERGY_STORAGES</vt:lpstr>
      <vt:lpstr>POWER_TRANSFORMERS</vt:lpstr>
      <vt:lpstr>HYDRAULIC_PUMPS</vt:lpstr>
      <vt:lpstr>BORE_HOLES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Justin McCarty</cp:lastModifiedBy>
  <dcterms:created xsi:type="dcterms:W3CDTF">2021-09-30T08:03:11Z</dcterms:created>
  <dcterms:modified xsi:type="dcterms:W3CDTF">2024-11-07T13:10:31Z</dcterms:modified>
  <cp:category/>
</cp:coreProperties>
</file>