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fonseca/Documents/GitHub/CityEnergyAnalyst/cea/databases/LATAM/components/"/>
    </mc:Choice>
  </mc:AlternateContent>
  <xr:revisionPtr revIDLastSave="0" documentId="8_{7F79F6FA-C2C3-1848-B468-A189856093F6}" xr6:coauthVersionLast="47" xr6:coauthVersionMax="47" xr10:uidLastSave="{00000000-0000-0000-0000-000000000000}"/>
  <bookViews>
    <workbookView xWindow="0" yWindow="760" windowWidth="30240" windowHeight="17340" tabRatio="993" activeTab="8"/>
  </bookViews>
  <sheets>
    <sheet name="PV" sheetId="1" r:id="rId1"/>
    <sheet name="SC" sheetId="2" r:id="rId2"/>
    <sheet name="PVT" sheetId="3" r:id="rId3"/>
    <sheet name="Boiler" sheetId="4" r:id="rId4"/>
    <sheet name="Furnace" sheetId="5" r:id="rId5"/>
    <sheet name="FC" sheetId="6" r:id="rId6"/>
    <sheet name="CCGT" sheetId="7" r:id="rId7"/>
    <sheet name="Chiller_configuration" sheetId="16" r:id="rId8"/>
    <sheet name="Chiller" sheetId="8" r:id="rId9"/>
    <sheet name="Absorption_chiller" sheetId="9" r:id="rId10"/>
    <sheet name="CT" sheetId="10" r:id="rId11"/>
    <sheet name="HEX" sheetId="11" r:id="rId12"/>
    <sheet name="BH" sheetId="12" r:id="rId13"/>
    <sheet name="HP" sheetId="13" r:id="rId14"/>
    <sheet name="TES" sheetId="14" r:id="rId15"/>
    <sheet name="Pump" sheetId="15" r:id="rId16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1" l="1"/>
  <c r="G4" i="11"/>
  <c r="G3" i="11"/>
  <c r="H2" i="11"/>
  <c r="G2" i="11"/>
  <c r="H2" i="12"/>
  <c r="G2" i="4"/>
  <c r="H2" i="4"/>
  <c r="G3" i="4"/>
  <c r="H3" i="4"/>
  <c r="G4" i="4"/>
  <c r="H4" i="4"/>
  <c r="H2" i="7"/>
  <c r="H3" i="8"/>
  <c r="I3" i="8"/>
  <c r="H2" i="6"/>
  <c r="H3" i="6"/>
  <c r="H2" i="13"/>
  <c r="H3" i="13"/>
  <c r="K3" i="13"/>
  <c r="H2" i="15"/>
  <c r="H3" i="15"/>
  <c r="H4" i="15"/>
  <c r="H5" i="15"/>
  <c r="T2" i="1"/>
  <c r="T3" i="1"/>
  <c r="T4" i="1"/>
  <c r="T5" i="1"/>
  <c r="T6" i="1"/>
  <c r="T7" i="1"/>
  <c r="T8" i="1"/>
  <c r="T9" i="1"/>
  <c r="T10" i="1"/>
  <c r="H2" i="3"/>
  <c r="Q2" i="2"/>
  <c r="R2" i="2"/>
  <c r="S2" i="2"/>
  <c r="Z2" i="2"/>
  <c r="Q3" i="2"/>
  <c r="R3" i="2"/>
  <c r="S3" i="2"/>
  <c r="Z3" i="2"/>
  <c r="H2" i="14"/>
  <c r="K2" i="14"/>
  <c r="H3" i="14"/>
  <c r="K3" i="14"/>
  <c r="H4" i="14"/>
</calcChain>
</file>

<file path=xl/sharedStrings.xml><?xml version="1.0" encoding="utf-8"?>
<sst xmlns="http://schemas.openxmlformats.org/spreadsheetml/2006/main" count="522" uniqueCount="150">
  <si>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</si>
  <si>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</si>
  <si>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</si>
  <si>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</si>
  <si>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</si>
  <si>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</si>
  <si>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</si>
  <si>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</si>
  <si>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</si>
  <si>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</si>
  <si>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</si>
  <si>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</si>
  <si>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</si>
  <si>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</si>
  <si>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</si>
  <si>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</si>
  <si>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</si>
  <si>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</si>
  <si>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</si>
  <si>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</si>
  <si>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</si>
  <si>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</si>
  <si>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</si>
  <si>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</si>
  <si>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</si>
  <si>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</si>
  <si>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</si>
  <si>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</si>
  <si>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</si>
  <si>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</si>
  <si>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</si>
  <si>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</si>
  <si>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</si>
  <si>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</si>
  <si>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</si>
  <si>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</si>
  <si>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</si>
  <si>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</si>
  <si>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</si>
  <si>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</si>
  <si>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</si>
  <si>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</si>
  <si>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</si>
  <si>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</si>
  <si>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</si>
  <si>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</si>
  <si>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</si>
  <si>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</si>
  <si>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</si>
  <si>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</si>
  <si>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</si>
  <si>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</si>
  <si>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</si>
  <si>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</si>
  <si>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</si>
  <si>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</si>
  <si>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</si>
  <si>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</si>
  <si>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</si>
  <si>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</si>
  <si>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</si>
  <si>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</si>
  <si>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condensing boiler</t>
  </si>
  <si>
    <t>BO1</t>
  </si>
  <si>
    <t>furnace combined with ORC</t>
  </si>
  <si>
    <t>FU1</t>
  </si>
  <si>
    <t xml:space="preserve"> Assumptions</t>
  </si>
  <si>
    <t>solid oxide fuel cell</t>
  </si>
  <si>
    <t>FC1</t>
  </si>
  <si>
    <t>everything</t>
  </si>
  <si>
    <t>combined cycle gas turbine</t>
  </si>
  <si>
    <t>CCGT1</t>
  </si>
  <si>
    <t>centralized chiller</t>
  </si>
  <si>
    <t>CH1</t>
  </si>
  <si>
    <t>vapor compression chiller</t>
  </si>
  <si>
    <t>CH2</t>
  </si>
  <si>
    <t>CH3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</si>
  <si>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</si>
  <si>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</si>
  <si>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</si>
  <si>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</si>
  <si>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</si>
  <si>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</si>
  <si>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</si>
  <si>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</si>
  <si>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</si>
  <si>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</si>
  <si>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LiBr single effect</t>
  </si>
  <si>
    <t>ACH1</t>
  </si>
  <si>
    <t>single</t>
  </si>
  <si>
    <t>ACH2</t>
  </si>
  <si>
    <t>LiBr double effect (dummy)</t>
  </si>
  <si>
    <t>ACH3</t>
  </si>
  <si>
    <t>double</t>
  </si>
  <si>
    <t>LiBr double effect</t>
  </si>
  <si>
    <t>ACH4</t>
  </si>
  <si>
    <t>LiBr triple effect</t>
  </si>
  <si>
    <t>ACH5</t>
  </si>
  <si>
    <t>triple</t>
  </si>
  <si>
    <t>centralized cooling tower</t>
  </si>
  <si>
    <t>CT1</t>
  </si>
  <si>
    <t>all</t>
  </si>
  <si>
    <t>Currency</t>
  </si>
  <si>
    <t>substation heat exchanger</t>
  </si>
  <si>
    <t>HEX1</t>
  </si>
  <si>
    <t>borehole</t>
  </si>
  <si>
    <t>BH1</t>
  </si>
  <si>
    <t>geothermal heat pump</t>
  </si>
  <si>
    <t>HP1</t>
  </si>
  <si>
    <t>water-water heat pump</t>
  </si>
  <si>
    <t>HP2</t>
  </si>
  <si>
    <t xml:space="preserve">unit </t>
  </si>
  <si>
    <t>long-term storage tank</t>
  </si>
  <si>
    <t>TES1</t>
  </si>
  <si>
    <t>m3</t>
  </si>
  <si>
    <t>cap_min, cap_max</t>
  </si>
  <si>
    <t>short-term storage tank</t>
  </si>
  <si>
    <t>TES2</t>
  </si>
  <si>
    <t>generic pump</t>
  </si>
  <si>
    <t>PU1</t>
  </si>
  <si>
    <t>District substation heat exchanger</t>
  </si>
  <si>
    <t>HEX2</t>
  </si>
  <si>
    <t>m^2</t>
  </si>
  <si>
    <t>Values under 1 and above 50 are assumptions, as no datasheet values are available in this area. a_p to e_p denote the pressure drop in Pa</t>
  </si>
  <si>
    <t>a_p</t>
  </si>
  <si>
    <t>b_p</t>
  </si>
  <si>
    <t>c_p</t>
  </si>
  <si>
    <t>d_p</t>
  </si>
  <si>
    <t>e_p</t>
  </si>
  <si>
    <t xml:space="preserve">Fit based on RESCUE WP 2.4. Figure 18 </t>
  </si>
  <si>
    <t>CODE</t>
  </si>
  <si>
    <t>SOURCE</t>
  </si>
  <si>
    <t>COMPRESSOR</t>
  </si>
  <si>
    <t>plf_a</t>
  </si>
  <si>
    <t>plf_b</t>
  </si>
  <si>
    <t>plf_c</t>
  </si>
  <si>
    <t>q_a</t>
  </si>
  <si>
    <t>q_b</t>
  </si>
  <si>
    <t>q_c</t>
  </si>
  <si>
    <t>q_d</t>
  </si>
  <si>
    <t>q_e</t>
  </si>
  <si>
    <t>q_f</t>
  </si>
  <si>
    <t>REFERENCE</t>
  </si>
  <si>
    <t>CH_T0</t>
  </si>
  <si>
    <t>WATER</t>
  </si>
  <si>
    <t>SCREW</t>
  </si>
  <si>
    <t>https://comnet.org/index.php/382-chillers</t>
  </si>
  <si>
    <t>CH_T1</t>
  </si>
  <si>
    <t>CENTRIFUGAL</t>
  </si>
  <si>
    <t>G_VALUE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</si>
</sst>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8" formatCode="0.0000000"/>
    <numFmt numFmtId="179" formatCode="0.0"/>
    <numFmt numFmtId="180" formatCode="0.000"/>
  </numFmts>
  <fonts count="5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4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4" fillId="0" borderId="0"/>
  </cellStyleXfs>
  <cellXfs count="14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/>
    <xf numFmtId="18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4">
    <cellStyle name="Normal 2" xfId="1"/>
    <cellStyle name="Normal 2 2" xfId="2"/>
    <cellStyle name="Normal 3" xfId="3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opLeftCell="N1" zoomScale="80" zoomScaleNormal="80" workbookViewId="0">
      <selection activeCell="N1" sqref="N1:Q2"/>
    </sheetView>
  </sheetViews>
  <sheetFormatPr baseColWidth="10" defaultRowHeight="15" x14ac:dyDescent="0.2"/>
  <cols>
    <col min="1" max="1" width="38.6640625" customWidth="1"/>
    <col min="2" max="3" width="8.8320312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1" max="11" width="8.832031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8" max="18" width="8.8320312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6" max="26" width="8.83203125" customWidth="1"/>
    <col min="27" max="27" width="13.33203125" customWidth="1"/>
    <col min="28" max="256" width="8.832031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4">
        <v>0.1</v>
      </c>
      <c r="R2" s="3" t="s">
        <v>31</v>
      </c>
      <c r="S2" s="2">
        <v>0</v>
      </c>
      <c r="T2" s="4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 spans="1:27" x14ac:dyDescent="0.2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2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 spans="1:27" x14ac:dyDescent="0.2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4">
        <v>0.1</v>
      </c>
      <c r="R5" s="3" t="s">
        <v>31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 spans="1:27" x14ac:dyDescent="0.2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2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 spans="1:27" x14ac:dyDescent="0.2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4">
        <v>0.1</v>
      </c>
      <c r="R8" s="3" t="s">
        <v>31</v>
      </c>
      <c r="S8" s="2">
        <v>0</v>
      </c>
      <c r="T8" s="4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 spans="1:27" x14ac:dyDescent="0.2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2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selection activeCell="J29" sqref="J29"/>
    </sheetView>
  </sheetViews>
  <sheetFormatPr baseColWidth="10" defaultRowHeight="15" x14ac:dyDescent="0.2"/>
  <cols>
    <col min="1" max="1" width="27.6640625" customWidth="1"/>
    <col min="2" max="4" width="8.83203125" customWidth="1"/>
    <col min="5" max="5" width="9.6640625" customWidth="1"/>
    <col min="6" max="256" width="8.832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  <c r="Z1" s="1" t="s">
        <v>86</v>
      </c>
    </row>
    <row r="2" spans="1:26" x14ac:dyDescent="0.2">
      <c r="A2" s="1" t="s">
        <v>87</v>
      </c>
      <c r="B2" s="2" t="s">
        <v>88</v>
      </c>
      <c r="C2" s="2" t="s">
        <v>89</v>
      </c>
      <c r="D2" s="2">
        <v>0</v>
      </c>
      <c r="E2" s="2">
        <v>51150</v>
      </c>
      <c r="F2" s="2" t="s">
        <v>30</v>
      </c>
      <c r="G2" s="2" t="s">
        <v>31</v>
      </c>
      <c r="H2" s="2">
        <v>0</v>
      </c>
      <c r="I2" s="2">
        <v>0.4395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25</v>
      </c>
      <c r="Q2" s="2">
        <v>0.42</v>
      </c>
      <c r="R2" s="2">
        <v>0.9</v>
      </c>
      <c r="S2" s="2">
        <v>0.53</v>
      </c>
      <c r="T2" s="2">
        <v>-2.5</v>
      </c>
      <c r="U2" s="2">
        <v>-2.5</v>
      </c>
      <c r="V2" s="2">
        <v>1.8</v>
      </c>
      <c r="W2" s="2">
        <v>-2.1</v>
      </c>
      <c r="X2" s="2">
        <v>1.5</v>
      </c>
      <c r="Y2" s="2">
        <v>0.72199999999999998</v>
      </c>
      <c r="Z2" s="2">
        <v>0.33300000000000002</v>
      </c>
    </row>
    <row r="3" spans="1:26" x14ac:dyDescent="0.2">
      <c r="A3" s="1" t="s">
        <v>87</v>
      </c>
      <c r="B3" s="2" t="s">
        <v>90</v>
      </c>
      <c r="C3" s="2" t="s">
        <v>89</v>
      </c>
      <c r="D3" s="2">
        <v>51150</v>
      </c>
      <c r="E3" s="5">
        <v>1176000</v>
      </c>
      <c r="F3" s="2" t="s">
        <v>30</v>
      </c>
      <c r="G3" s="2" t="s">
        <v>31</v>
      </c>
      <c r="H3" s="2">
        <v>0</v>
      </c>
      <c r="I3" s="2">
        <v>0.4395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  <c r="Q3" s="2">
        <v>68.12</v>
      </c>
      <c r="R3" s="2">
        <v>-3281.1</v>
      </c>
      <c r="S3" s="2">
        <v>88.05</v>
      </c>
      <c r="T3" s="2">
        <v>-4216.1000000000004</v>
      </c>
      <c r="U3" s="2">
        <v>-1.45</v>
      </c>
      <c r="V3" s="2">
        <v>1.75</v>
      </c>
      <c r="W3" s="2">
        <v>-1.45</v>
      </c>
      <c r="X3" s="2">
        <v>1.75</v>
      </c>
      <c r="Y3" s="2">
        <v>81</v>
      </c>
      <c r="Z3" s="2">
        <v>33</v>
      </c>
    </row>
    <row r="4" spans="1:26" x14ac:dyDescent="0.2">
      <c r="A4" s="1" t="s">
        <v>91</v>
      </c>
      <c r="B4" s="2" t="s">
        <v>92</v>
      </c>
      <c r="C4" s="2" t="s">
        <v>93</v>
      </c>
      <c r="D4" s="2">
        <v>0</v>
      </c>
      <c r="E4" s="2">
        <v>58150</v>
      </c>
      <c r="F4" s="2" t="s">
        <v>30</v>
      </c>
      <c r="G4" s="2" t="s">
        <v>31</v>
      </c>
      <c r="H4" s="2">
        <v>0</v>
      </c>
      <c r="I4" s="2">
        <v>0.52969999999999995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  <c r="Q4" s="2">
        <v>0.42</v>
      </c>
      <c r="R4" s="2">
        <v>0.9</v>
      </c>
      <c r="S4" s="2">
        <v>0.53</v>
      </c>
      <c r="T4" s="2">
        <v>-2.5</v>
      </c>
      <c r="U4" s="2">
        <v>-2.5</v>
      </c>
      <c r="V4" s="2">
        <v>1.8</v>
      </c>
      <c r="W4" s="2">
        <v>-2.1</v>
      </c>
      <c r="X4" s="2">
        <v>1.5</v>
      </c>
      <c r="Y4" s="2">
        <v>0.72199999999999998</v>
      </c>
      <c r="Z4" s="2">
        <v>0.33300000000000002</v>
      </c>
    </row>
    <row r="5" spans="1:26" x14ac:dyDescent="0.2">
      <c r="A5" s="1" t="s">
        <v>94</v>
      </c>
      <c r="B5" s="2" t="s">
        <v>95</v>
      </c>
      <c r="C5" s="2" t="s">
        <v>93</v>
      </c>
      <c r="D5" s="2">
        <v>58150</v>
      </c>
      <c r="E5" s="5">
        <v>1337450</v>
      </c>
      <c r="F5" s="2" t="s">
        <v>30</v>
      </c>
      <c r="G5" s="2" t="s">
        <v>31</v>
      </c>
      <c r="H5" s="2">
        <v>0</v>
      </c>
      <c r="I5" s="2">
        <v>0.52969999999999995</v>
      </c>
      <c r="J5" s="2">
        <v>1</v>
      </c>
      <c r="K5" s="2">
        <v>0</v>
      </c>
      <c r="L5" s="2">
        <v>0</v>
      </c>
      <c r="M5" s="2">
        <v>25</v>
      </c>
      <c r="N5" s="2">
        <v>5</v>
      </c>
      <c r="O5" s="2">
        <v>5</v>
      </c>
      <c r="P5" s="2" t="s">
        <v>25</v>
      </c>
      <c r="Q5" s="2">
        <v>18.100000000000001</v>
      </c>
      <c r="R5" s="2">
        <v>-1350.5</v>
      </c>
      <c r="S5" s="2">
        <v>12.54</v>
      </c>
      <c r="T5" s="2">
        <v>-917.3</v>
      </c>
      <c r="U5" s="2">
        <v>-2.46</v>
      </c>
      <c r="V5" s="2">
        <v>4.38</v>
      </c>
      <c r="W5" s="2">
        <v>-2.46</v>
      </c>
      <c r="X5" s="2">
        <v>4.38</v>
      </c>
      <c r="Y5" s="2">
        <v>68</v>
      </c>
      <c r="Z5" s="2">
        <v>14</v>
      </c>
    </row>
    <row r="6" spans="1:26" x14ac:dyDescent="0.2">
      <c r="A6" s="1" t="s">
        <v>94</v>
      </c>
      <c r="B6" s="2" t="s">
        <v>95</v>
      </c>
      <c r="C6" s="2" t="s">
        <v>93</v>
      </c>
      <c r="D6" s="5">
        <v>1337450</v>
      </c>
      <c r="E6" s="5">
        <v>10000000000</v>
      </c>
      <c r="F6" s="2" t="s">
        <v>30</v>
      </c>
      <c r="G6" s="2" t="s">
        <v>31</v>
      </c>
      <c r="H6" s="2">
        <v>0</v>
      </c>
      <c r="I6" s="2">
        <v>0.52969999999999995</v>
      </c>
      <c r="J6" s="2">
        <v>1</v>
      </c>
      <c r="K6" s="2">
        <v>0</v>
      </c>
      <c r="L6" s="2">
        <v>0</v>
      </c>
      <c r="M6" s="2">
        <v>25</v>
      </c>
      <c r="N6" s="2">
        <v>5</v>
      </c>
      <c r="O6" s="2">
        <v>5</v>
      </c>
      <c r="P6" s="2" t="s">
        <v>25</v>
      </c>
      <c r="Q6" s="2">
        <v>18.100000000000001</v>
      </c>
      <c r="R6" s="2">
        <v>-1350.5</v>
      </c>
      <c r="S6" s="2">
        <v>12.54</v>
      </c>
      <c r="T6" s="2">
        <v>-917.3</v>
      </c>
      <c r="U6" s="2">
        <v>-2.46</v>
      </c>
      <c r="V6" s="2">
        <v>4.38</v>
      </c>
      <c r="W6" s="2">
        <v>-2.46</v>
      </c>
      <c r="X6" s="2">
        <v>4.38</v>
      </c>
      <c r="Y6" s="2">
        <v>68</v>
      </c>
      <c r="Z6" s="2">
        <v>14</v>
      </c>
    </row>
    <row r="7" spans="1:26" x14ac:dyDescent="0.2">
      <c r="A7" s="1" t="s">
        <v>96</v>
      </c>
      <c r="B7" s="2" t="s">
        <v>97</v>
      </c>
      <c r="C7" s="2" t="s">
        <v>98</v>
      </c>
      <c r="D7" s="2">
        <v>116300</v>
      </c>
      <c r="E7" s="5">
        <v>1628200</v>
      </c>
      <c r="F7" s="2" t="s">
        <v>30</v>
      </c>
      <c r="G7" s="2" t="s">
        <v>31</v>
      </c>
      <c r="H7" s="2">
        <v>0</v>
      </c>
      <c r="I7" s="2">
        <v>0.64239999999999997</v>
      </c>
      <c r="J7" s="2">
        <v>1</v>
      </c>
      <c r="K7" s="2">
        <v>0</v>
      </c>
      <c r="L7" s="2">
        <v>0</v>
      </c>
      <c r="M7" s="2">
        <v>25</v>
      </c>
      <c r="N7" s="2">
        <v>5</v>
      </c>
      <c r="O7" s="2">
        <v>5</v>
      </c>
      <c r="P7" s="2" t="s">
        <v>25</v>
      </c>
      <c r="Q7" s="2">
        <v>14.6</v>
      </c>
      <c r="R7" s="2">
        <v>-1171.7</v>
      </c>
      <c r="S7" s="2">
        <v>7.05</v>
      </c>
      <c r="T7" s="2">
        <v>-504.2</v>
      </c>
      <c r="U7" s="2">
        <v>-2.14</v>
      </c>
      <c r="V7" s="2">
        <v>3.29</v>
      </c>
      <c r="W7" s="2">
        <v>-2.14</v>
      </c>
      <c r="X7" s="2">
        <v>3.29</v>
      </c>
      <c r="Y7" s="2">
        <v>62</v>
      </c>
      <c r="Z7" s="2">
        <v>10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="70" zoomScaleNormal="70" workbookViewId="0">
      <selection activeCell="C12" sqref="C12"/>
    </sheetView>
  </sheetViews>
  <sheetFormatPr baseColWidth="10" defaultRowHeight="15" x14ac:dyDescent="0.2"/>
  <cols>
    <col min="1" max="1" width="26.5" customWidth="1"/>
    <col min="2" max="2" width="8.83203125" customWidth="1"/>
    <col min="3" max="3" width="18.5" customWidth="1"/>
    <col min="4" max="5" width="15.33203125" customWidth="1"/>
    <col min="6" max="14" width="8.83203125" customWidth="1"/>
    <col min="15" max="15" width="29" customWidth="1"/>
    <col min="16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99</v>
      </c>
      <c r="B2" s="2" t="s">
        <v>100</v>
      </c>
      <c r="C2" s="2">
        <v>1</v>
      </c>
      <c r="D2" s="2">
        <v>10000000</v>
      </c>
      <c r="E2" s="2" t="s">
        <v>30</v>
      </c>
      <c r="F2" s="2" t="s">
        <v>31</v>
      </c>
      <c r="G2" s="2">
        <v>1457.3</v>
      </c>
      <c r="H2" s="2">
        <v>1.61E-2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15</v>
      </c>
      <c r="O2" s="2" t="s">
        <v>24</v>
      </c>
    </row>
    <row r="3" spans="1:15" x14ac:dyDescent="0.2">
      <c r="A3" s="1" t="s">
        <v>99</v>
      </c>
      <c r="B3" s="2" t="s">
        <v>100</v>
      </c>
      <c r="C3" s="2">
        <v>10000000</v>
      </c>
      <c r="D3" s="5">
        <v>1E+16</v>
      </c>
      <c r="E3" s="2" t="s">
        <v>30</v>
      </c>
      <c r="F3" s="2" t="s">
        <v>31</v>
      </c>
      <c r="G3" s="2">
        <v>1457.3</v>
      </c>
      <c r="H3" s="2">
        <v>1.61E-2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15</v>
      </c>
      <c r="O3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zoomScale="70" zoomScaleNormal="70" workbookViewId="0">
      <selection activeCell="G16" sqref="G16"/>
    </sheetView>
  </sheetViews>
  <sheetFormatPr baseColWidth="10" defaultRowHeight="15" x14ac:dyDescent="0.2"/>
  <cols>
    <col min="1" max="1" width="28.6640625" customWidth="1"/>
    <col min="2" max="2" width="16.5" customWidth="1"/>
    <col min="3" max="3" width="16.6640625" customWidth="1"/>
    <col min="4" max="5" width="23" customWidth="1"/>
    <col min="6" max="11" width="8.83203125" customWidth="1"/>
    <col min="12" max="12" width="19" customWidth="1"/>
    <col min="13" max="256" width="8.83203125" customWidth="1"/>
  </cols>
  <sheetData>
    <row r="1" spans="1:20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102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23</v>
      </c>
      <c r="R1" s="1" t="s">
        <v>24</v>
      </c>
      <c r="S1" s="1" t="s">
        <v>25</v>
      </c>
      <c r="T1" s="1" t="s">
        <v>26</v>
      </c>
    </row>
    <row r="2" spans="1:20" x14ac:dyDescent="0.2">
      <c r="A2" s="1" t="s">
        <v>103</v>
      </c>
      <c r="B2" s="2" t="s">
        <v>104</v>
      </c>
      <c r="C2" s="2">
        <v>50000</v>
      </c>
      <c r="D2" s="2">
        <v>80000</v>
      </c>
      <c r="E2" s="2" t="s">
        <v>30</v>
      </c>
      <c r="F2" s="2" t="s">
        <v>31</v>
      </c>
      <c r="G2" s="2">
        <f>-333/0.962</f>
        <v>-346.15384615384619</v>
      </c>
      <c r="H2" s="2">
        <f>0.067/0.962</f>
        <v>6.964656964656965E-2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20</v>
      </c>
      <c r="R2" s="2">
        <v>5</v>
      </c>
      <c r="S2" s="2">
        <v>5</v>
      </c>
      <c r="T2" s="2"/>
    </row>
    <row r="3" spans="1:20" x14ac:dyDescent="0.2">
      <c r="A3" s="1" t="s">
        <v>103</v>
      </c>
      <c r="B3" s="2" t="s">
        <v>104</v>
      </c>
      <c r="C3" s="2">
        <v>80000</v>
      </c>
      <c r="D3" s="2">
        <v>100000</v>
      </c>
      <c r="E3" s="2" t="s">
        <v>30</v>
      </c>
      <c r="F3" s="2" t="s">
        <v>31</v>
      </c>
      <c r="G3" s="2">
        <f>5000/0.962</f>
        <v>5197.5051975051974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2">
        <v>5</v>
      </c>
      <c r="T3" s="2"/>
    </row>
    <row r="4" spans="1:20" x14ac:dyDescent="0.2">
      <c r="A4" s="1" t="s">
        <v>103</v>
      </c>
      <c r="B4" s="2" t="s">
        <v>104</v>
      </c>
      <c r="C4" s="2">
        <v>100000</v>
      </c>
      <c r="D4" s="5">
        <v>10000000000</v>
      </c>
      <c r="E4" s="2" t="s">
        <v>30</v>
      </c>
      <c r="F4" s="2" t="s">
        <v>31</v>
      </c>
      <c r="G4" s="2">
        <f>-3000/0.962</f>
        <v>-3118.5031185031185</v>
      </c>
      <c r="H4" s="2">
        <f>0.08/0.962</f>
        <v>8.3160083160083165E-2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20</v>
      </c>
      <c r="R4" s="2">
        <v>5</v>
      </c>
      <c r="S4" s="2">
        <v>5</v>
      </c>
      <c r="T4" s="2"/>
    </row>
    <row r="5" spans="1:20" x14ac:dyDescent="0.2">
      <c r="A5" s="1" t="s">
        <v>120</v>
      </c>
      <c r="B5" s="2" t="s">
        <v>121</v>
      </c>
      <c r="C5" s="2">
        <v>0</v>
      </c>
      <c r="D5" s="5">
        <v>500</v>
      </c>
      <c r="E5" s="2" t="s">
        <v>122</v>
      </c>
      <c r="F5" s="2" t="s">
        <v>31</v>
      </c>
      <c r="G5" s="2">
        <v>3381</v>
      </c>
      <c r="H5" s="2">
        <v>229.8</v>
      </c>
      <c r="I5" s="2">
        <v>0</v>
      </c>
      <c r="J5" s="2">
        <v>0</v>
      </c>
      <c r="K5" s="2">
        <v>0</v>
      </c>
      <c r="L5" s="2">
        <v>5056</v>
      </c>
      <c r="M5" s="2">
        <v>319.89999999999998</v>
      </c>
      <c r="N5" s="2">
        <v>0.4153</v>
      </c>
      <c r="O5" s="2">
        <v>-1271</v>
      </c>
      <c r="P5" s="2">
        <v>6.8329999999999997E-3</v>
      </c>
      <c r="Q5" s="2">
        <v>20</v>
      </c>
      <c r="R5" s="2">
        <v>5</v>
      </c>
      <c r="S5" s="2">
        <v>5</v>
      </c>
      <c r="T5" s="2" t="s">
        <v>123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zoomScale="70" zoomScaleNormal="70" workbookViewId="0">
      <selection activeCell="H3" sqref="H3"/>
    </sheetView>
  </sheetViews>
  <sheetFormatPr baseColWidth="10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5" max="14" width="8.83203125" customWidth="1"/>
    <col min="15" max="15" width="29.6640625" customWidth="1"/>
    <col min="16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105</v>
      </c>
      <c r="B2" s="2" t="s">
        <v>106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="60" zoomScaleNormal="60" workbookViewId="0">
      <selection activeCell="O6" sqref="O6"/>
    </sheetView>
  </sheetViews>
  <sheetFormatPr baseColWidth="10" defaultRowHeight="15" x14ac:dyDescent="0.2"/>
  <cols>
    <col min="1" max="1" width="29" customWidth="1"/>
    <col min="2" max="2" width="8.83203125" customWidth="1"/>
    <col min="3" max="3" width="17.5" customWidth="1"/>
    <col min="4" max="5" width="20.5" customWidth="1"/>
    <col min="6" max="6" width="8.83203125" customWidth="1"/>
    <col min="7" max="7" width="11.33203125" customWidth="1"/>
    <col min="8" max="8" width="8.83203125" customWidth="1"/>
    <col min="9" max="9" width="12.5" customWidth="1"/>
    <col min="10" max="10" width="12" customWidth="1"/>
    <col min="11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107</v>
      </c>
      <c r="B2" s="2" t="s">
        <v>108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177.8/0.902</f>
        <v>197.11751662971176</v>
      </c>
      <c r="I2" s="2">
        <v>0.49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/>
    </row>
    <row r="3" spans="1:15" x14ac:dyDescent="0.2">
      <c r="A3" s="1" t="s">
        <v>109</v>
      </c>
      <c r="B3" s="2" t="s">
        <v>110</v>
      </c>
      <c r="C3" s="2">
        <v>1000000</v>
      </c>
      <c r="D3" s="2">
        <v>20000000</v>
      </c>
      <c r="E3" s="2" t="s">
        <v>30</v>
      </c>
      <c r="F3" s="2" t="s">
        <v>31</v>
      </c>
      <c r="G3" s="2">
        <v>0</v>
      </c>
      <c r="H3" s="2">
        <f>8893/0.902/1000</f>
        <v>9.8592017738359186</v>
      </c>
      <c r="I3" s="2">
        <v>1</v>
      </c>
      <c r="J3" s="2">
        <v>0</v>
      </c>
      <c r="K3" s="2">
        <f>-493.53/0.902/1000</f>
        <v>-0.54715077605321505</v>
      </c>
      <c r="L3" s="2">
        <v>25</v>
      </c>
      <c r="M3" s="2">
        <v>5</v>
      </c>
      <c r="N3" s="2">
        <v>6</v>
      </c>
      <c r="O3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zoomScale="80" zoomScaleNormal="80" workbookViewId="0">
      <selection activeCell="A41" sqref="A41"/>
    </sheetView>
  </sheetViews>
  <sheetFormatPr baseColWidth="10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6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111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112</v>
      </c>
      <c r="B2" s="2" t="s">
        <v>113</v>
      </c>
      <c r="C2" s="2">
        <v>100</v>
      </c>
      <c r="D2" s="2">
        <v>12000</v>
      </c>
      <c r="E2" s="2" t="s">
        <v>114</v>
      </c>
      <c r="F2" s="2" t="s">
        <v>31</v>
      </c>
      <c r="G2" s="2">
        <v>0</v>
      </c>
      <c r="H2" s="2">
        <f>2771.2/0.962</f>
        <v>2880.6652806652805</v>
      </c>
      <c r="I2" s="2">
        <v>1</v>
      </c>
      <c r="J2" s="2">
        <v>0</v>
      </c>
      <c r="K2" s="2">
        <f>-284.2/0.962</f>
        <v>-295.42619542619542</v>
      </c>
      <c r="L2" s="2">
        <v>25</v>
      </c>
      <c r="M2" s="2">
        <v>1</v>
      </c>
      <c r="N2" s="2">
        <v>6</v>
      </c>
      <c r="O2" s="2" t="s">
        <v>115</v>
      </c>
    </row>
    <row r="3" spans="1:15" x14ac:dyDescent="0.2">
      <c r="A3" s="1" t="s">
        <v>112</v>
      </c>
      <c r="B3" s="2" t="s">
        <v>113</v>
      </c>
      <c r="C3" s="2">
        <v>12000</v>
      </c>
      <c r="D3" s="5">
        <v>10000000000</v>
      </c>
      <c r="E3" s="2" t="s">
        <v>114</v>
      </c>
      <c r="F3" s="2" t="s">
        <v>31</v>
      </c>
      <c r="G3" s="2">
        <v>0</v>
      </c>
      <c r="H3" s="2">
        <f>2771.2/0.962</f>
        <v>2880.6652806652805</v>
      </c>
      <c r="I3" s="2">
        <v>1</v>
      </c>
      <c r="J3" s="2">
        <v>0</v>
      </c>
      <c r="K3" s="2">
        <f>-284.2/0.962</f>
        <v>-295.42619542619542</v>
      </c>
      <c r="L3" s="2">
        <v>25</v>
      </c>
      <c r="M3" s="2">
        <v>1</v>
      </c>
      <c r="N3" s="2">
        <v>6</v>
      </c>
      <c r="O3" s="2" t="s">
        <v>4</v>
      </c>
    </row>
    <row r="4" spans="1:15" x14ac:dyDescent="0.2">
      <c r="A4" s="1" t="s">
        <v>116</v>
      </c>
      <c r="B4" s="2" t="s">
        <v>117</v>
      </c>
      <c r="C4" s="2">
        <v>0</v>
      </c>
      <c r="D4" s="5">
        <v>10000000000</v>
      </c>
      <c r="E4" s="2" t="s">
        <v>114</v>
      </c>
      <c r="F4" s="2" t="s">
        <v>31</v>
      </c>
      <c r="G4" s="2">
        <v>0</v>
      </c>
      <c r="H4" s="2">
        <f>931/1.331</f>
        <v>699.47407963936894</v>
      </c>
      <c r="I4" s="2">
        <v>1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115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zoomScale="60" zoomScaleNormal="60" workbookViewId="0">
      <selection activeCell="N32" sqref="N32"/>
    </sheetView>
  </sheetViews>
  <sheetFormatPr baseColWidth="10" defaultRowHeight="15" x14ac:dyDescent="0.2"/>
  <cols>
    <col min="1" max="1" width="17.5" customWidth="1"/>
    <col min="2" max="2" width="8.83203125" customWidth="1"/>
    <col min="3" max="3" width="18" customWidth="1"/>
    <col min="4" max="5" width="21.6640625" customWidth="1"/>
    <col min="6" max="7" width="8.83203125" customWidth="1"/>
    <col min="8" max="8" width="11.6640625" customWidth="1"/>
    <col min="9" max="9" width="8.83203125" customWidth="1"/>
    <col min="10" max="10" width="13" customWidth="1"/>
    <col min="11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118</v>
      </c>
      <c r="B2" s="2" t="s">
        <v>119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118</v>
      </c>
      <c r="B3" s="2" t="s">
        <v>119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118</v>
      </c>
      <c r="B4" s="2" t="s">
        <v>119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118</v>
      </c>
      <c r="B5" s="2" t="s">
        <v>119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opLeftCell="O1" zoomScale="70" zoomScaleNormal="70" workbookViewId="0">
      <selection activeCell="F6" sqref="F6"/>
    </sheetView>
  </sheetViews>
  <sheetFormatPr baseColWidth="10" defaultRowHeight="15" x14ac:dyDescent="0.2"/>
  <cols>
    <col min="1" max="1" width="16.6640625" customWidth="1"/>
    <col min="2" max="3" width="8.83203125" customWidth="1"/>
    <col min="4" max="4" width="42" customWidth="1"/>
    <col min="5" max="20" width="8.83203125" customWidth="1"/>
    <col min="21" max="21" width="14.33203125" customWidth="1"/>
    <col min="22" max="22" width="12.6640625" customWidth="1"/>
    <col min="23" max="23" width="10.5" customWidth="1"/>
    <col min="24" max="256" width="8.83203125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6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1" t="s">
        <v>3</v>
      </c>
      <c r="V1" s="1" t="s">
        <v>4</v>
      </c>
      <c r="W1" s="1" t="s">
        <v>5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</row>
    <row r="2" spans="1:33" x14ac:dyDescent="0.2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8">
        <v>57.98</v>
      </c>
      <c r="K2" s="8">
        <v>86.97</v>
      </c>
      <c r="L2" s="8">
        <v>28.99</v>
      </c>
      <c r="M2" s="8">
        <v>8000</v>
      </c>
      <c r="N2" s="9">
        <v>192</v>
      </c>
      <c r="O2" s="9">
        <v>0.87</v>
      </c>
      <c r="P2" s="9">
        <v>0</v>
      </c>
      <c r="Q2" s="10">
        <f>170/($E2*$F2)</f>
        <v>94.632447573624034</v>
      </c>
      <c r="R2" s="10">
        <f>270/($E2*$F2)</f>
        <v>150.29859320516758</v>
      </c>
      <c r="S2" s="10">
        <f>80/($E2*$F2)</f>
        <v>44.532916505234837</v>
      </c>
      <c r="T2" s="10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8">
        <v>88.2</v>
      </c>
      <c r="K3" s="8">
        <v>147.12</v>
      </c>
      <c r="L3" s="8">
        <v>33.1</v>
      </c>
      <c r="M3" s="8">
        <v>39000</v>
      </c>
      <c r="N3" s="9">
        <v>196</v>
      </c>
      <c r="O3" s="9">
        <v>0.91</v>
      </c>
      <c r="P3" s="9">
        <v>0</v>
      </c>
      <c r="Q3" s="10">
        <f>8000/($E3*$F3)</f>
        <v>2825.9464271206075</v>
      </c>
      <c r="R3" s="10">
        <f>22000/($E3*$F3)</f>
        <v>7771.3526745816707</v>
      </c>
      <c r="S3" s="10">
        <f>2000/($E3*$F3)</f>
        <v>706.48660678015187</v>
      </c>
      <c r="T3" s="10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C1" workbookViewId="0">
      <selection activeCell="D16" sqref="D16"/>
    </sheetView>
  </sheetViews>
  <sheetFormatPr baseColWidth="10" defaultRowHeight="15" x14ac:dyDescent="0.2"/>
  <cols>
    <col min="1" max="1" width="18.5" customWidth="1"/>
    <col min="2" max="2" width="8.83203125" customWidth="1"/>
    <col min="3" max="3" width="9.5" customWidth="1"/>
    <col min="4" max="5" width="10.5" customWidth="1"/>
    <col min="6" max="7" width="8.83203125" customWidth="1"/>
    <col min="8" max="8" width="10.5" customWidth="1"/>
    <col min="9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zoomScale="60" zoomScaleNormal="60" workbookViewId="0">
      <selection activeCell="F4" sqref="F4"/>
    </sheetView>
  </sheetViews>
  <sheetFormatPr baseColWidth="10" defaultRowHeight="15" x14ac:dyDescent="0.2"/>
  <cols>
    <col min="1" max="1" width="19.6640625" customWidth="1"/>
    <col min="2" max="2" width="13.33203125" customWidth="1"/>
    <col min="3" max="3" width="17.6640625" customWidth="1"/>
    <col min="4" max="5" width="16.5" customWidth="1"/>
    <col min="6" max="11" width="8.83203125" customWidth="1"/>
    <col min="12" max="12" width="22.6640625" customWidth="1"/>
    <col min="13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62</v>
      </c>
      <c r="B2" s="2" t="s">
        <v>63</v>
      </c>
      <c r="C2" s="2">
        <v>28000</v>
      </c>
      <c r="D2" s="2">
        <v>90000</v>
      </c>
      <c r="E2" s="2" t="s">
        <v>30</v>
      </c>
      <c r="F2" s="2" t="s">
        <v>31</v>
      </c>
      <c r="G2" s="2">
        <f>20300/0.902</f>
        <v>22505.543237250553</v>
      </c>
      <c r="H2" s="2">
        <f>0.275/0.902</f>
        <v>0.3048780487804878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" t="s">
        <v>62</v>
      </c>
      <c r="B3" s="2" t="s">
        <v>63</v>
      </c>
      <c r="C3" s="2">
        <v>90000</v>
      </c>
      <c r="D3" s="2">
        <v>320000</v>
      </c>
      <c r="E3" s="2" t="s">
        <v>30</v>
      </c>
      <c r="F3" s="2" t="s">
        <v>31</v>
      </c>
      <c r="G3" s="2">
        <f>35100/0.902</f>
        <v>38913.525498891351</v>
      </c>
      <c r="H3" s="2">
        <f>0.11/0.902</f>
        <v>0.12195121951219512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5</v>
      </c>
      <c r="O3" s="2"/>
    </row>
    <row r="4" spans="1:15" x14ac:dyDescent="0.2">
      <c r="A4" s="1" t="s">
        <v>62</v>
      </c>
      <c r="B4" s="2" t="s">
        <v>63</v>
      </c>
      <c r="C4" s="2">
        <v>320000</v>
      </c>
      <c r="D4" s="5">
        <v>10000000000</v>
      </c>
      <c r="E4" s="2" t="s">
        <v>30</v>
      </c>
      <c r="F4" s="2" t="s">
        <v>31</v>
      </c>
      <c r="G4" s="2">
        <f>84000/0.902</f>
        <v>93126.385809312633</v>
      </c>
      <c r="H4" s="2">
        <f>0.014/0.902</f>
        <v>1.5521064301552106E-2</v>
      </c>
      <c r="I4" s="2">
        <v>1</v>
      </c>
      <c r="J4" s="2">
        <v>0</v>
      </c>
      <c r="K4" s="2">
        <v>0</v>
      </c>
      <c r="L4" s="2">
        <v>20</v>
      </c>
      <c r="M4" s="2">
        <v>5</v>
      </c>
      <c r="N4" s="2">
        <v>5</v>
      </c>
      <c r="O4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2" sqref="A2:O3"/>
    </sheetView>
  </sheetViews>
  <sheetFormatPr baseColWidth="10" defaultRowHeight="15" x14ac:dyDescent="0.2"/>
  <cols>
    <col min="1" max="1" width="29.33203125" customWidth="1"/>
    <col min="2" max="2" width="8.83203125" customWidth="1"/>
    <col min="3" max="3" width="17" customWidth="1"/>
    <col min="4" max="5" width="17.6640625" customWidth="1"/>
    <col min="6" max="7" width="8.83203125" customWidth="1"/>
    <col min="8" max="8" width="10.5" customWidth="1"/>
    <col min="9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64</v>
      </c>
      <c r="B2" s="2" t="s">
        <v>65</v>
      </c>
      <c r="C2" s="2">
        <v>1000000</v>
      </c>
      <c r="D2" s="2">
        <v>5000000</v>
      </c>
      <c r="E2" s="2" t="s">
        <v>30</v>
      </c>
      <c r="F2" s="2" t="s">
        <v>31</v>
      </c>
      <c r="G2" s="2">
        <v>0</v>
      </c>
      <c r="H2" s="11">
        <v>0.74299999999999999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2" t="s">
        <v>64</v>
      </c>
      <c r="B3" s="12" t="s">
        <v>65</v>
      </c>
      <c r="C3" s="12">
        <v>5000000</v>
      </c>
      <c r="D3" s="12">
        <v>50000000</v>
      </c>
      <c r="E3" s="12" t="s">
        <v>30</v>
      </c>
      <c r="F3" s="12" t="s">
        <v>31</v>
      </c>
      <c r="G3" s="12">
        <v>0</v>
      </c>
      <c r="H3" s="12">
        <v>0.74299999999999999</v>
      </c>
      <c r="I3" s="12">
        <v>1</v>
      </c>
      <c r="J3" s="12">
        <v>0</v>
      </c>
      <c r="K3" s="12">
        <v>0</v>
      </c>
      <c r="L3" s="12">
        <v>20</v>
      </c>
      <c r="M3" s="12">
        <v>5</v>
      </c>
      <c r="N3" s="12">
        <v>5</v>
      </c>
      <c r="O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opLeftCell="B1" zoomScale="70" zoomScaleNormal="70" workbookViewId="0">
      <selection activeCell="D4" sqref="D4"/>
    </sheetView>
  </sheetViews>
  <sheetFormatPr baseColWidth="10" defaultRowHeight="15" x14ac:dyDescent="0.2"/>
  <cols>
    <col min="1" max="1" width="34.5" customWidth="1"/>
    <col min="2" max="2" width="8.83203125" customWidth="1"/>
    <col min="3" max="3" width="16.5" customWidth="1"/>
    <col min="4" max="5" width="15.5" customWidth="1"/>
    <col min="6" max="6" width="14" customWidth="1"/>
    <col min="7" max="11" width="8.83203125" customWidth="1"/>
    <col min="12" max="12" width="17.6640625" customWidth="1"/>
    <col min="13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66</v>
      </c>
    </row>
    <row r="2" spans="1:15" x14ac:dyDescent="0.2">
      <c r="A2" s="1" t="s">
        <v>67</v>
      </c>
      <c r="B2" s="2" t="s">
        <v>68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67</v>
      </c>
      <c r="B3" s="2" t="s">
        <v>68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69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zoomScale="80" zoomScaleNormal="80" workbookViewId="0">
      <selection activeCell="H3" sqref="H3"/>
    </sheetView>
  </sheetViews>
  <sheetFormatPr baseColWidth="10" defaultRowHeight="15" x14ac:dyDescent="0.2"/>
  <cols>
    <col min="1" max="1" width="28" customWidth="1"/>
    <col min="2" max="2" width="8.83203125" customWidth="1"/>
    <col min="3" max="5" width="9.33203125" customWidth="1"/>
    <col min="6" max="14" width="8.83203125" customWidth="1"/>
    <col min="15" max="15" width="13.6640625" customWidth="1"/>
    <col min="16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70</v>
      </c>
      <c r="B2" s="2" t="s">
        <v>71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534.71/0.962</f>
        <v>555.83160083160089</v>
      </c>
      <c r="I2" s="2">
        <v>0.59670000000000001</v>
      </c>
      <c r="J2" s="2">
        <v>0</v>
      </c>
      <c r="K2" s="2">
        <v>0</v>
      </c>
      <c r="L2" s="2">
        <v>25</v>
      </c>
      <c r="M2" s="2">
        <v>3</v>
      </c>
      <c r="N2" s="2">
        <v>6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I22" sqref="I22"/>
    </sheetView>
  </sheetViews>
  <sheetFormatPr baseColWidth="10" defaultRowHeight="15" x14ac:dyDescent="0.2"/>
  <cols>
    <col min="1" max="256" width="8.83203125" customWidth="1"/>
  </cols>
  <sheetData>
    <row r="1" spans="1:13" x14ac:dyDescent="0.2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</row>
    <row r="2" spans="1:13" x14ac:dyDescent="0.2">
      <c r="A2" t="s">
        <v>143</v>
      </c>
      <c r="B2" t="s">
        <v>144</v>
      </c>
      <c r="C2" t="s">
        <v>145</v>
      </c>
      <c r="D2">
        <v>0.33018832999999997</v>
      </c>
      <c r="E2">
        <v>0.23554290999999999</v>
      </c>
      <c r="F2">
        <v>0.46070828000000003</v>
      </c>
      <c r="G2">
        <v>0.33269598</v>
      </c>
      <c r="H2">
        <v>7.2911599999999997E-3</v>
      </c>
      <c r="I2">
        <v>-4.9938000000000001E-4</v>
      </c>
      <c r="J2">
        <v>1.598983E-2</v>
      </c>
      <c r="K2">
        <v>-2.8254000000000002E-4</v>
      </c>
      <c r="L2">
        <v>5.2346000000000001E-4</v>
      </c>
      <c r="M2" t="s">
        <v>146</v>
      </c>
    </row>
    <row r="3" spans="1:13" x14ac:dyDescent="0.2">
      <c r="A3" t="s">
        <v>147</v>
      </c>
      <c r="B3" t="s">
        <v>144</v>
      </c>
      <c r="C3" t="s">
        <v>148</v>
      </c>
      <c r="D3">
        <v>0.17149273000000001</v>
      </c>
      <c r="E3">
        <v>0.58820207999999996</v>
      </c>
      <c r="F3">
        <v>0.23737257</v>
      </c>
      <c r="G3">
        <v>-0.29861976000000001</v>
      </c>
      <c r="H3">
        <v>2.9960759999999999E-2</v>
      </c>
      <c r="I3">
        <v>-8.0124999999999999E-4</v>
      </c>
      <c r="J3">
        <v>1.7362679999999998E-2</v>
      </c>
      <c r="K3">
        <v>-3.2605999999999998E-4</v>
      </c>
      <c r="L3">
        <v>6.3139000000000001E-4</v>
      </c>
      <c r="M3" t="s">
        <v>146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B1" zoomScaleNormal="100" workbookViewId="0">
      <selection activeCell="D11" sqref="D11"/>
    </sheetView>
  </sheetViews>
  <sheetFormatPr baseColWidth="10" defaultRowHeight="15" x14ac:dyDescent="0.2"/>
  <cols>
    <col min="1" max="1" width="29.6640625" customWidth="1"/>
    <col min="2" max="3" width="8.83203125" customWidth="1"/>
    <col min="4" max="4" width="17.33203125" customWidth="1"/>
    <col min="5" max="6" width="24" customWidth="1"/>
    <col min="7" max="15" width="8.83203125" customWidth="1"/>
    <col min="16" max="16" width="33.33203125" bestFit="1" customWidth="1"/>
    <col min="17" max="256" width="8.83203125" customWidth="1"/>
  </cols>
  <sheetData>
    <row r="1" spans="1:16" x14ac:dyDescent="0.2">
      <c r="A1" s="1" t="s">
        <v>0</v>
      </c>
      <c r="B1" s="1" t="s">
        <v>1</v>
      </c>
      <c r="C1" s="1" t="s">
        <v>149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 x14ac:dyDescent="0.2">
      <c r="A2" s="1" t="s">
        <v>72</v>
      </c>
      <c r="B2" s="2" t="s">
        <v>73</v>
      </c>
      <c r="C2" s="2">
        <v>0.47</v>
      </c>
      <c r="D2" s="2">
        <v>1000000</v>
      </c>
      <c r="E2" s="2">
        <v>70000000</v>
      </c>
      <c r="F2" s="2" t="s">
        <v>30</v>
      </c>
      <c r="G2" s="2" t="s">
        <v>31</v>
      </c>
      <c r="H2" s="2">
        <v>1568000</v>
      </c>
      <c r="I2" s="2">
        <v>0.3049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129</v>
      </c>
    </row>
    <row r="3" spans="1:16" x14ac:dyDescent="0.2">
      <c r="A3" s="1" t="s">
        <v>74</v>
      </c>
      <c r="B3" s="2" t="s">
        <v>75</v>
      </c>
      <c r="C3" s="2">
        <v>0.4</v>
      </c>
      <c r="D3" s="2">
        <v>1</v>
      </c>
      <c r="E3" s="5">
        <v>10000000000</v>
      </c>
      <c r="F3" s="2" t="s">
        <v>30</v>
      </c>
      <c r="G3" s="2" t="s">
        <v>31</v>
      </c>
      <c r="H3" s="2">
        <f>11357/0.902</f>
        <v>12590.90909090909</v>
      </c>
      <c r="I3" s="2">
        <f>127.5/0.902/1000</f>
        <v>0.14135254988913526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</row>
    <row r="4" spans="1:16" s="12" customFormat="1" x14ac:dyDescent="0.2">
      <c r="A4" s="1" t="s">
        <v>74</v>
      </c>
      <c r="B4" s="2" t="s">
        <v>76</v>
      </c>
      <c r="C4" s="2">
        <v>0.4</v>
      </c>
      <c r="D4" s="2">
        <v>1</v>
      </c>
      <c r="E4" s="5">
        <v>10000000000</v>
      </c>
      <c r="F4" s="2" t="s">
        <v>30</v>
      </c>
      <c r="G4" s="2" t="s">
        <v>31</v>
      </c>
      <c r="H4" s="2">
        <v>0</v>
      </c>
      <c r="I4" s="2">
        <v>0.36063110399999998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</row>
    <row r="23" spans="11:11" x14ac:dyDescent="0.2">
      <c r="K23" s="13"/>
    </row>
    <row r="25" spans="11:11" x14ac:dyDescent="0.2">
      <c r="K25" s="1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PV</vt:lpstr>
      <vt:lpstr>SC</vt:lpstr>
      <vt:lpstr>PVT</vt:lpstr>
      <vt:lpstr>Boiler</vt:lpstr>
      <vt:lpstr>Furnace</vt:lpstr>
      <vt:lpstr>FC</vt:lpstr>
      <vt:lpstr>CCGT</vt:lpstr>
      <vt:lpstr>Chiller_configuration</vt:lpstr>
      <vt:lpstr>Chiller</vt:lpstr>
      <vt:lpstr>Absorption_chiller</vt:lpstr>
      <vt:lpstr>CT</vt:lpstr>
      <vt:lpstr>HEX</vt:lpstr>
      <vt:lpstr>BH</vt:lpstr>
      <vt:lpstr>HP</vt:lpstr>
      <vt:lpstr>TES</vt:lpstr>
      <vt:lpstr>Pump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2023-04-27T10:24:16Z</dcterms:created>
  <dcterms:modified xsi:type="dcterms:W3CDTF">2023-04-27T10:24:17Z</dcterms:modified>
</cp:coreProperties>
</file>