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Jimeno/Documents/GitHub/CityEnergyAnalyst/cea/databases/CH/components/"/>
    </mc:Choice>
  </mc:AlternateContent>
  <xr:revisionPtr revIDLastSave="0" documentId="13_ncr:1_{EA98E919-7BBB-B546-A401-3C19C1340442}" xr6:coauthVersionLast="47" xr6:coauthVersionMax="47" xr10:uidLastSave="{00000000-0000-0000-0000-000000000000}"/>
  <bookViews>
    <workbookView xWindow="0" yWindow="740" windowWidth="29400" windowHeight="16680" tabRatio="993" activeTab="7" xr2:uid="{00000000-000D-0000-FFFF-FFFF00000000}"/>
  </bookViews>
  <sheets>
    <sheet name="PV" sheetId="1" r:id="rId1"/>
    <sheet name="SC" sheetId="2" r:id="rId2"/>
    <sheet name="PVT" sheetId="3" r:id="rId3"/>
    <sheet name="Boiler" sheetId="4" r:id="rId4"/>
    <sheet name="Furnace" sheetId="5" r:id="rId5"/>
    <sheet name="FC" sheetId="6" r:id="rId6"/>
    <sheet name="CCGT" sheetId="7" r:id="rId7"/>
    <sheet name="Chiller" sheetId="8" r:id="rId8"/>
    <sheet name="Absorption_chiller" sheetId="9" r:id="rId9"/>
    <sheet name="CT" sheetId="10" r:id="rId10"/>
    <sheet name="HEX" sheetId="11" r:id="rId11"/>
    <sheet name="BH" sheetId="12" r:id="rId12"/>
    <sheet name="HP" sheetId="13" r:id="rId13"/>
    <sheet name="Pump" sheetId="15" r:id="rId14"/>
    <sheet name="TES" sheetId="14" r:id="rId15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4" l="1"/>
  <c r="I3" i="14"/>
  <c r="L2" i="14"/>
  <c r="I2" i="14"/>
  <c r="H4" i="11" l="1"/>
  <c r="G4" i="11"/>
  <c r="G3" i="11"/>
  <c r="H2" i="11"/>
  <c r="G2" i="11"/>
  <c r="H2" i="12"/>
  <c r="G2" i="4"/>
  <c r="H2" i="4"/>
  <c r="G3" i="4"/>
  <c r="H3" i="4"/>
  <c r="G4" i="4"/>
  <c r="H4" i="4"/>
  <c r="H2" i="7"/>
  <c r="H3" i="8"/>
  <c r="I3" i="8"/>
  <c r="H2" i="6"/>
  <c r="H3" i="6"/>
  <c r="H2" i="13"/>
  <c r="H3" i="13"/>
  <c r="K3" i="13"/>
  <c r="H2" i="15"/>
  <c r="H3" i="15"/>
  <c r="H4" i="15"/>
  <c r="H5" i="15"/>
  <c r="T3" i="1"/>
  <c r="T4" i="1"/>
  <c r="T5" i="1"/>
  <c r="T6" i="1"/>
  <c r="T7" i="1"/>
  <c r="T8" i="1"/>
  <c r="T9" i="1"/>
  <c r="T10" i="1"/>
  <c r="T11" i="1"/>
  <c r="H2" i="3"/>
  <c r="Q2" i="2"/>
  <c r="R2" i="2"/>
  <c r="S2" i="2"/>
  <c r="Z2" i="2"/>
  <c r="Q3" i="2"/>
  <c r="R3" i="2"/>
  <c r="S3" i="2"/>
  <c r="Z3" i="2"/>
</calcChain>
</file>

<file path=xl/sharedStrings.xml><?xml version="1.0" encoding="utf-8"?>
<sst xmlns="http://schemas.openxmlformats.org/spreadsheetml/2006/main" count="566" uniqueCount="155">
  <si>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</si>
  <si>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</si>
  <si>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</si>
  <si>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</si>
  <si>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</si>
  <si>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</si>
  <si>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</si>
  <si>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</si>
  <si>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</si>
  <si>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</si>
  <si>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</si>
  <si>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</si>
  <si>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</si>
  <si>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</si>
  <si>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</si>
  <si>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</si>
  <si>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</si>
  <si>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</si>
  <si>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</si>
  <si>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</si>
  <si>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</si>
  <si>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</si>
  <si>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</si>
  <si>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</si>
  <si>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</si>
  <si>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</si>
  <si>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</si>
  <si>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</si>
  <si>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</si>
  <si>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</si>
  <si>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</si>
  <si>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</si>
  <si>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</si>
  <si>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</si>
  <si>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</si>
  <si>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</si>
  <si>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</si>
  <si>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</si>
  <si>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</si>
  <si>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</si>
  <si>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</si>
  <si>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</si>
  <si>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</si>
  <si>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</si>
  <si>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</si>
  <si>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</si>
  <si>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</si>
  <si>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</si>
  <si>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</si>
  <si>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</si>
  <si>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</si>
  <si>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</si>
  <si>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</si>
  <si>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</si>
  <si>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</si>
  <si>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</si>
  <si>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</si>
  <si>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</si>
  <si>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</si>
  <si>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</si>
  <si>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</si>
  <si>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</si>
  <si>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condensing boiler</t>
  </si>
  <si>
    <t>BO1</t>
  </si>
  <si>
    <t>furnace combined with ORC</t>
  </si>
  <si>
    <t>FU1</t>
  </si>
  <si>
    <t xml:space="preserve"> Assumptions</t>
  </si>
  <si>
    <t>solid oxide fuel cell</t>
  </si>
  <si>
    <t>FC1</t>
  </si>
  <si>
    <t>everything</t>
  </si>
  <si>
    <t>combined cycle gas turbine</t>
  </si>
  <si>
    <t>CCGT1</t>
  </si>
  <si>
    <t>centralized chiller</t>
  </si>
  <si>
    <t>CH1</t>
  </si>
  <si>
    <t>vapor compression chiller</t>
  </si>
  <si>
    <t>CH2</t>
  </si>
  <si>
    <t>CH3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</si>
  <si>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</si>
  <si>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</si>
  <si>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</si>
  <si>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</si>
  <si>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</si>
  <si>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</si>
  <si>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</si>
  <si>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</si>
  <si>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</si>
  <si>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</si>
  <si>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LiBr single effect</t>
  </si>
  <si>
    <t>ACH1</t>
  </si>
  <si>
    <t>single</t>
  </si>
  <si>
    <t>ACH2</t>
  </si>
  <si>
    <t>LiBr double effect (dummy)</t>
  </si>
  <si>
    <t>ACH3</t>
  </si>
  <si>
    <t>double</t>
  </si>
  <si>
    <t>LiBr double effect</t>
  </si>
  <si>
    <t>ACH4</t>
  </si>
  <si>
    <t>LiBr triple effect</t>
  </si>
  <si>
    <t>ACH5</t>
  </si>
  <si>
    <t>triple</t>
  </si>
  <si>
    <t>centralized cooling tower</t>
  </si>
  <si>
    <t>CT1</t>
  </si>
  <si>
    <t>all</t>
  </si>
  <si>
    <t>Currency</t>
  </si>
  <si>
    <t>substation heat exchanger</t>
  </si>
  <si>
    <t>HEX1</t>
  </si>
  <si>
    <t>borehole</t>
  </si>
  <si>
    <t>BH1</t>
  </si>
  <si>
    <t>geothermal heat pump</t>
  </si>
  <si>
    <t>HP1</t>
  </si>
  <si>
    <t>water-water heat pump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</si>
  <si>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</si>
  <si>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</si>
  <si>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</si>
  <si>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</si>
  <si>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</si>
  <si>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</si>
  <si>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</si>
  <si>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</si>
  <si>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</si>
  <si>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>District substation heat exchanger</t>
  </si>
  <si>
    <t>HEX2</t>
  </si>
  <si>
    <t>m^2</t>
  </si>
  <si>
    <t>Values under 1 and above 50 are assumptions, as no datasheet values are available in this area. a_p to e_p denote the pressure drop in Pa</t>
  </si>
  <si>
    <t>a_p</t>
  </si>
  <si>
    <t>b_p</t>
  </si>
  <si>
    <t>c_p</t>
  </si>
  <si>
    <t>d_p</t>
  </si>
  <si>
    <t>e_p</t>
  </si>
  <si>
    <t xml:space="preserve">Fit based on RESCUE WP 2.4. Figure 18 </t>
  </si>
  <si>
    <t>G_VALUE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</si>
  <si>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</si>
  <si>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</si>
  <si>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</si>
  <si>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</si>
  <si>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</si>
  <si>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</si>
  <si>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</si>
  <si>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</si>
  <si>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</si>
  <si>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</si>
  <si>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</si>
  <si>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</si>
  <si>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</si>
  <si>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</si>
  <si>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</si>
  <si>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</si>
  <si>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</si>
  <si>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</si>
  <si>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</si>
  <si>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</si>
  <si>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</si>
  <si>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</si>
  <si>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NONE</t>
  </si>
  <si>
    <t>0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</si>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</sst>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6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5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4" fillId="0" borderId="0"/>
  </cellStyleXfs>
  <cellXfs count="17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5" fillId="0" borderId="0" xfId="0" applyFont="1"/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"/>
  <sheetViews>
    <sheetView zoomScale="80" zoomScaleNormal="80" workbookViewId="0">
      <selection activeCell="A2" sqref="A2:XFD2"/>
    </sheetView>
  </sheetViews>
  <sheetFormatPr baseColWidth="10" defaultColWidth="8.83203125" defaultRowHeight="15" x14ac:dyDescent="0.2"/>
  <cols>
    <col min="1" max="1" width="38.6640625" customWidth="1"/>
    <col min="2" max="2" width="10.5" customWidth="1"/>
    <col min="4" max="4" width="15.6640625" customWidth="1"/>
    <col min="5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7" width="12.5" customWidth="1"/>
    <col min="19" max="19" width="10.5" customWidth="1"/>
    <col min="20" max="20" width="13.6640625" customWidth="1"/>
    <col min="21" max="23" width="10.5" customWidth="1"/>
    <col min="24" max="24" width="14.6640625" customWidth="1"/>
    <col min="25" max="25" width="12.6640625" customWidth="1"/>
    <col min="27" max="27" width="13.332031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s="16" customFormat="1" ht="16" customHeight="1" x14ac:dyDescent="0.2">
      <c r="A2" s="1" t="s">
        <v>154</v>
      </c>
      <c r="B2" s="15" t="s">
        <v>152</v>
      </c>
      <c r="C2" s="15" t="s">
        <v>29</v>
      </c>
      <c r="D2" s="15" t="s">
        <v>153</v>
      </c>
      <c r="E2" s="15" t="s">
        <v>153</v>
      </c>
      <c r="F2" s="15" t="s">
        <v>30</v>
      </c>
      <c r="G2" s="15" t="s">
        <v>153</v>
      </c>
      <c r="H2" s="15" t="s">
        <v>153</v>
      </c>
      <c r="I2" s="15" t="s">
        <v>153</v>
      </c>
      <c r="J2" s="15" t="s">
        <v>153</v>
      </c>
      <c r="K2" s="15" t="s">
        <v>153</v>
      </c>
      <c r="L2" s="15" t="s">
        <v>153</v>
      </c>
      <c r="M2" s="15" t="s">
        <v>153</v>
      </c>
      <c r="N2" s="15" t="s">
        <v>153</v>
      </c>
      <c r="O2" s="15" t="s">
        <v>153</v>
      </c>
      <c r="P2" s="15" t="s">
        <v>153</v>
      </c>
      <c r="Q2" s="15" t="s">
        <v>153</v>
      </c>
      <c r="R2" s="15" t="s">
        <v>153</v>
      </c>
      <c r="S2" s="15" t="s">
        <v>153</v>
      </c>
      <c r="T2" s="15" t="s">
        <v>153</v>
      </c>
      <c r="U2" s="15" t="s">
        <v>153</v>
      </c>
      <c r="V2" s="15" t="s">
        <v>153</v>
      </c>
      <c r="W2" s="15" t="s">
        <v>153</v>
      </c>
      <c r="X2" s="15" t="s">
        <v>153</v>
      </c>
      <c r="Y2" s="15" t="s">
        <v>153</v>
      </c>
      <c r="Z2" s="15" t="s">
        <v>153</v>
      </c>
      <c r="AA2" s="15" t="s">
        <v>153</v>
      </c>
    </row>
    <row r="3" spans="1:27" x14ac:dyDescent="0.2">
      <c r="A3" s="1" t="s">
        <v>27</v>
      </c>
      <c r="B3" s="2" t="s">
        <v>28</v>
      </c>
      <c r="C3" s="2" t="s">
        <v>29</v>
      </c>
      <c r="D3" s="2">
        <v>1</v>
      </c>
      <c r="E3" s="2">
        <v>10000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>3.5/0.962</f>
        <v>3.6382536382536386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2">
      <c r="A4" s="1" t="s">
        <v>27</v>
      </c>
      <c r="B4" s="2" t="s">
        <v>28</v>
      </c>
      <c r="C4" s="2" t="s">
        <v>29</v>
      </c>
      <c r="D4" s="2">
        <v>10000</v>
      </c>
      <c r="E4" s="2">
        <v>200000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25</v>
      </c>
    </row>
    <row r="5" spans="1:27" x14ac:dyDescent="0.2">
      <c r="A5" s="1" t="s">
        <v>27</v>
      </c>
      <c r="B5" s="2" t="s">
        <v>28</v>
      </c>
      <c r="C5" s="2" t="s">
        <v>29</v>
      </c>
      <c r="D5" s="2">
        <v>200000</v>
      </c>
      <c r="E5" s="5">
        <v>10000000000</v>
      </c>
      <c r="F5" s="2" t="s">
        <v>30</v>
      </c>
      <c r="G5" s="2">
        <v>1</v>
      </c>
      <c r="H5" s="2">
        <v>2E-3</v>
      </c>
      <c r="I5" s="2">
        <v>0.16</v>
      </c>
      <c r="J5" s="2">
        <v>43.5</v>
      </c>
      <c r="K5" s="2">
        <v>3.5000000000000001E-3</v>
      </c>
      <c r="L5" s="3">
        <v>0.93582299999999996</v>
      </c>
      <c r="M5" s="3">
        <v>5.4288999999999997E-2</v>
      </c>
      <c r="N5" s="3">
        <v>8.6770000000000007E-3</v>
      </c>
      <c r="O5" s="3">
        <v>5.2700000000000002E-4</v>
      </c>
      <c r="P5" s="3">
        <v>-1.1E-5</v>
      </c>
      <c r="Q5" s="4">
        <v>0.1</v>
      </c>
      <c r="R5" s="3" t="s">
        <v>31</v>
      </c>
      <c r="S5" s="2">
        <v>0</v>
      </c>
      <c r="T5" s="4">
        <f>2.5/0.962</f>
        <v>2.5987525987525988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32</v>
      </c>
    </row>
    <row r="6" spans="1:27" x14ac:dyDescent="0.2">
      <c r="A6" s="1" t="s">
        <v>33</v>
      </c>
      <c r="B6" s="2" t="s">
        <v>34</v>
      </c>
      <c r="C6" s="2" t="s">
        <v>29</v>
      </c>
      <c r="D6" s="2">
        <v>1</v>
      </c>
      <c r="E6" s="2">
        <v>10000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>3.5/0.962</f>
        <v>3.6382536382536386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2">
      <c r="A7" s="1" t="s">
        <v>33</v>
      </c>
      <c r="B7" s="2" t="s">
        <v>34</v>
      </c>
      <c r="C7" s="2" t="s">
        <v>29</v>
      </c>
      <c r="D7" s="2">
        <v>10000</v>
      </c>
      <c r="E7" s="2">
        <v>200000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25</v>
      </c>
    </row>
    <row r="8" spans="1:27" x14ac:dyDescent="0.2">
      <c r="A8" s="1" t="s">
        <v>33</v>
      </c>
      <c r="B8" s="2" t="s">
        <v>34</v>
      </c>
      <c r="C8" s="2" t="s">
        <v>29</v>
      </c>
      <c r="D8" s="2">
        <v>200000</v>
      </c>
      <c r="E8" s="5">
        <v>10000000000</v>
      </c>
      <c r="F8" s="2" t="s">
        <v>30</v>
      </c>
      <c r="G8" s="2">
        <v>1</v>
      </c>
      <c r="H8" s="2">
        <v>2E-3</v>
      </c>
      <c r="I8" s="2">
        <v>0.15</v>
      </c>
      <c r="J8" s="2">
        <v>43.9</v>
      </c>
      <c r="K8" s="2">
        <v>4.4000000000000003E-3</v>
      </c>
      <c r="L8" s="3">
        <v>0.91809300000000005</v>
      </c>
      <c r="M8" s="3">
        <v>8.6257E-2</v>
      </c>
      <c r="N8" s="3">
        <v>-2.4459000000000002E-2</v>
      </c>
      <c r="O8" s="3">
        <v>2.8159999999999999E-3</v>
      </c>
      <c r="P8" s="3">
        <v>-1.26E-4</v>
      </c>
      <c r="Q8" s="4">
        <v>0.1</v>
      </c>
      <c r="R8" s="3" t="s">
        <v>31</v>
      </c>
      <c r="S8" s="2">
        <v>0</v>
      </c>
      <c r="T8" s="4">
        <f>2.5/0.962</f>
        <v>2.5987525987525988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32</v>
      </c>
    </row>
    <row r="9" spans="1:27" x14ac:dyDescent="0.2">
      <c r="A9" s="1" t="s">
        <v>35</v>
      </c>
      <c r="B9" s="2" t="s">
        <v>36</v>
      </c>
      <c r="C9" s="2" t="s">
        <v>29</v>
      </c>
      <c r="D9" s="2">
        <v>1</v>
      </c>
      <c r="E9" s="2">
        <v>10000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>3.5/0.962</f>
        <v>3.6382536382536386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2">
      <c r="A10" s="1" t="s">
        <v>35</v>
      </c>
      <c r="B10" s="2" t="s">
        <v>36</v>
      </c>
      <c r="C10" s="2" t="s">
        <v>29</v>
      </c>
      <c r="D10" s="2">
        <v>10000</v>
      </c>
      <c r="E10" s="2">
        <v>200000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25</v>
      </c>
    </row>
    <row r="11" spans="1:27" x14ac:dyDescent="0.2">
      <c r="A11" s="1" t="s">
        <v>35</v>
      </c>
      <c r="B11" s="2" t="s">
        <v>36</v>
      </c>
      <c r="C11" s="2" t="s">
        <v>29</v>
      </c>
      <c r="D11" s="2">
        <v>200000</v>
      </c>
      <c r="E11" s="5">
        <v>10000000000</v>
      </c>
      <c r="F11" s="2" t="s">
        <v>30</v>
      </c>
      <c r="G11" s="2">
        <v>1</v>
      </c>
      <c r="H11" s="2">
        <v>2E-3</v>
      </c>
      <c r="I11" s="2">
        <v>0.08</v>
      </c>
      <c r="J11" s="2">
        <v>38.1</v>
      </c>
      <c r="K11" s="2">
        <v>2.5999999999999999E-3</v>
      </c>
      <c r="L11" s="3">
        <v>1.10044085</v>
      </c>
      <c r="M11" s="3">
        <v>-6.1423230000000002E-2</v>
      </c>
      <c r="N11" s="3">
        <v>-4.4273200000000002E-3</v>
      </c>
      <c r="O11" s="3">
        <v>6.3150399999999996E-4</v>
      </c>
      <c r="P11" s="3">
        <v>-1.9184000000000001E-5</v>
      </c>
      <c r="Q11" s="4">
        <v>0.1</v>
      </c>
      <c r="R11" s="3" t="s">
        <v>31</v>
      </c>
      <c r="S11" s="2">
        <v>0</v>
      </c>
      <c r="T11" s="4">
        <f>2.5/0.962</f>
        <v>2.5987525987525988</v>
      </c>
      <c r="U11" s="2">
        <v>1</v>
      </c>
      <c r="V11" s="2">
        <v>0</v>
      </c>
      <c r="W11" s="2">
        <v>0</v>
      </c>
      <c r="X11" s="2">
        <v>20</v>
      </c>
      <c r="Y11" s="2">
        <v>1</v>
      </c>
      <c r="Z11" s="2">
        <v>5</v>
      </c>
      <c r="AA11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ignoredErrors>
    <ignoredError sqref="D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"/>
  <sheetViews>
    <sheetView zoomScale="70" zoomScaleNormal="70" workbookViewId="0">
      <selection activeCell="C12" sqref="C12"/>
    </sheetView>
  </sheetViews>
  <sheetFormatPr baseColWidth="10" defaultColWidth="8.83203125" defaultRowHeight="15" x14ac:dyDescent="0.2"/>
  <cols>
    <col min="1" max="1" width="26.5" customWidth="1"/>
    <col min="3" max="3" width="18.5" customWidth="1"/>
    <col min="4" max="5" width="15.33203125" customWidth="1"/>
    <col min="15" max="15" width="29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99</v>
      </c>
      <c r="B2" s="2" t="s">
        <v>100</v>
      </c>
      <c r="C2" s="2">
        <v>1</v>
      </c>
      <c r="D2" s="2">
        <v>10000000</v>
      </c>
      <c r="E2" s="2" t="s">
        <v>30</v>
      </c>
      <c r="F2" s="2" t="s">
        <v>31</v>
      </c>
      <c r="G2" s="2">
        <v>1457.3</v>
      </c>
      <c r="H2" s="2">
        <v>1.61E-2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15</v>
      </c>
      <c r="O2" s="2" t="s">
        <v>24</v>
      </c>
    </row>
    <row r="3" spans="1:15" x14ac:dyDescent="0.2">
      <c r="A3" s="1" t="s">
        <v>99</v>
      </c>
      <c r="B3" s="2" t="s">
        <v>100</v>
      </c>
      <c r="C3" s="2">
        <v>10000000</v>
      </c>
      <c r="D3" s="5">
        <v>1E+16</v>
      </c>
      <c r="E3" s="2" t="s">
        <v>30</v>
      </c>
      <c r="F3" s="2" t="s">
        <v>31</v>
      </c>
      <c r="G3" s="2">
        <v>1457.3</v>
      </c>
      <c r="H3" s="2">
        <v>1.61E-2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15</v>
      </c>
      <c r="O3" s="2" t="s">
        <v>101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"/>
  <sheetViews>
    <sheetView zoomScale="70" zoomScaleNormal="70" workbookViewId="0">
      <selection activeCell="G16" sqref="G16"/>
    </sheetView>
  </sheetViews>
  <sheetFormatPr baseColWidth="10" defaultColWidth="8.83203125" defaultRowHeight="15" x14ac:dyDescent="0.2"/>
  <cols>
    <col min="1" max="1" width="28.6640625" customWidth="1"/>
    <col min="2" max="2" width="16.5" customWidth="1"/>
    <col min="3" max="3" width="16.6640625" customWidth="1"/>
    <col min="4" max="5" width="23" customWidth="1"/>
    <col min="12" max="12" width="19" customWidth="1"/>
  </cols>
  <sheetData>
    <row r="1" spans="1:20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102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23</v>
      </c>
      <c r="R1" s="1" t="s">
        <v>24</v>
      </c>
      <c r="S1" s="1" t="s">
        <v>25</v>
      </c>
      <c r="T1" s="1" t="s">
        <v>26</v>
      </c>
    </row>
    <row r="2" spans="1:20" x14ac:dyDescent="0.2">
      <c r="A2" s="1" t="s">
        <v>103</v>
      </c>
      <c r="B2" s="2" t="s">
        <v>104</v>
      </c>
      <c r="C2" s="2">
        <v>50000</v>
      </c>
      <c r="D2" s="2">
        <v>80000</v>
      </c>
      <c r="E2" s="2" t="s">
        <v>30</v>
      </c>
      <c r="F2" s="2" t="s">
        <v>31</v>
      </c>
      <c r="G2" s="2">
        <f>-333/0.962</f>
        <v>-346.15384615384619</v>
      </c>
      <c r="H2" s="2">
        <f>0.067/0.962</f>
        <v>6.964656964656965E-2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20</v>
      </c>
      <c r="R2" s="2">
        <v>5</v>
      </c>
      <c r="S2" s="2">
        <v>5</v>
      </c>
      <c r="T2" s="2"/>
    </row>
    <row r="3" spans="1:20" x14ac:dyDescent="0.2">
      <c r="A3" s="1" t="s">
        <v>103</v>
      </c>
      <c r="B3" s="2" t="s">
        <v>104</v>
      </c>
      <c r="C3" s="2">
        <v>80000</v>
      </c>
      <c r="D3" s="2">
        <v>100000</v>
      </c>
      <c r="E3" s="2" t="s">
        <v>30</v>
      </c>
      <c r="F3" s="2" t="s">
        <v>31</v>
      </c>
      <c r="G3" s="2">
        <f>5000/0.962</f>
        <v>5197.5051975051974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2">
        <v>5</v>
      </c>
      <c r="T3" s="2"/>
    </row>
    <row r="4" spans="1:20" x14ac:dyDescent="0.2">
      <c r="A4" s="1" t="s">
        <v>103</v>
      </c>
      <c r="B4" s="2" t="s">
        <v>104</v>
      </c>
      <c r="C4" s="2">
        <v>100000</v>
      </c>
      <c r="D4" s="5">
        <v>10000000000</v>
      </c>
      <c r="E4" s="2" t="s">
        <v>30</v>
      </c>
      <c r="F4" s="2" t="s">
        <v>31</v>
      </c>
      <c r="G4" s="2">
        <f>-3000/0.962</f>
        <v>-3118.5031185031185</v>
      </c>
      <c r="H4" s="2">
        <f>0.08/0.962</f>
        <v>8.3160083160083165E-2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20</v>
      </c>
      <c r="R4" s="2">
        <v>5</v>
      </c>
      <c r="S4" s="2">
        <v>5</v>
      </c>
      <c r="T4" s="2"/>
    </row>
    <row r="5" spans="1:20" x14ac:dyDescent="0.2">
      <c r="A5" s="1" t="s">
        <v>119</v>
      </c>
      <c r="B5" s="2" t="s">
        <v>120</v>
      </c>
      <c r="C5" s="2">
        <v>0</v>
      </c>
      <c r="D5" s="5">
        <v>500</v>
      </c>
      <c r="E5" s="2" t="s">
        <v>121</v>
      </c>
      <c r="F5" s="2" t="s">
        <v>31</v>
      </c>
      <c r="G5" s="2">
        <v>3381</v>
      </c>
      <c r="H5" s="2">
        <v>229.8</v>
      </c>
      <c r="I5" s="2">
        <v>0</v>
      </c>
      <c r="J5" s="2">
        <v>0</v>
      </c>
      <c r="K5" s="2">
        <v>0</v>
      </c>
      <c r="L5" s="2">
        <v>5056</v>
      </c>
      <c r="M5" s="2">
        <v>319.89999999999998</v>
      </c>
      <c r="N5" s="2">
        <v>0.4153</v>
      </c>
      <c r="O5" s="2">
        <v>-1271</v>
      </c>
      <c r="P5" s="2">
        <v>6.8329999999999997E-3</v>
      </c>
      <c r="Q5" s="2">
        <v>20</v>
      </c>
      <c r="R5" s="2">
        <v>5</v>
      </c>
      <c r="S5" s="2">
        <v>5</v>
      </c>
      <c r="T5" s="2" t="s">
        <v>122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="70" zoomScaleNormal="70" workbookViewId="0">
      <selection activeCell="H3" sqref="H3"/>
    </sheetView>
  </sheetViews>
  <sheetFormatPr baseColWidth="10" defaultColWidth="8.83203125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15" max="15" width="29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105</v>
      </c>
      <c r="B2" s="2" t="s">
        <v>106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"/>
  <sheetViews>
    <sheetView zoomScale="60" zoomScaleNormal="60" workbookViewId="0">
      <selection activeCell="O6" sqref="O6"/>
    </sheetView>
  </sheetViews>
  <sheetFormatPr baseColWidth="10" defaultColWidth="8.83203125" defaultRowHeight="15" x14ac:dyDescent="0.2"/>
  <cols>
    <col min="1" max="1" width="29" customWidth="1"/>
    <col min="3" max="3" width="17.5" customWidth="1"/>
    <col min="4" max="5" width="20.5" customWidth="1"/>
    <col min="7" max="7" width="11.33203125" customWidth="1"/>
    <col min="9" max="9" width="12.5" customWidth="1"/>
    <col min="10" max="10" width="12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107</v>
      </c>
      <c r="B2" s="2" t="s">
        <v>108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177.8/0.902</f>
        <v>197.11751662971176</v>
      </c>
      <c r="I2" s="2">
        <v>0.49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/>
    </row>
    <row r="3" spans="1:15" x14ac:dyDescent="0.2">
      <c r="A3" s="1" t="s">
        <v>109</v>
      </c>
      <c r="B3" s="2" t="s">
        <v>110</v>
      </c>
      <c r="C3" s="2">
        <v>1000000</v>
      </c>
      <c r="D3" s="2">
        <v>20000000</v>
      </c>
      <c r="E3" s="2" t="s">
        <v>30</v>
      </c>
      <c r="F3" s="2" t="s">
        <v>31</v>
      </c>
      <c r="G3" s="2">
        <v>0</v>
      </c>
      <c r="H3" s="2">
        <f>8893/0.902/1000</f>
        <v>9.8592017738359186</v>
      </c>
      <c r="I3" s="2">
        <v>1</v>
      </c>
      <c r="J3" s="2">
        <v>0</v>
      </c>
      <c r="K3" s="2">
        <f>-493.53/0.902/1000</f>
        <v>-0.54715077605321505</v>
      </c>
      <c r="L3" s="2">
        <v>25</v>
      </c>
      <c r="M3" s="2">
        <v>5</v>
      </c>
      <c r="N3" s="2">
        <v>6</v>
      </c>
      <c r="O3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="60" zoomScaleNormal="60" workbookViewId="0">
      <selection activeCell="N32" sqref="N32"/>
    </sheetView>
  </sheetViews>
  <sheetFormatPr baseColWidth="10" defaultColWidth="8.83203125" defaultRowHeight="15" x14ac:dyDescent="0.2"/>
  <cols>
    <col min="1" max="1" width="17.5" customWidth="1"/>
    <col min="3" max="3" width="18" customWidth="1"/>
    <col min="4" max="5" width="21.6640625" customWidth="1"/>
    <col min="8" max="8" width="11.6640625" customWidth="1"/>
    <col min="10" max="10" width="13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117</v>
      </c>
      <c r="B2" s="2" t="s">
        <v>118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117</v>
      </c>
      <c r="B3" s="2" t="s">
        <v>118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117</v>
      </c>
      <c r="B4" s="2" t="s">
        <v>118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117</v>
      </c>
      <c r="B5" s="2" t="s">
        <v>118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101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zoomScale="80" zoomScaleNormal="80" workbookViewId="0">
      <selection activeCell="C17" sqref="C17"/>
    </sheetView>
  </sheetViews>
  <sheetFormatPr baseColWidth="10" defaultColWidth="9.1640625" defaultRowHeight="15" x14ac:dyDescent="0.2"/>
  <cols>
    <col min="1" max="1" width="43.33203125" customWidth="1"/>
    <col min="2" max="2" width="12.6640625" customWidth="1"/>
    <col min="3" max="3" width="19.6640625" customWidth="1"/>
    <col min="4" max="5" width="19.33203125" customWidth="1"/>
    <col min="14" max="14" width="10" bestFit="1" customWidth="1"/>
    <col min="15" max="15" width="17.33203125" bestFit="1" customWidth="1"/>
    <col min="18" max="18" width="10" bestFit="1" customWidth="1"/>
    <col min="22" max="22" width="18.1640625" bestFit="1" customWidth="1"/>
    <col min="24" max="24" width="7" customWidth="1"/>
    <col min="26" max="26" width="17.33203125" bestFit="1" customWidth="1"/>
    <col min="257" max="257" width="43.33203125" customWidth="1"/>
    <col min="258" max="258" width="12.6640625" customWidth="1"/>
    <col min="259" max="259" width="19.6640625" customWidth="1"/>
    <col min="260" max="261" width="19.33203125" customWidth="1"/>
    <col min="270" max="270" width="10" bestFit="1" customWidth="1"/>
    <col min="271" max="271" width="17.33203125" bestFit="1" customWidth="1"/>
    <col min="274" max="274" width="10" bestFit="1" customWidth="1"/>
    <col min="278" max="278" width="18.1640625" bestFit="1" customWidth="1"/>
    <col min="280" max="280" width="7" customWidth="1"/>
    <col min="282" max="282" width="17.33203125" bestFit="1" customWidth="1"/>
    <col min="513" max="513" width="43.33203125" customWidth="1"/>
    <col min="514" max="514" width="12.6640625" customWidth="1"/>
    <col min="515" max="515" width="19.6640625" customWidth="1"/>
    <col min="516" max="517" width="19.33203125" customWidth="1"/>
    <col min="526" max="526" width="10" bestFit="1" customWidth="1"/>
    <col min="527" max="527" width="17.33203125" bestFit="1" customWidth="1"/>
    <col min="530" max="530" width="10" bestFit="1" customWidth="1"/>
    <col min="534" max="534" width="18.1640625" bestFit="1" customWidth="1"/>
    <col min="536" max="536" width="7" customWidth="1"/>
    <col min="538" max="538" width="17.33203125" bestFit="1" customWidth="1"/>
    <col min="769" max="769" width="43.33203125" customWidth="1"/>
    <col min="770" max="770" width="12.6640625" customWidth="1"/>
    <col min="771" max="771" width="19.6640625" customWidth="1"/>
    <col min="772" max="773" width="19.33203125" customWidth="1"/>
    <col min="782" max="782" width="10" bestFit="1" customWidth="1"/>
    <col min="783" max="783" width="17.33203125" bestFit="1" customWidth="1"/>
    <col min="786" max="786" width="10" bestFit="1" customWidth="1"/>
    <col min="790" max="790" width="18.1640625" bestFit="1" customWidth="1"/>
    <col min="792" max="792" width="7" customWidth="1"/>
    <col min="794" max="794" width="17.33203125" bestFit="1" customWidth="1"/>
    <col min="1025" max="1025" width="43.33203125" customWidth="1"/>
    <col min="1026" max="1026" width="12.6640625" customWidth="1"/>
    <col min="1027" max="1027" width="19.6640625" customWidth="1"/>
    <col min="1028" max="1029" width="19.33203125" customWidth="1"/>
    <col min="1038" max="1038" width="10" bestFit="1" customWidth="1"/>
    <col min="1039" max="1039" width="17.33203125" bestFit="1" customWidth="1"/>
    <col min="1042" max="1042" width="10" bestFit="1" customWidth="1"/>
    <col min="1046" max="1046" width="18.1640625" bestFit="1" customWidth="1"/>
    <col min="1048" max="1048" width="7" customWidth="1"/>
    <col min="1050" max="1050" width="17.33203125" bestFit="1" customWidth="1"/>
    <col min="1281" max="1281" width="43.33203125" customWidth="1"/>
    <col min="1282" max="1282" width="12.6640625" customWidth="1"/>
    <col min="1283" max="1283" width="19.6640625" customWidth="1"/>
    <col min="1284" max="1285" width="19.33203125" customWidth="1"/>
    <col min="1294" max="1294" width="10" bestFit="1" customWidth="1"/>
    <col min="1295" max="1295" width="17.33203125" bestFit="1" customWidth="1"/>
    <col min="1298" max="1298" width="10" bestFit="1" customWidth="1"/>
    <col min="1302" max="1302" width="18.1640625" bestFit="1" customWidth="1"/>
    <col min="1304" max="1304" width="7" customWidth="1"/>
    <col min="1306" max="1306" width="17.33203125" bestFit="1" customWidth="1"/>
    <col min="1537" max="1537" width="43.33203125" customWidth="1"/>
    <col min="1538" max="1538" width="12.6640625" customWidth="1"/>
    <col min="1539" max="1539" width="19.6640625" customWidth="1"/>
    <col min="1540" max="1541" width="19.33203125" customWidth="1"/>
    <col min="1550" max="1550" width="10" bestFit="1" customWidth="1"/>
    <col min="1551" max="1551" width="17.33203125" bestFit="1" customWidth="1"/>
    <col min="1554" max="1554" width="10" bestFit="1" customWidth="1"/>
    <col min="1558" max="1558" width="18.1640625" bestFit="1" customWidth="1"/>
    <col min="1560" max="1560" width="7" customWidth="1"/>
    <col min="1562" max="1562" width="17.33203125" bestFit="1" customWidth="1"/>
    <col min="1793" max="1793" width="43.33203125" customWidth="1"/>
    <col min="1794" max="1794" width="12.6640625" customWidth="1"/>
    <col min="1795" max="1795" width="19.6640625" customWidth="1"/>
    <col min="1796" max="1797" width="19.33203125" customWidth="1"/>
    <col min="1806" max="1806" width="10" bestFit="1" customWidth="1"/>
    <col min="1807" max="1807" width="17.33203125" bestFit="1" customWidth="1"/>
    <col min="1810" max="1810" width="10" bestFit="1" customWidth="1"/>
    <col min="1814" max="1814" width="18.1640625" bestFit="1" customWidth="1"/>
    <col min="1816" max="1816" width="7" customWidth="1"/>
    <col min="1818" max="1818" width="17.33203125" bestFit="1" customWidth="1"/>
    <col min="2049" max="2049" width="43.33203125" customWidth="1"/>
    <col min="2050" max="2050" width="12.6640625" customWidth="1"/>
    <col min="2051" max="2051" width="19.6640625" customWidth="1"/>
    <col min="2052" max="2053" width="19.33203125" customWidth="1"/>
    <col min="2062" max="2062" width="10" bestFit="1" customWidth="1"/>
    <col min="2063" max="2063" width="17.33203125" bestFit="1" customWidth="1"/>
    <col min="2066" max="2066" width="10" bestFit="1" customWidth="1"/>
    <col min="2070" max="2070" width="18.1640625" bestFit="1" customWidth="1"/>
    <col min="2072" max="2072" width="7" customWidth="1"/>
    <col min="2074" max="2074" width="17.33203125" bestFit="1" customWidth="1"/>
    <col min="2305" max="2305" width="43.33203125" customWidth="1"/>
    <col min="2306" max="2306" width="12.6640625" customWidth="1"/>
    <col min="2307" max="2307" width="19.6640625" customWidth="1"/>
    <col min="2308" max="2309" width="19.33203125" customWidth="1"/>
    <col min="2318" max="2318" width="10" bestFit="1" customWidth="1"/>
    <col min="2319" max="2319" width="17.33203125" bestFit="1" customWidth="1"/>
    <col min="2322" max="2322" width="10" bestFit="1" customWidth="1"/>
    <col min="2326" max="2326" width="18.1640625" bestFit="1" customWidth="1"/>
    <col min="2328" max="2328" width="7" customWidth="1"/>
    <col min="2330" max="2330" width="17.33203125" bestFit="1" customWidth="1"/>
    <col min="2561" max="2561" width="43.33203125" customWidth="1"/>
    <col min="2562" max="2562" width="12.6640625" customWidth="1"/>
    <col min="2563" max="2563" width="19.6640625" customWidth="1"/>
    <col min="2564" max="2565" width="19.33203125" customWidth="1"/>
    <col min="2574" max="2574" width="10" bestFit="1" customWidth="1"/>
    <col min="2575" max="2575" width="17.33203125" bestFit="1" customWidth="1"/>
    <col min="2578" max="2578" width="10" bestFit="1" customWidth="1"/>
    <col min="2582" max="2582" width="18.1640625" bestFit="1" customWidth="1"/>
    <col min="2584" max="2584" width="7" customWidth="1"/>
    <col min="2586" max="2586" width="17.33203125" bestFit="1" customWidth="1"/>
    <col min="2817" max="2817" width="43.33203125" customWidth="1"/>
    <col min="2818" max="2818" width="12.6640625" customWidth="1"/>
    <col min="2819" max="2819" width="19.6640625" customWidth="1"/>
    <col min="2820" max="2821" width="19.33203125" customWidth="1"/>
    <col min="2830" max="2830" width="10" bestFit="1" customWidth="1"/>
    <col min="2831" max="2831" width="17.33203125" bestFit="1" customWidth="1"/>
    <col min="2834" max="2834" width="10" bestFit="1" customWidth="1"/>
    <col min="2838" max="2838" width="18.1640625" bestFit="1" customWidth="1"/>
    <col min="2840" max="2840" width="7" customWidth="1"/>
    <col min="2842" max="2842" width="17.33203125" bestFit="1" customWidth="1"/>
    <col min="3073" max="3073" width="43.33203125" customWidth="1"/>
    <col min="3074" max="3074" width="12.6640625" customWidth="1"/>
    <col min="3075" max="3075" width="19.6640625" customWidth="1"/>
    <col min="3076" max="3077" width="19.33203125" customWidth="1"/>
    <col min="3086" max="3086" width="10" bestFit="1" customWidth="1"/>
    <col min="3087" max="3087" width="17.33203125" bestFit="1" customWidth="1"/>
    <col min="3090" max="3090" width="10" bestFit="1" customWidth="1"/>
    <col min="3094" max="3094" width="18.1640625" bestFit="1" customWidth="1"/>
    <col min="3096" max="3096" width="7" customWidth="1"/>
    <col min="3098" max="3098" width="17.33203125" bestFit="1" customWidth="1"/>
    <col min="3329" max="3329" width="43.33203125" customWidth="1"/>
    <col min="3330" max="3330" width="12.6640625" customWidth="1"/>
    <col min="3331" max="3331" width="19.6640625" customWidth="1"/>
    <col min="3332" max="3333" width="19.33203125" customWidth="1"/>
    <col min="3342" max="3342" width="10" bestFit="1" customWidth="1"/>
    <col min="3343" max="3343" width="17.33203125" bestFit="1" customWidth="1"/>
    <col min="3346" max="3346" width="10" bestFit="1" customWidth="1"/>
    <col min="3350" max="3350" width="18.1640625" bestFit="1" customWidth="1"/>
    <col min="3352" max="3352" width="7" customWidth="1"/>
    <col min="3354" max="3354" width="17.33203125" bestFit="1" customWidth="1"/>
    <col min="3585" max="3585" width="43.33203125" customWidth="1"/>
    <col min="3586" max="3586" width="12.6640625" customWidth="1"/>
    <col min="3587" max="3587" width="19.6640625" customWidth="1"/>
    <col min="3588" max="3589" width="19.33203125" customWidth="1"/>
    <col min="3598" max="3598" width="10" bestFit="1" customWidth="1"/>
    <col min="3599" max="3599" width="17.33203125" bestFit="1" customWidth="1"/>
    <col min="3602" max="3602" width="10" bestFit="1" customWidth="1"/>
    <col min="3606" max="3606" width="18.1640625" bestFit="1" customWidth="1"/>
    <col min="3608" max="3608" width="7" customWidth="1"/>
    <col min="3610" max="3610" width="17.33203125" bestFit="1" customWidth="1"/>
    <col min="3841" max="3841" width="43.33203125" customWidth="1"/>
    <col min="3842" max="3842" width="12.6640625" customWidth="1"/>
    <col min="3843" max="3843" width="19.6640625" customWidth="1"/>
    <col min="3844" max="3845" width="19.33203125" customWidth="1"/>
    <col min="3854" max="3854" width="10" bestFit="1" customWidth="1"/>
    <col min="3855" max="3855" width="17.33203125" bestFit="1" customWidth="1"/>
    <col min="3858" max="3858" width="10" bestFit="1" customWidth="1"/>
    <col min="3862" max="3862" width="18.1640625" bestFit="1" customWidth="1"/>
    <col min="3864" max="3864" width="7" customWidth="1"/>
    <col min="3866" max="3866" width="17.33203125" bestFit="1" customWidth="1"/>
    <col min="4097" max="4097" width="43.33203125" customWidth="1"/>
    <col min="4098" max="4098" width="12.6640625" customWidth="1"/>
    <col min="4099" max="4099" width="19.6640625" customWidth="1"/>
    <col min="4100" max="4101" width="19.33203125" customWidth="1"/>
    <col min="4110" max="4110" width="10" bestFit="1" customWidth="1"/>
    <col min="4111" max="4111" width="17.33203125" bestFit="1" customWidth="1"/>
    <col min="4114" max="4114" width="10" bestFit="1" customWidth="1"/>
    <col min="4118" max="4118" width="18.1640625" bestFit="1" customWidth="1"/>
    <col min="4120" max="4120" width="7" customWidth="1"/>
    <col min="4122" max="4122" width="17.33203125" bestFit="1" customWidth="1"/>
    <col min="4353" max="4353" width="43.33203125" customWidth="1"/>
    <col min="4354" max="4354" width="12.6640625" customWidth="1"/>
    <col min="4355" max="4355" width="19.6640625" customWidth="1"/>
    <col min="4356" max="4357" width="19.33203125" customWidth="1"/>
    <col min="4366" max="4366" width="10" bestFit="1" customWidth="1"/>
    <col min="4367" max="4367" width="17.33203125" bestFit="1" customWidth="1"/>
    <col min="4370" max="4370" width="10" bestFit="1" customWidth="1"/>
    <col min="4374" max="4374" width="18.1640625" bestFit="1" customWidth="1"/>
    <col min="4376" max="4376" width="7" customWidth="1"/>
    <col min="4378" max="4378" width="17.33203125" bestFit="1" customWidth="1"/>
    <col min="4609" max="4609" width="43.33203125" customWidth="1"/>
    <col min="4610" max="4610" width="12.6640625" customWidth="1"/>
    <col min="4611" max="4611" width="19.6640625" customWidth="1"/>
    <col min="4612" max="4613" width="19.33203125" customWidth="1"/>
    <col min="4622" max="4622" width="10" bestFit="1" customWidth="1"/>
    <col min="4623" max="4623" width="17.33203125" bestFit="1" customWidth="1"/>
    <col min="4626" max="4626" width="10" bestFit="1" customWidth="1"/>
    <col min="4630" max="4630" width="18.1640625" bestFit="1" customWidth="1"/>
    <col min="4632" max="4632" width="7" customWidth="1"/>
    <col min="4634" max="4634" width="17.33203125" bestFit="1" customWidth="1"/>
    <col min="4865" max="4865" width="43.33203125" customWidth="1"/>
    <col min="4866" max="4866" width="12.6640625" customWidth="1"/>
    <col min="4867" max="4867" width="19.6640625" customWidth="1"/>
    <col min="4868" max="4869" width="19.33203125" customWidth="1"/>
    <col min="4878" max="4878" width="10" bestFit="1" customWidth="1"/>
    <col min="4879" max="4879" width="17.33203125" bestFit="1" customWidth="1"/>
    <col min="4882" max="4882" width="10" bestFit="1" customWidth="1"/>
    <col min="4886" max="4886" width="18.1640625" bestFit="1" customWidth="1"/>
    <col min="4888" max="4888" width="7" customWidth="1"/>
    <col min="4890" max="4890" width="17.33203125" bestFit="1" customWidth="1"/>
    <col min="5121" max="5121" width="43.33203125" customWidth="1"/>
    <col min="5122" max="5122" width="12.6640625" customWidth="1"/>
    <col min="5123" max="5123" width="19.6640625" customWidth="1"/>
    <col min="5124" max="5125" width="19.33203125" customWidth="1"/>
    <col min="5134" max="5134" width="10" bestFit="1" customWidth="1"/>
    <col min="5135" max="5135" width="17.33203125" bestFit="1" customWidth="1"/>
    <col min="5138" max="5138" width="10" bestFit="1" customWidth="1"/>
    <col min="5142" max="5142" width="18.1640625" bestFit="1" customWidth="1"/>
    <col min="5144" max="5144" width="7" customWidth="1"/>
    <col min="5146" max="5146" width="17.33203125" bestFit="1" customWidth="1"/>
    <col min="5377" max="5377" width="43.33203125" customWidth="1"/>
    <col min="5378" max="5378" width="12.6640625" customWidth="1"/>
    <col min="5379" max="5379" width="19.6640625" customWidth="1"/>
    <col min="5380" max="5381" width="19.33203125" customWidth="1"/>
    <col min="5390" max="5390" width="10" bestFit="1" customWidth="1"/>
    <col min="5391" max="5391" width="17.33203125" bestFit="1" customWidth="1"/>
    <col min="5394" max="5394" width="10" bestFit="1" customWidth="1"/>
    <col min="5398" max="5398" width="18.1640625" bestFit="1" customWidth="1"/>
    <col min="5400" max="5400" width="7" customWidth="1"/>
    <col min="5402" max="5402" width="17.33203125" bestFit="1" customWidth="1"/>
    <col min="5633" max="5633" width="43.33203125" customWidth="1"/>
    <col min="5634" max="5634" width="12.6640625" customWidth="1"/>
    <col min="5635" max="5635" width="19.6640625" customWidth="1"/>
    <col min="5636" max="5637" width="19.33203125" customWidth="1"/>
    <col min="5646" max="5646" width="10" bestFit="1" customWidth="1"/>
    <col min="5647" max="5647" width="17.33203125" bestFit="1" customWidth="1"/>
    <col min="5650" max="5650" width="10" bestFit="1" customWidth="1"/>
    <col min="5654" max="5654" width="18.1640625" bestFit="1" customWidth="1"/>
    <col min="5656" max="5656" width="7" customWidth="1"/>
    <col min="5658" max="5658" width="17.33203125" bestFit="1" customWidth="1"/>
    <col min="5889" max="5889" width="43.33203125" customWidth="1"/>
    <col min="5890" max="5890" width="12.6640625" customWidth="1"/>
    <col min="5891" max="5891" width="19.6640625" customWidth="1"/>
    <col min="5892" max="5893" width="19.33203125" customWidth="1"/>
    <col min="5902" max="5902" width="10" bestFit="1" customWidth="1"/>
    <col min="5903" max="5903" width="17.33203125" bestFit="1" customWidth="1"/>
    <col min="5906" max="5906" width="10" bestFit="1" customWidth="1"/>
    <col min="5910" max="5910" width="18.1640625" bestFit="1" customWidth="1"/>
    <col min="5912" max="5912" width="7" customWidth="1"/>
    <col min="5914" max="5914" width="17.33203125" bestFit="1" customWidth="1"/>
    <col min="6145" max="6145" width="43.33203125" customWidth="1"/>
    <col min="6146" max="6146" width="12.6640625" customWidth="1"/>
    <col min="6147" max="6147" width="19.6640625" customWidth="1"/>
    <col min="6148" max="6149" width="19.33203125" customWidth="1"/>
    <col min="6158" max="6158" width="10" bestFit="1" customWidth="1"/>
    <col min="6159" max="6159" width="17.33203125" bestFit="1" customWidth="1"/>
    <col min="6162" max="6162" width="10" bestFit="1" customWidth="1"/>
    <col min="6166" max="6166" width="18.1640625" bestFit="1" customWidth="1"/>
    <col min="6168" max="6168" width="7" customWidth="1"/>
    <col min="6170" max="6170" width="17.33203125" bestFit="1" customWidth="1"/>
    <col min="6401" max="6401" width="43.33203125" customWidth="1"/>
    <col min="6402" max="6402" width="12.6640625" customWidth="1"/>
    <col min="6403" max="6403" width="19.6640625" customWidth="1"/>
    <col min="6404" max="6405" width="19.33203125" customWidth="1"/>
    <col min="6414" max="6414" width="10" bestFit="1" customWidth="1"/>
    <col min="6415" max="6415" width="17.33203125" bestFit="1" customWidth="1"/>
    <col min="6418" max="6418" width="10" bestFit="1" customWidth="1"/>
    <col min="6422" max="6422" width="18.1640625" bestFit="1" customWidth="1"/>
    <col min="6424" max="6424" width="7" customWidth="1"/>
    <col min="6426" max="6426" width="17.33203125" bestFit="1" customWidth="1"/>
    <col min="6657" max="6657" width="43.33203125" customWidth="1"/>
    <col min="6658" max="6658" width="12.6640625" customWidth="1"/>
    <col min="6659" max="6659" width="19.6640625" customWidth="1"/>
    <col min="6660" max="6661" width="19.33203125" customWidth="1"/>
    <col min="6670" max="6670" width="10" bestFit="1" customWidth="1"/>
    <col min="6671" max="6671" width="17.33203125" bestFit="1" customWidth="1"/>
    <col min="6674" max="6674" width="10" bestFit="1" customWidth="1"/>
    <col min="6678" max="6678" width="18.1640625" bestFit="1" customWidth="1"/>
    <col min="6680" max="6680" width="7" customWidth="1"/>
    <col min="6682" max="6682" width="17.33203125" bestFit="1" customWidth="1"/>
    <col min="6913" max="6913" width="43.33203125" customWidth="1"/>
    <col min="6914" max="6914" width="12.6640625" customWidth="1"/>
    <col min="6915" max="6915" width="19.6640625" customWidth="1"/>
    <col min="6916" max="6917" width="19.33203125" customWidth="1"/>
    <col min="6926" max="6926" width="10" bestFit="1" customWidth="1"/>
    <col min="6927" max="6927" width="17.33203125" bestFit="1" customWidth="1"/>
    <col min="6930" max="6930" width="10" bestFit="1" customWidth="1"/>
    <col min="6934" max="6934" width="18.1640625" bestFit="1" customWidth="1"/>
    <col min="6936" max="6936" width="7" customWidth="1"/>
    <col min="6938" max="6938" width="17.33203125" bestFit="1" customWidth="1"/>
    <col min="7169" max="7169" width="43.33203125" customWidth="1"/>
    <col min="7170" max="7170" width="12.6640625" customWidth="1"/>
    <col min="7171" max="7171" width="19.6640625" customWidth="1"/>
    <col min="7172" max="7173" width="19.33203125" customWidth="1"/>
    <col min="7182" max="7182" width="10" bestFit="1" customWidth="1"/>
    <col min="7183" max="7183" width="17.33203125" bestFit="1" customWidth="1"/>
    <col min="7186" max="7186" width="10" bestFit="1" customWidth="1"/>
    <col min="7190" max="7190" width="18.1640625" bestFit="1" customWidth="1"/>
    <col min="7192" max="7192" width="7" customWidth="1"/>
    <col min="7194" max="7194" width="17.33203125" bestFit="1" customWidth="1"/>
    <col min="7425" max="7425" width="43.33203125" customWidth="1"/>
    <col min="7426" max="7426" width="12.6640625" customWidth="1"/>
    <col min="7427" max="7427" width="19.6640625" customWidth="1"/>
    <col min="7428" max="7429" width="19.33203125" customWidth="1"/>
    <col min="7438" max="7438" width="10" bestFit="1" customWidth="1"/>
    <col min="7439" max="7439" width="17.33203125" bestFit="1" customWidth="1"/>
    <col min="7442" max="7442" width="10" bestFit="1" customWidth="1"/>
    <col min="7446" max="7446" width="18.1640625" bestFit="1" customWidth="1"/>
    <col min="7448" max="7448" width="7" customWidth="1"/>
    <col min="7450" max="7450" width="17.33203125" bestFit="1" customWidth="1"/>
    <col min="7681" max="7681" width="43.33203125" customWidth="1"/>
    <col min="7682" max="7682" width="12.6640625" customWidth="1"/>
    <col min="7683" max="7683" width="19.6640625" customWidth="1"/>
    <col min="7684" max="7685" width="19.33203125" customWidth="1"/>
    <col min="7694" max="7694" width="10" bestFit="1" customWidth="1"/>
    <col min="7695" max="7695" width="17.33203125" bestFit="1" customWidth="1"/>
    <col min="7698" max="7698" width="10" bestFit="1" customWidth="1"/>
    <col min="7702" max="7702" width="18.1640625" bestFit="1" customWidth="1"/>
    <col min="7704" max="7704" width="7" customWidth="1"/>
    <col min="7706" max="7706" width="17.33203125" bestFit="1" customWidth="1"/>
    <col min="7937" max="7937" width="43.33203125" customWidth="1"/>
    <col min="7938" max="7938" width="12.6640625" customWidth="1"/>
    <col min="7939" max="7939" width="19.6640625" customWidth="1"/>
    <col min="7940" max="7941" width="19.33203125" customWidth="1"/>
    <col min="7950" max="7950" width="10" bestFit="1" customWidth="1"/>
    <col min="7951" max="7951" width="17.33203125" bestFit="1" customWidth="1"/>
    <col min="7954" max="7954" width="10" bestFit="1" customWidth="1"/>
    <col min="7958" max="7958" width="18.1640625" bestFit="1" customWidth="1"/>
    <col min="7960" max="7960" width="7" customWidth="1"/>
    <col min="7962" max="7962" width="17.33203125" bestFit="1" customWidth="1"/>
    <col min="8193" max="8193" width="43.33203125" customWidth="1"/>
    <col min="8194" max="8194" width="12.6640625" customWidth="1"/>
    <col min="8195" max="8195" width="19.6640625" customWidth="1"/>
    <col min="8196" max="8197" width="19.33203125" customWidth="1"/>
    <col min="8206" max="8206" width="10" bestFit="1" customWidth="1"/>
    <col min="8207" max="8207" width="17.33203125" bestFit="1" customWidth="1"/>
    <col min="8210" max="8210" width="10" bestFit="1" customWidth="1"/>
    <col min="8214" max="8214" width="18.1640625" bestFit="1" customWidth="1"/>
    <col min="8216" max="8216" width="7" customWidth="1"/>
    <col min="8218" max="8218" width="17.33203125" bestFit="1" customWidth="1"/>
    <col min="8449" max="8449" width="43.33203125" customWidth="1"/>
    <col min="8450" max="8450" width="12.6640625" customWidth="1"/>
    <col min="8451" max="8451" width="19.6640625" customWidth="1"/>
    <col min="8452" max="8453" width="19.33203125" customWidth="1"/>
    <col min="8462" max="8462" width="10" bestFit="1" customWidth="1"/>
    <col min="8463" max="8463" width="17.33203125" bestFit="1" customWidth="1"/>
    <col min="8466" max="8466" width="10" bestFit="1" customWidth="1"/>
    <col min="8470" max="8470" width="18.1640625" bestFit="1" customWidth="1"/>
    <col min="8472" max="8472" width="7" customWidth="1"/>
    <col min="8474" max="8474" width="17.33203125" bestFit="1" customWidth="1"/>
    <col min="8705" max="8705" width="43.33203125" customWidth="1"/>
    <col min="8706" max="8706" width="12.6640625" customWidth="1"/>
    <col min="8707" max="8707" width="19.6640625" customWidth="1"/>
    <col min="8708" max="8709" width="19.33203125" customWidth="1"/>
    <col min="8718" max="8718" width="10" bestFit="1" customWidth="1"/>
    <col min="8719" max="8719" width="17.33203125" bestFit="1" customWidth="1"/>
    <col min="8722" max="8722" width="10" bestFit="1" customWidth="1"/>
    <col min="8726" max="8726" width="18.1640625" bestFit="1" customWidth="1"/>
    <col min="8728" max="8728" width="7" customWidth="1"/>
    <col min="8730" max="8730" width="17.33203125" bestFit="1" customWidth="1"/>
    <col min="8961" max="8961" width="43.33203125" customWidth="1"/>
    <col min="8962" max="8962" width="12.6640625" customWidth="1"/>
    <col min="8963" max="8963" width="19.6640625" customWidth="1"/>
    <col min="8964" max="8965" width="19.33203125" customWidth="1"/>
    <col min="8974" max="8974" width="10" bestFit="1" customWidth="1"/>
    <col min="8975" max="8975" width="17.33203125" bestFit="1" customWidth="1"/>
    <col min="8978" max="8978" width="10" bestFit="1" customWidth="1"/>
    <col min="8982" max="8982" width="18.1640625" bestFit="1" customWidth="1"/>
    <col min="8984" max="8984" width="7" customWidth="1"/>
    <col min="8986" max="8986" width="17.33203125" bestFit="1" customWidth="1"/>
    <col min="9217" max="9217" width="43.33203125" customWidth="1"/>
    <col min="9218" max="9218" width="12.6640625" customWidth="1"/>
    <col min="9219" max="9219" width="19.6640625" customWidth="1"/>
    <col min="9220" max="9221" width="19.33203125" customWidth="1"/>
    <col min="9230" max="9230" width="10" bestFit="1" customWidth="1"/>
    <col min="9231" max="9231" width="17.33203125" bestFit="1" customWidth="1"/>
    <col min="9234" max="9234" width="10" bestFit="1" customWidth="1"/>
    <col min="9238" max="9238" width="18.1640625" bestFit="1" customWidth="1"/>
    <col min="9240" max="9240" width="7" customWidth="1"/>
    <col min="9242" max="9242" width="17.33203125" bestFit="1" customWidth="1"/>
    <col min="9473" max="9473" width="43.33203125" customWidth="1"/>
    <col min="9474" max="9474" width="12.6640625" customWidth="1"/>
    <col min="9475" max="9475" width="19.6640625" customWidth="1"/>
    <col min="9476" max="9477" width="19.33203125" customWidth="1"/>
    <col min="9486" max="9486" width="10" bestFit="1" customWidth="1"/>
    <col min="9487" max="9487" width="17.33203125" bestFit="1" customWidth="1"/>
    <col min="9490" max="9490" width="10" bestFit="1" customWidth="1"/>
    <col min="9494" max="9494" width="18.1640625" bestFit="1" customWidth="1"/>
    <col min="9496" max="9496" width="7" customWidth="1"/>
    <col min="9498" max="9498" width="17.33203125" bestFit="1" customWidth="1"/>
    <col min="9729" max="9729" width="43.33203125" customWidth="1"/>
    <col min="9730" max="9730" width="12.6640625" customWidth="1"/>
    <col min="9731" max="9731" width="19.6640625" customWidth="1"/>
    <col min="9732" max="9733" width="19.33203125" customWidth="1"/>
    <col min="9742" max="9742" width="10" bestFit="1" customWidth="1"/>
    <col min="9743" max="9743" width="17.33203125" bestFit="1" customWidth="1"/>
    <col min="9746" max="9746" width="10" bestFit="1" customWidth="1"/>
    <col min="9750" max="9750" width="18.1640625" bestFit="1" customWidth="1"/>
    <col min="9752" max="9752" width="7" customWidth="1"/>
    <col min="9754" max="9754" width="17.33203125" bestFit="1" customWidth="1"/>
    <col min="9985" max="9985" width="43.33203125" customWidth="1"/>
    <col min="9986" max="9986" width="12.6640625" customWidth="1"/>
    <col min="9987" max="9987" width="19.6640625" customWidth="1"/>
    <col min="9988" max="9989" width="19.33203125" customWidth="1"/>
    <col min="9998" max="9998" width="10" bestFit="1" customWidth="1"/>
    <col min="9999" max="9999" width="17.33203125" bestFit="1" customWidth="1"/>
    <col min="10002" max="10002" width="10" bestFit="1" customWidth="1"/>
    <col min="10006" max="10006" width="18.1640625" bestFit="1" customWidth="1"/>
    <col min="10008" max="10008" width="7" customWidth="1"/>
    <col min="10010" max="10010" width="17.33203125" bestFit="1" customWidth="1"/>
    <col min="10241" max="10241" width="43.33203125" customWidth="1"/>
    <col min="10242" max="10242" width="12.6640625" customWidth="1"/>
    <col min="10243" max="10243" width="19.6640625" customWidth="1"/>
    <col min="10244" max="10245" width="19.33203125" customWidth="1"/>
    <col min="10254" max="10254" width="10" bestFit="1" customWidth="1"/>
    <col min="10255" max="10255" width="17.33203125" bestFit="1" customWidth="1"/>
    <col min="10258" max="10258" width="10" bestFit="1" customWidth="1"/>
    <col min="10262" max="10262" width="18.1640625" bestFit="1" customWidth="1"/>
    <col min="10264" max="10264" width="7" customWidth="1"/>
    <col min="10266" max="10266" width="17.33203125" bestFit="1" customWidth="1"/>
    <col min="10497" max="10497" width="43.33203125" customWidth="1"/>
    <col min="10498" max="10498" width="12.6640625" customWidth="1"/>
    <col min="10499" max="10499" width="19.6640625" customWidth="1"/>
    <col min="10500" max="10501" width="19.33203125" customWidth="1"/>
    <col min="10510" max="10510" width="10" bestFit="1" customWidth="1"/>
    <col min="10511" max="10511" width="17.33203125" bestFit="1" customWidth="1"/>
    <col min="10514" max="10514" width="10" bestFit="1" customWidth="1"/>
    <col min="10518" max="10518" width="18.1640625" bestFit="1" customWidth="1"/>
    <col min="10520" max="10520" width="7" customWidth="1"/>
    <col min="10522" max="10522" width="17.33203125" bestFit="1" customWidth="1"/>
    <col min="10753" max="10753" width="43.33203125" customWidth="1"/>
    <col min="10754" max="10754" width="12.6640625" customWidth="1"/>
    <col min="10755" max="10755" width="19.6640625" customWidth="1"/>
    <col min="10756" max="10757" width="19.33203125" customWidth="1"/>
    <col min="10766" max="10766" width="10" bestFit="1" customWidth="1"/>
    <col min="10767" max="10767" width="17.33203125" bestFit="1" customWidth="1"/>
    <col min="10770" max="10770" width="10" bestFit="1" customWidth="1"/>
    <col min="10774" max="10774" width="18.1640625" bestFit="1" customWidth="1"/>
    <col min="10776" max="10776" width="7" customWidth="1"/>
    <col min="10778" max="10778" width="17.33203125" bestFit="1" customWidth="1"/>
    <col min="11009" max="11009" width="43.33203125" customWidth="1"/>
    <col min="11010" max="11010" width="12.6640625" customWidth="1"/>
    <col min="11011" max="11011" width="19.6640625" customWidth="1"/>
    <col min="11012" max="11013" width="19.33203125" customWidth="1"/>
    <col min="11022" max="11022" width="10" bestFit="1" customWidth="1"/>
    <col min="11023" max="11023" width="17.33203125" bestFit="1" customWidth="1"/>
    <col min="11026" max="11026" width="10" bestFit="1" customWidth="1"/>
    <col min="11030" max="11030" width="18.1640625" bestFit="1" customWidth="1"/>
    <col min="11032" max="11032" width="7" customWidth="1"/>
    <col min="11034" max="11034" width="17.33203125" bestFit="1" customWidth="1"/>
    <col min="11265" max="11265" width="43.33203125" customWidth="1"/>
    <col min="11266" max="11266" width="12.6640625" customWidth="1"/>
    <col min="11267" max="11267" width="19.6640625" customWidth="1"/>
    <col min="11268" max="11269" width="19.33203125" customWidth="1"/>
    <col min="11278" max="11278" width="10" bestFit="1" customWidth="1"/>
    <col min="11279" max="11279" width="17.33203125" bestFit="1" customWidth="1"/>
    <col min="11282" max="11282" width="10" bestFit="1" customWidth="1"/>
    <col min="11286" max="11286" width="18.1640625" bestFit="1" customWidth="1"/>
    <col min="11288" max="11288" width="7" customWidth="1"/>
    <col min="11290" max="11290" width="17.33203125" bestFit="1" customWidth="1"/>
    <col min="11521" max="11521" width="43.33203125" customWidth="1"/>
    <col min="11522" max="11522" width="12.6640625" customWidth="1"/>
    <col min="11523" max="11523" width="19.6640625" customWidth="1"/>
    <col min="11524" max="11525" width="19.33203125" customWidth="1"/>
    <col min="11534" max="11534" width="10" bestFit="1" customWidth="1"/>
    <col min="11535" max="11535" width="17.33203125" bestFit="1" customWidth="1"/>
    <col min="11538" max="11538" width="10" bestFit="1" customWidth="1"/>
    <col min="11542" max="11542" width="18.1640625" bestFit="1" customWidth="1"/>
    <col min="11544" max="11544" width="7" customWidth="1"/>
    <col min="11546" max="11546" width="17.33203125" bestFit="1" customWidth="1"/>
    <col min="11777" max="11777" width="43.33203125" customWidth="1"/>
    <col min="11778" max="11778" width="12.6640625" customWidth="1"/>
    <col min="11779" max="11779" width="19.6640625" customWidth="1"/>
    <col min="11780" max="11781" width="19.33203125" customWidth="1"/>
    <col min="11790" max="11790" width="10" bestFit="1" customWidth="1"/>
    <col min="11791" max="11791" width="17.33203125" bestFit="1" customWidth="1"/>
    <col min="11794" max="11794" width="10" bestFit="1" customWidth="1"/>
    <col min="11798" max="11798" width="18.1640625" bestFit="1" customWidth="1"/>
    <col min="11800" max="11800" width="7" customWidth="1"/>
    <col min="11802" max="11802" width="17.33203125" bestFit="1" customWidth="1"/>
    <col min="12033" max="12033" width="43.33203125" customWidth="1"/>
    <col min="12034" max="12034" width="12.6640625" customWidth="1"/>
    <col min="12035" max="12035" width="19.6640625" customWidth="1"/>
    <col min="12036" max="12037" width="19.33203125" customWidth="1"/>
    <col min="12046" max="12046" width="10" bestFit="1" customWidth="1"/>
    <col min="12047" max="12047" width="17.33203125" bestFit="1" customWidth="1"/>
    <col min="12050" max="12050" width="10" bestFit="1" customWidth="1"/>
    <col min="12054" max="12054" width="18.1640625" bestFit="1" customWidth="1"/>
    <col min="12056" max="12056" width="7" customWidth="1"/>
    <col min="12058" max="12058" width="17.33203125" bestFit="1" customWidth="1"/>
    <col min="12289" max="12289" width="43.33203125" customWidth="1"/>
    <col min="12290" max="12290" width="12.6640625" customWidth="1"/>
    <col min="12291" max="12291" width="19.6640625" customWidth="1"/>
    <col min="12292" max="12293" width="19.33203125" customWidth="1"/>
    <col min="12302" max="12302" width="10" bestFit="1" customWidth="1"/>
    <col min="12303" max="12303" width="17.33203125" bestFit="1" customWidth="1"/>
    <col min="12306" max="12306" width="10" bestFit="1" customWidth="1"/>
    <col min="12310" max="12310" width="18.1640625" bestFit="1" customWidth="1"/>
    <col min="12312" max="12312" width="7" customWidth="1"/>
    <col min="12314" max="12314" width="17.33203125" bestFit="1" customWidth="1"/>
    <col min="12545" max="12545" width="43.33203125" customWidth="1"/>
    <col min="12546" max="12546" width="12.6640625" customWidth="1"/>
    <col min="12547" max="12547" width="19.6640625" customWidth="1"/>
    <col min="12548" max="12549" width="19.33203125" customWidth="1"/>
    <col min="12558" max="12558" width="10" bestFit="1" customWidth="1"/>
    <col min="12559" max="12559" width="17.33203125" bestFit="1" customWidth="1"/>
    <col min="12562" max="12562" width="10" bestFit="1" customWidth="1"/>
    <col min="12566" max="12566" width="18.1640625" bestFit="1" customWidth="1"/>
    <col min="12568" max="12568" width="7" customWidth="1"/>
    <col min="12570" max="12570" width="17.33203125" bestFit="1" customWidth="1"/>
    <col min="12801" max="12801" width="43.33203125" customWidth="1"/>
    <col min="12802" max="12802" width="12.6640625" customWidth="1"/>
    <col min="12803" max="12803" width="19.6640625" customWidth="1"/>
    <col min="12804" max="12805" width="19.33203125" customWidth="1"/>
    <col min="12814" max="12814" width="10" bestFit="1" customWidth="1"/>
    <col min="12815" max="12815" width="17.33203125" bestFit="1" customWidth="1"/>
    <col min="12818" max="12818" width="10" bestFit="1" customWidth="1"/>
    <col min="12822" max="12822" width="18.1640625" bestFit="1" customWidth="1"/>
    <col min="12824" max="12824" width="7" customWidth="1"/>
    <col min="12826" max="12826" width="17.33203125" bestFit="1" customWidth="1"/>
    <col min="13057" max="13057" width="43.33203125" customWidth="1"/>
    <col min="13058" max="13058" width="12.6640625" customWidth="1"/>
    <col min="13059" max="13059" width="19.6640625" customWidth="1"/>
    <col min="13060" max="13061" width="19.33203125" customWidth="1"/>
    <col min="13070" max="13070" width="10" bestFit="1" customWidth="1"/>
    <col min="13071" max="13071" width="17.33203125" bestFit="1" customWidth="1"/>
    <col min="13074" max="13074" width="10" bestFit="1" customWidth="1"/>
    <col min="13078" max="13078" width="18.1640625" bestFit="1" customWidth="1"/>
    <col min="13080" max="13080" width="7" customWidth="1"/>
    <col min="13082" max="13082" width="17.33203125" bestFit="1" customWidth="1"/>
    <col min="13313" max="13313" width="43.33203125" customWidth="1"/>
    <col min="13314" max="13314" width="12.6640625" customWidth="1"/>
    <col min="13315" max="13315" width="19.6640625" customWidth="1"/>
    <col min="13316" max="13317" width="19.33203125" customWidth="1"/>
    <col min="13326" max="13326" width="10" bestFit="1" customWidth="1"/>
    <col min="13327" max="13327" width="17.33203125" bestFit="1" customWidth="1"/>
    <col min="13330" max="13330" width="10" bestFit="1" customWidth="1"/>
    <col min="13334" max="13334" width="18.1640625" bestFit="1" customWidth="1"/>
    <col min="13336" max="13336" width="7" customWidth="1"/>
    <col min="13338" max="13338" width="17.33203125" bestFit="1" customWidth="1"/>
    <col min="13569" max="13569" width="43.33203125" customWidth="1"/>
    <col min="13570" max="13570" width="12.6640625" customWidth="1"/>
    <col min="13571" max="13571" width="19.6640625" customWidth="1"/>
    <col min="13572" max="13573" width="19.33203125" customWidth="1"/>
    <col min="13582" max="13582" width="10" bestFit="1" customWidth="1"/>
    <col min="13583" max="13583" width="17.33203125" bestFit="1" customWidth="1"/>
    <col min="13586" max="13586" width="10" bestFit="1" customWidth="1"/>
    <col min="13590" max="13590" width="18.1640625" bestFit="1" customWidth="1"/>
    <col min="13592" max="13592" width="7" customWidth="1"/>
    <col min="13594" max="13594" width="17.33203125" bestFit="1" customWidth="1"/>
    <col min="13825" max="13825" width="43.33203125" customWidth="1"/>
    <col min="13826" max="13826" width="12.6640625" customWidth="1"/>
    <col min="13827" max="13827" width="19.6640625" customWidth="1"/>
    <col min="13828" max="13829" width="19.33203125" customWidth="1"/>
    <col min="13838" max="13838" width="10" bestFit="1" customWidth="1"/>
    <col min="13839" max="13839" width="17.33203125" bestFit="1" customWidth="1"/>
    <col min="13842" max="13842" width="10" bestFit="1" customWidth="1"/>
    <col min="13846" max="13846" width="18.1640625" bestFit="1" customWidth="1"/>
    <col min="13848" max="13848" width="7" customWidth="1"/>
    <col min="13850" max="13850" width="17.33203125" bestFit="1" customWidth="1"/>
    <col min="14081" max="14081" width="43.33203125" customWidth="1"/>
    <col min="14082" max="14082" width="12.6640625" customWidth="1"/>
    <col min="14083" max="14083" width="19.6640625" customWidth="1"/>
    <col min="14084" max="14085" width="19.33203125" customWidth="1"/>
    <col min="14094" max="14094" width="10" bestFit="1" customWidth="1"/>
    <col min="14095" max="14095" width="17.33203125" bestFit="1" customWidth="1"/>
    <col min="14098" max="14098" width="10" bestFit="1" customWidth="1"/>
    <col min="14102" max="14102" width="18.1640625" bestFit="1" customWidth="1"/>
    <col min="14104" max="14104" width="7" customWidth="1"/>
    <col min="14106" max="14106" width="17.33203125" bestFit="1" customWidth="1"/>
    <col min="14337" max="14337" width="43.33203125" customWidth="1"/>
    <col min="14338" max="14338" width="12.6640625" customWidth="1"/>
    <col min="14339" max="14339" width="19.6640625" customWidth="1"/>
    <col min="14340" max="14341" width="19.33203125" customWidth="1"/>
    <col min="14350" max="14350" width="10" bestFit="1" customWidth="1"/>
    <col min="14351" max="14351" width="17.33203125" bestFit="1" customWidth="1"/>
    <col min="14354" max="14354" width="10" bestFit="1" customWidth="1"/>
    <col min="14358" max="14358" width="18.1640625" bestFit="1" customWidth="1"/>
    <col min="14360" max="14360" width="7" customWidth="1"/>
    <col min="14362" max="14362" width="17.33203125" bestFit="1" customWidth="1"/>
    <col min="14593" max="14593" width="43.33203125" customWidth="1"/>
    <col min="14594" max="14594" width="12.6640625" customWidth="1"/>
    <col min="14595" max="14595" width="19.6640625" customWidth="1"/>
    <col min="14596" max="14597" width="19.33203125" customWidth="1"/>
    <col min="14606" max="14606" width="10" bestFit="1" customWidth="1"/>
    <col min="14607" max="14607" width="17.33203125" bestFit="1" customWidth="1"/>
    <col min="14610" max="14610" width="10" bestFit="1" customWidth="1"/>
    <col min="14614" max="14614" width="18.1640625" bestFit="1" customWidth="1"/>
    <col min="14616" max="14616" width="7" customWidth="1"/>
    <col min="14618" max="14618" width="17.33203125" bestFit="1" customWidth="1"/>
    <col min="14849" max="14849" width="43.33203125" customWidth="1"/>
    <col min="14850" max="14850" width="12.6640625" customWidth="1"/>
    <col min="14851" max="14851" width="19.6640625" customWidth="1"/>
    <col min="14852" max="14853" width="19.33203125" customWidth="1"/>
    <col min="14862" max="14862" width="10" bestFit="1" customWidth="1"/>
    <col min="14863" max="14863" width="17.33203125" bestFit="1" customWidth="1"/>
    <col min="14866" max="14866" width="10" bestFit="1" customWidth="1"/>
    <col min="14870" max="14870" width="18.1640625" bestFit="1" customWidth="1"/>
    <col min="14872" max="14872" width="7" customWidth="1"/>
    <col min="14874" max="14874" width="17.33203125" bestFit="1" customWidth="1"/>
    <col min="15105" max="15105" width="43.33203125" customWidth="1"/>
    <col min="15106" max="15106" width="12.6640625" customWidth="1"/>
    <col min="15107" max="15107" width="19.6640625" customWidth="1"/>
    <col min="15108" max="15109" width="19.33203125" customWidth="1"/>
    <col min="15118" max="15118" width="10" bestFit="1" customWidth="1"/>
    <col min="15119" max="15119" width="17.33203125" bestFit="1" customWidth="1"/>
    <col min="15122" max="15122" width="10" bestFit="1" customWidth="1"/>
    <col min="15126" max="15126" width="18.1640625" bestFit="1" customWidth="1"/>
    <col min="15128" max="15128" width="7" customWidth="1"/>
    <col min="15130" max="15130" width="17.33203125" bestFit="1" customWidth="1"/>
    <col min="15361" max="15361" width="43.33203125" customWidth="1"/>
    <col min="15362" max="15362" width="12.6640625" customWidth="1"/>
    <col min="15363" max="15363" width="19.6640625" customWidth="1"/>
    <col min="15364" max="15365" width="19.33203125" customWidth="1"/>
    <col min="15374" max="15374" width="10" bestFit="1" customWidth="1"/>
    <col min="15375" max="15375" width="17.33203125" bestFit="1" customWidth="1"/>
    <col min="15378" max="15378" width="10" bestFit="1" customWidth="1"/>
    <col min="15382" max="15382" width="18.1640625" bestFit="1" customWidth="1"/>
    <col min="15384" max="15384" width="7" customWidth="1"/>
    <col min="15386" max="15386" width="17.33203125" bestFit="1" customWidth="1"/>
    <col min="15617" max="15617" width="43.33203125" customWidth="1"/>
    <col min="15618" max="15618" width="12.6640625" customWidth="1"/>
    <col min="15619" max="15619" width="19.6640625" customWidth="1"/>
    <col min="15620" max="15621" width="19.33203125" customWidth="1"/>
    <col min="15630" max="15630" width="10" bestFit="1" customWidth="1"/>
    <col min="15631" max="15631" width="17.33203125" bestFit="1" customWidth="1"/>
    <col min="15634" max="15634" width="10" bestFit="1" customWidth="1"/>
    <col min="15638" max="15638" width="18.1640625" bestFit="1" customWidth="1"/>
    <col min="15640" max="15640" width="7" customWidth="1"/>
    <col min="15642" max="15642" width="17.33203125" bestFit="1" customWidth="1"/>
    <col min="15873" max="15873" width="43.33203125" customWidth="1"/>
    <col min="15874" max="15874" width="12.6640625" customWidth="1"/>
    <col min="15875" max="15875" width="19.6640625" customWidth="1"/>
    <col min="15876" max="15877" width="19.33203125" customWidth="1"/>
    <col min="15886" max="15886" width="10" bestFit="1" customWidth="1"/>
    <col min="15887" max="15887" width="17.33203125" bestFit="1" customWidth="1"/>
    <col min="15890" max="15890" width="10" bestFit="1" customWidth="1"/>
    <col min="15894" max="15894" width="18.1640625" bestFit="1" customWidth="1"/>
    <col min="15896" max="15896" width="7" customWidth="1"/>
    <col min="15898" max="15898" width="17.33203125" bestFit="1" customWidth="1"/>
    <col min="16129" max="16129" width="43.33203125" customWidth="1"/>
    <col min="16130" max="16130" width="12.6640625" customWidth="1"/>
    <col min="16131" max="16131" width="19.6640625" customWidth="1"/>
    <col min="16132" max="16133" width="19.33203125" customWidth="1"/>
    <col min="16142" max="16142" width="10" bestFit="1" customWidth="1"/>
    <col min="16143" max="16143" width="17.33203125" bestFit="1" customWidth="1"/>
    <col min="16146" max="16146" width="10" bestFit="1" customWidth="1"/>
    <col min="16150" max="16150" width="18.1640625" bestFit="1" customWidth="1"/>
    <col min="16152" max="16152" width="7" customWidth="1"/>
    <col min="16154" max="16154" width="17.33203125" bestFit="1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111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130</v>
      </c>
      <c r="O1" s="1" t="s">
        <v>24</v>
      </c>
      <c r="P1" s="1" t="s">
        <v>25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  <c r="Y1" s="1" t="s">
        <v>139</v>
      </c>
      <c r="Z1" s="1" t="s">
        <v>26</v>
      </c>
    </row>
    <row r="2" spans="1:26" x14ac:dyDescent="0.2">
      <c r="A2" s="1" t="s">
        <v>112</v>
      </c>
      <c r="B2" s="2" t="s">
        <v>113</v>
      </c>
      <c r="C2" s="13" t="s">
        <v>140</v>
      </c>
      <c r="D2" s="2">
        <v>100</v>
      </c>
      <c r="E2" s="2">
        <v>12000</v>
      </c>
      <c r="F2" s="2" t="s">
        <v>114</v>
      </c>
      <c r="G2" s="2" t="s">
        <v>31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3">
        <v>25</v>
      </c>
      <c r="O2" s="2">
        <v>1</v>
      </c>
      <c r="P2" s="2">
        <v>6</v>
      </c>
      <c r="Q2" s="13">
        <v>0</v>
      </c>
      <c r="R2" s="13">
        <v>0</v>
      </c>
      <c r="S2" s="13">
        <v>70</v>
      </c>
      <c r="T2" s="13">
        <v>90</v>
      </c>
      <c r="U2" s="13">
        <v>0</v>
      </c>
      <c r="V2" s="13">
        <v>997</v>
      </c>
      <c r="W2" s="13">
        <v>4.1900000000000004</v>
      </c>
      <c r="X2" s="13">
        <v>0.98</v>
      </c>
      <c r="Y2" s="13">
        <v>0.96</v>
      </c>
      <c r="Z2" s="2" t="s">
        <v>115</v>
      </c>
    </row>
    <row r="3" spans="1:26" x14ac:dyDescent="0.2">
      <c r="A3" s="1" t="s">
        <v>112</v>
      </c>
      <c r="B3" s="2" t="s">
        <v>113</v>
      </c>
      <c r="C3" s="13" t="s">
        <v>140</v>
      </c>
      <c r="D3" s="2">
        <v>12000</v>
      </c>
      <c r="E3" s="5">
        <v>10000000000</v>
      </c>
      <c r="F3" s="2" t="s">
        <v>114</v>
      </c>
      <c r="G3" s="2" t="s">
        <v>31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3">
        <v>25</v>
      </c>
      <c r="O3" s="2">
        <v>1</v>
      </c>
      <c r="P3" s="2">
        <v>6</v>
      </c>
      <c r="Q3" s="13">
        <v>0</v>
      </c>
      <c r="R3" s="13">
        <v>0</v>
      </c>
      <c r="S3" s="13">
        <v>70</v>
      </c>
      <c r="T3" s="13">
        <v>90</v>
      </c>
      <c r="U3" s="13">
        <v>0</v>
      </c>
      <c r="V3" s="13">
        <v>997</v>
      </c>
      <c r="W3" s="13">
        <v>4.1900000000000004</v>
      </c>
      <c r="X3" s="13">
        <v>0.98</v>
      </c>
      <c r="Y3" s="13">
        <v>0.96</v>
      </c>
      <c r="Z3" s="2" t="s">
        <v>4</v>
      </c>
    </row>
    <row r="4" spans="1:26" x14ac:dyDescent="0.2">
      <c r="A4" s="1" t="s">
        <v>141</v>
      </c>
      <c r="B4" s="2" t="s">
        <v>116</v>
      </c>
      <c r="C4" s="13" t="s">
        <v>142</v>
      </c>
      <c r="D4" s="13">
        <v>0</v>
      </c>
      <c r="E4" s="14">
        <v>10000000000</v>
      </c>
      <c r="F4" s="13" t="s">
        <v>143</v>
      </c>
      <c r="G4" s="13" t="s">
        <v>31</v>
      </c>
      <c r="H4" s="13">
        <v>0</v>
      </c>
      <c r="I4" s="13">
        <v>108</v>
      </c>
      <c r="J4" s="13">
        <v>1</v>
      </c>
      <c r="K4" s="13">
        <v>0</v>
      </c>
      <c r="L4" s="13">
        <v>0</v>
      </c>
      <c r="M4" s="13">
        <v>25</v>
      </c>
      <c r="N4" s="13">
        <v>25</v>
      </c>
      <c r="O4" s="13">
        <v>2</v>
      </c>
      <c r="P4" s="13">
        <v>6</v>
      </c>
      <c r="Q4" s="13">
        <v>0</v>
      </c>
      <c r="R4" s="13">
        <v>0</v>
      </c>
      <c r="S4" s="13">
        <v>4</v>
      </c>
      <c r="T4" s="13">
        <v>13</v>
      </c>
      <c r="U4" s="13">
        <v>0</v>
      </c>
      <c r="V4" s="13">
        <v>997</v>
      </c>
      <c r="W4" s="13">
        <v>4.1900000000000004</v>
      </c>
      <c r="X4" s="13">
        <v>0.98</v>
      </c>
      <c r="Y4" s="13">
        <v>0.96</v>
      </c>
      <c r="Z4" s="13" t="s">
        <v>115</v>
      </c>
    </row>
    <row r="5" spans="1:26" x14ac:dyDescent="0.2">
      <c r="A5" s="1" t="s">
        <v>144</v>
      </c>
      <c r="B5" s="2" t="s">
        <v>145</v>
      </c>
      <c r="C5" s="13" t="s">
        <v>142</v>
      </c>
      <c r="D5" s="13">
        <v>0</v>
      </c>
      <c r="E5" s="14">
        <v>10000000000</v>
      </c>
      <c r="F5" s="13" t="s">
        <v>143</v>
      </c>
      <c r="G5" s="13" t="s">
        <v>31</v>
      </c>
      <c r="H5" s="13">
        <v>0</v>
      </c>
      <c r="I5" s="13">
        <v>117.9</v>
      </c>
      <c r="J5" s="13">
        <v>1</v>
      </c>
      <c r="K5" s="13">
        <v>0</v>
      </c>
      <c r="L5" s="13">
        <v>0</v>
      </c>
      <c r="M5" s="13">
        <v>25</v>
      </c>
      <c r="N5" s="13">
        <v>25</v>
      </c>
      <c r="O5" s="13">
        <v>2</v>
      </c>
      <c r="P5" s="13">
        <v>6</v>
      </c>
      <c r="Q5" s="13">
        <v>4.8</v>
      </c>
      <c r="R5" s="13">
        <v>0</v>
      </c>
      <c r="S5" s="13">
        <v>-0.5</v>
      </c>
      <c r="T5" s="13">
        <v>0.5</v>
      </c>
      <c r="U5" s="13">
        <v>334</v>
      </c>
      <c r="V5" s="13">
        <v>917</v>
      </c>
      <c r="W5" s="13">
        <v>2.11</v>
      </c>
      <c r="X5" s="13">
        <v>0.98</v>
      </c>
      <c r="Y5" s="13">
        <v>0.96</v>
      </c>
      <c r="Z5" s="13" t="s">
        <v>115</v>
      </c>
    </row>
    <row r="6" spans="1:26" x14ac:dyDescent="0.2">
      <c r="A6" s="1" t="s">
        <v>146</v>
      </c>
      <c r="B6" s="2" t="s">
        <v>147</v>
      </c>
      <c r="C6" s="13" t="s">
        <v>142</v>
      </c>
      <c r="D6" s="13">
        <v>0</v>
      </c>
      <c r="E6" s="14">
        <v>10000000000</v>
      </c>
      <c r="F6" s="13" t="s">
        <v>143</v>
      </c>
      <c r="G6" s="13" t="s">
        <v>31</v>
      </c>
      <c r="H6" s="13">
        <v>0</v>
      </c>
      <c r="I6" s="13">
        <v>117.9</v>
      </c>
      <c r="J6" s="13">
        <v>1</v>
      </c>
      <c r="K6" s="13">
        <v>0</v>
      </c>
      <c r="L6" s="13">
        <v>0</v>
      </c>
      <c r="M6" s="13">
        <v>25</v>
      </c>
      <c r="N6" s="13">
        <v>7</v>
      </c>
      <c r="O6" s="13">
        <v>2</v>
      </c>
      <c r="P6" s="13">
        <v>6</v>
      </c>
      <c r="Q6" s="13">
        <v>4.8</v>
      </c>
      <c r="R6" s="13">
        <v>4</v>
      </c>
      <c r="S6" s="13">
        <v>3.5</v>
      </c>
      <c r="T6" s="13">
        <v>4.5</v>
      </c>
      <c r="U6" s="13">
        <v>234</v>
      </c>
      <c r="V6" s="13">
        <v>1600</v>
      </c>
      <c r="W6" s="13">
        <v>2</v>
      </c>
      <c r="X6" s="13">
        <v>0.98</v>
      </c>
      <c r="Y6" s="13">
        <v>0.96</v>
      </c>
      <c r="Z6" s="13" t="s">
        <v>115</v>
      </c>
    </row>
    <row r="7" spans="1:26" x14ac:dyDescent="0.2">
      <c r="A7" s="1" t="s">
        <v>148</v>
      </c>
      <c r="B7" s="2" t="s">
        <v>149</v>
      </c>
      <c r="C7" s="13" t="s">
        <v>142</v>
      </c>
      <c r="D7" s="13">
        <v>0</v>
      </c>
      <c r="E7" s="14">
        <v>10000000000</v>
      </c>
      <c r="F7" s="13" t="s">
        <v>143</v>
      </c>
      <c r="G7" s="13" t="s">
        <v>31</v>
      </c>
      <c r="H7" s="13">
        <v>0</v>
      </c>
      <c r="I7" s="13">
        <v>156.30000000000001</v>
      </c>
      <c r="J7" s="13">
        <v>1</v>
      </c>
      <c r="K7" s="13">
        <v>0</v>
      </c>
      <c r="L7" s="13">
        <v>0</v>
      </c>
      <c r="M7" s="13">
        <v>25</v>
      </c>
      <c r="N7" s="13">
        <v>7</v>
      </c>
      <c r="O7" s="13">
        <v>2</v>
      </c>
      <c r="P7" s="13">
        <v>6</v>
      </c>
      <c r="Q7" s="13">
        <v>27.3</v>
      </c>
      <c r="R7" s="13">
        <v>5.4</v>
      </c>
      <c r="S7" s="13">
        <v>4.9000000000000004</v>
      </c>
      <c r="T7" s="13">
        <v>5.9</v>
      </c>
      <c r="U7" s="13">
        <v>105</v>
      </c>
      <c r="V7" s="13">
        <v>1125</v>
      </c>
      <c r="W7" s="13">
        <v>2.09</v>
      </c>
      <c r="X7" s="13">
        <v>0.98</v>
      </c>
      <c r="Y7" s="13">
        <v>0.96</v>
      </c>
      <c r="Z7" s="13" t="s">
        <v>115</v>
      </c>
    </row>
    <row r="8" spans="1:26" x14ac:dyDescent="0.2">
      <c r="A8" s="1" t="s">
        <v>150</v>
      </c>
      <c r="B8" s="2" t="s">
        <v>151</v>
      </c>
      <c r="C8" s="13" t="s">
        <v>142</v>
      </c>
      <c r="D8" s="13">
        <v>0</v>
      </c>
      <c r="E8" s="14">
        <v>10000000000</v>
      </c>
      <c r="F8" s="13" t="s">
        <v>143</v>
      </c>
      <c r="G8" s="13" t="s">
        <v>31</v>
      </c>
      <c r="H8" s="13">
        <v>0</v>
      </c>
      <c r="I8" s="13">
        <v>141.5</v>
      </c>
      <c r="J8" s="13">
        <v>1</v>
      </c>
      <c r="K8" s="13">
        <v>0</v>
      </c>
      <c r="L8" s="13">
        <v>0</v>
      </c>
      <c r="M8" s="13">
        <v>25</v>
      </c>
      <c r="N8" s="13">
        <v>7</v>
      </c>
      <c r="O8" s="13">
        <v>2</v>
      </c>
      <c r="P8" s="13">
        <v>6</v>
      </c>
      <c r="Q8" s="13">
        <v>19.7</v>
      </c>
      <c r="R8" s="13">
        <v>5</v>
      </c>
      <c r="S8" s="13">
        <v>4.5</v>
      </c>
      <c r="T8" s="13">
        <v>5.5</v>
      </c>
      <c r="U8" s="13">
        <v>230</v>
      </c>
      <c r="V8" s="13">
        <v>760</v>
      </c>
      <c r="W8" s="13">
        <v>2.14</v>
      </c>
      <c r="X8" s="13">
        <v>0.98</v>
      </c>
      <c r="Y8" s="13">
        <v>0.96</v>
      </c>
      <c r="Z8" s="13" t="s">
        <v>115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zoomScale="70" zoomScaleNormal="70" workbookViewId="0">
      <selection activeCell="F6" sqref="F6"/>
    </sheetView>
  </sheetViews>
  <sheetFormatPr baseColWidth="10" defaultColWidth="8.83203125" defaultRowHeight="15" x14ac:dyDescent="0.2"/>
  <cols>
    <col min="1" max="1" width="16.6640625" customWidth="1"/>
    <col min="4" max="4" width="42" customWidth="1"/>
    <col min="21" max="21" width="14.33203125" customWidth="1"/>
    <col min="22" max="22" width="12.6640625" customWidth="1"/>
    <col min="23" max="23" width="10.5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6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1" t="s">
        <v>3</v>
      </c>
      <c r="V1" s="1" t="s">
        <v>4</v>
      </c>
      <c r="W1" s="1" t="s">
        <v>5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</row>
    <row r="2" spans="1:33" x14ac:dyDescent="0.2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8">
        <v>57.98</v>
      </c>
      <c r="K2" s="8">
        <v>86.97</v>
      </c>
      <c r="L2" s="8">
        <v>28.99</v>
      </c>
      <c r="M2" s="8">
        <v>8000</v>
      </c>
      <c r="N2" s="8">
        <v>192</v>
      </c>
      <c r="O2" s="8">
        <v>0.87</v>
      </c>
      <c r="P2" s="8">
        <v>0</v>
      </c>
      <c r="Q2" s="9">
        <f>170/($E2*$F2)</f>
        <v>94.632447573624034</v>
      </c>
      <c r="R2" s="9">
        <f>270/($E2*$F2)</f>
        <v>150.29859320516758</v>
      </c>
      <c r="S2" s="9">
        <f>80/($E2*$F2)</f>
        <v>44.532916505234837</v>
      </c>
      <c r="T2" s="9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8">
        <v>88.2</v>
      </c>
      <c r="K3" s="8">
        <v>147.12</v>
      </c>
      <c r="L3" s="8">
        <v>33.1</v>
      </c>
      <c r="M3" s="8">
        <v>39000</v>
      </c>
      <c r="N3" s="8">
        <v>196</v>
      </c>
      <c r="O3" s="8">
        <v>0.91</v>
      </c>
      <c r="P3" s="8">
        <v>0</v>
      </c>
      <c r="Q3" s="9">
        <f>8000/($E3*$F3)</f>
        <v>2825.9464271206075</v>
      </c>
      <c r="R3" s="9">
        <f>22000/($E3*$F3)</f>
        <v>7771.3526745816707</v>
      </c>
      <c r="S3" s="9">
        <f>2000/($E3*$F3)</f>
        <v>706.48660678015187</v>
      </c>
      <c r="T3" s="9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8.5" customWidth="1"/>
    <col min="3" max="3" width="9.5" customWidth="1"/>
    <col min="4" max="5" width="10.5" customWidth="1"/>
    <col min="8" max="8" width="10.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"/>
  <sheetViews>
    <sheetView zoomScale="60" zoomScaleNormal="60" workbookViewId="0">
      <selection activeCell="F4" sqref="F4"/>
    </sheetView>
  </sheetViews>
  <sheetFormatPr baseColWidth="10" defaultColWidth="8.83203125" defaultRowHeight="15" x14ac:dyDescent="0.2"/>
  <cols>
    <col min="1" max="1" width="19.6640625" customWidth="1"/>
    <col min="2" max="2" width="13.33203125" customWidth="1"/>
    <col min="3" max="3" width="17.6640625" customWidth="1"/>
    <col min="4" max="5" width="16.5" customWidth="1"/>
    <col min="12" max="12" width="22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62</v>
      </c>
      <c r="B2" s="2" t="s">
        <v>63</v>
      </c>
      <c r="C2" s="2">
        <v>28000</v>
      </c>
      <c r="D2" s="2">
        <v>90000</v>
      </c>
      <c r="E2" s="2" t="s">
        <v>30</v>
      </c>
      <c r="F2" s="2" t="s">
        <v>31</v>
      </c>
      <c r="G2" s="2">
        <f>20300/0.902</f>
        <v>22505.543237250553</v>
      </c>
      <c r="H2" s="2">
        <f>0.275/0.902</f>
        <v>0.3048780487804878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2">
      <c r="A3" s="1" t="s">
        <v>62</v>
      </c>
      <c r="B3" s="2" t="s">
        <v>63</v>
      </c>
      <c r="C3" s="2">
        <v>90000</v>
      </c>
      <c r="D3" s="2">
        <v>320000</v>
      </c>
      <c r="E3" s="2" t="s">
        <v>30</v>
      </c>
      <c r="F3" s="2" t="s">
        <v>31</v>
      </c>
      <c r="G3" s="2">
        <f>35100/0.902</f>
        <v>38913.525498891351</v>
      </c>
      <c r="H3" s="2">
        <f>0.11/0.902</f>
        <v>0.12195121951219512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5</v>
      </c>
      <c r="O3" s="2"/>
    </row>
    <row r="4" spans="1:15" x14ac:dyDescent="0.2">
      <c r="A4" s="1" t="s">
        <v>62</v>
      </c>
      <c r="B4" s="2" t="s">
        <v>63</v>
      </c>
      <c r="C4" s="2">
        <v>320000</v>
      </c>
      <c r="D4" s="5">
        <v>10000000000</v>
      </c>
      <c r="E4" s="2" t="s">
        <v>30</v>
      </c>
      <c r="F4" s="2" t="s">
        <v>31</v>
      </c>
      <c r="G4" s="2">
        <f>84000/0.902</f>
        <v>93126.385809312633</v>
      </c>
      <c r="H4" s="2">
        <f>0.014/0.902</f>
        <v>1.5521064301552106E-2</v>
      </c>
      <c r="I4" s="2">
        <v>1</v>
      </c>
      <c r="J4" s="2">
        <v>0</v>
      </c>
      <c r="K4" s="2">
        <v>0</v>
      </c>
      <c r="L4" s="2">
        <v>20</v>
      </c>
      <c r="M4" s="2">
        <v>5</v>
      </c>
      <c r="N4" s="2">
        <v>5</v>
      </c>
      <c r="O4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"/>
  <sheetViews>
    <sheetView workbookViewId="0">
      <selection activeCell="A2" sqref="A2:O3"/>
    </sheetView>
  </sheetViews>
  <sheetFormatPr baseColWidth="10" defaultColWidth="8.83203125" defaultRowHeight="15" x14ac:dyDescent="0.2"/>
  <cols>
    <col min="1" max="1" width="29.33203125" customWidth="1"/>
    <col min="3" max="3" width="17" customWidth="1"/>
    <col min="4" max="5" width="17.6640625" customWidth="1"/>
    <col min="8" max="8" width="10.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64</v>
      </c>
      <c r="B2" s="2" t="s">
        <v>65</v>
      </c>
      <c r="C2" s="2">
        <v>1000000</v>
      </c>
      <c r="D2" s="2">
        <v>5000000</v>
      </c>
      <c r="E2" s="2" t="s">
        <v>30</v>
      </c>
      <c r="F2" s="2" t="s">
        <v>31</v>
      </c>
      <c r="G2" s="2">
        <v>0</v>
      </c>
      <c r="H2" s="10">
        <v>0.74299999999999999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2">
      <c r="A3" s="11" t="s">
        <v>64</v>
      </c>
      <c r="B3" s="11" t="s">
        <v>65</v>
      </c>
      <c r="C3" s="11">
        <v>5000000</v>
      </c>
      <c r="D3" s="11">
        <v>50000000</v>
      </c>
      <c r="E3" s="11" t="s">
        <v>30</v>
      </c>
      <c r="F3" s="11" t="s">
        <v>31</v>
      </c>
      <c r="G3" s="11">
        <v>0</v>
      </c>
      <c r="H3" s="11">
        <v>0.74299999999999999</v>
      </c>
      <c r="I3" s="11">
        <v>1</v>
      </c>
      <c r="J3" s="11">
        <v>0</v>
      </c>
      <c r="K3" s="11">
        <v>0</v>
      </c>
      <c r="L3" s="11">
        <v>20</v>
      </c>
      <c r="M3" s="11">
        <v>5</v>
      </c>
      <c r="N3" s="11">
        <v>5</v>
      </c>
      <c r="O3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"/>
  <sheetViews>
    <sheetView topLeftCell="B1" zoomScale="70" zoomScaleNormal="70" workbookViewId="0">
      <selection activeCell="D4" sqref="D4"/>
    </sheetView>
  </sheetViews>
  <sheetFormatPr baseColWidth="10" defaultColWidth="8.83203125" defaultRowHeight="15" x14ac:dyDescent="0.2"/>
  <cols>
    <col min="1" max="1" width="34.5" customWidth="1"/>
    <col min="3" max="3" width="16.5" customWidth="1"/>
    <col min="4" max="5" width="15.5" customWidth="1"/>
    <col min="6" max="6" width="14" customWidth="1"/>
    <col min="12" max="12" width="17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66</v>
      </c>
    </row>
    <row r="2" spans="1:15" x14ac:dyDescent="0.2">
      <c r="A2" s="1" t="s">
        <v>67</v>
      </c>
      <c r="B2" s="2" t="s">
        <v>68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67</v>
      </c>
      <c r="B3" s="2" t="s">
        <v>68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69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zoomScale="80" zoomScaleNormal="80" workbookViewId="0">
      <selection activeCell="H3" sqref="H3"/>
    </sheetView>
  </sheetViews>
  <sheetFormatPr baseColWidth="10" defaultColWidth="8.83203125" defaultRowHeight="15" x14ac:dyDescent="0.2"/>
  <cols>
    <col min="1" max="1" width="28" customWidth="1"/>
    <col min="3" max="5" width="9.33203125" customWidth="1"/>
    <col min="15" max="15" width="13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70</v>
      </c>
      <c r="B2" s="2" t="s">
        <v>71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534.71/0.962</f>
        <v>555.83160083160089</v>
      </c>
      <c r="I2" s="2">
        <v>0.59670000000000001</v>
      </c>
      <c r="J2" s="2">
        <v>0</v>
      </c>
      <c r="K2" s="2">
        <v>0</v>
      </c>
      <c r="L2" s="2">
        <v>25</v>
      </c>
      <c r="M2" s="2">
        <v>3</v>
      </c>
      <c r="N2" s="2">
        <v>6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5"/>
  <sheetViews>
    <sheetView tabSelected="1" zoomScaleNormal="100" workbookViewId="0">
      <selection activeCell="I21" sqref="I21"/>
    </sheetView>
  </sheetViews>
  <sheetFormatPr baseColWidth="10" defaultColWidth="8.83203125" defaultRowHeight="15" x14ac:dyDescent="0.2"/>
  <cols>
    <col min="1" max="1" width="29.6640625" customWidth="1"/>
    <col min="4" max="4" width="8.1640625" bestFit="1" customWidth="1"/>
    <col min="5" max="5" width="9.1640625" bestFit="1" customWidth="1"/>
    <col min="6" max="6" width="4.33203125" bestFit="1" customWidth="1"/>
    <col min="16" max="16" width="33.33203125" bestFit="1" customWidth="1"/>
  </cols>
  <sheetData>
    <row r="1" spans="1:16" x14ac:dyDescent="0.2">
      <c r="A1" s="1" t="s">
        <v>0</v>
      </c>
      <c r="B1" s="1" t="s">
        <v>1</v>
      </c>
      <c r="C1" s="1" t="s">
        <v>129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6" x14ac:dyDescent="0.2">
      <c r="A2" s="1" t="s">
        <v>72</v>
      </c>
      <c r="B2" s="2" t="s">
        <v>73</v>
      </c>
      <c r="C2" s="2">
        <v>0.47</v>
      </c>
      <c r="D2" s="2">
        <v>1000000</v>
      </c>
      <c r="E2" s="2">
        <v>70000000</v>
      </c>
      <c r="F2" s="2" t="s">
        <v>30</v>
      </c>
      <c r="G2" s="2" t="s">
        <v>31</v>
      </c>
      <c r="H2" s="2">
        <v>1568000</v>
      </c>
      <c r="I2" s="2">
        <v>0.3049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128</v>
      </c>
    </row>
    <row r="3" spans="1:16" x14ac:dyDescent="0.2">
      <c r="A3" s="1" t="s">
        <v>74</v>
      </c>
      <c r="B3" s="2" t="s">
        <v>75</v>
      </c>
      <c r="C3" s="2">
        <v>0.4</v>
      </c>
      <c r="D3" s="2">
        <v>1</v>
      </c>
      <c r="E3" s="5">
        <v>10000000000</v>
      </c>
      <c r="F3" s="2" t="s">
        <v>30</v>
      </c>
      <c r="G3" s="2" t="s">
        <v>31</v>
      </c>
      <c r="H3" s="2">
        <f>11357/0.902</f>
        <v>12590.90909090909</v>
      </c>
      <c r="I3" s="2">
        <f>127.5/0.902/1000</f>
        <v>0.14135254988913526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</row>
    <row r="4" spans="1:16" s="11" customFormat="1" x14ac:dyDescent="0.2">
      <c r="A4" s="1" t="s">
        <v>74</v>
      </c>
      <c r="B4" s="2" t="s">
        <v>76</v>
      </c>
      <c r="C4" s="2">
        <v>0.4</v>
      </c>
      <c r="D4" s="2">
        <v>1</v>
      </c>
      <c r="E4" s="5">
        <v>10000000000</v>
      </c>
      <c r="F4" s="2" t="s">
        <v>30</v>
      </c>
      <c r="G4" s="2" t="s">
        <v>31</v>
      </c>
      <c r="H4" s="2">
        <v>0</v>
      </c>
      <c r="I4" s="2">
        <v>0.36063110399999998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</row>
    <row r="23" spans="11:11" x14ac:dyDescent="0.2">
      <c r="K23" s="12"/>
    </row>
    <row r="25" spans="11:11" x14ac:dyDescent="0.2">
      <c r="K2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7"/>
  <sheetViews>
    <sheetView workbookViewId="0">
      <selection activeCell="J29" sqref="J29"/>
    </sheetView>
  </sheetViews>
  <sheetFormatPr baseColWidth="10" defaultColWidth="8.83203125" defaultRowHeight="15" x14ac:dyDescent="0.2"/>
  <cols>
    <col min="1" max="1" width="27.6640625" customWidth="1"/>
    <col min="5" max="5" width="9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1" t="s">
        <v>85</v>
      </c>
      <c r="Z1" s="1" t="s">
        <v>86</v>
      </c>
    </row>
    <row r="2" spans="1:26" x14ac:dyDescent="0.2">
      <c r="A2" s="1" t="s">
        <v>87</v>
      </c>
      <c r="B2" s="2" t="s">
        <v>88</v>
      </c>
      <c r="C2" s="2" t="s">
        <v>89</v>
      </c>
      <c r="D2" s="2">
        <v>0</v>
      </c>
      <c r="E2" s="2">
        <v>51150</v>
      </c>
      <c r="F2" s="2" t="s">
        <v>30</v>
      </c>
      <c r="G2" s="2" t="s">
        <v>31</v>
      </c>
      <c r="H2" s="2">
        <v>0</v>
      </c>
      <c r="I2" s="2">
        <v>0.4395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25</v>
      </c>
      <c r="Q2" s="2">
        <v>0.42</v>
      </c>
      <c r="R2" s="2">
        <v>0.9</v>
      </c>
      <c r="S2" s="2">
        <v>0.53</v>
      </c>
      <c r="T2" s="2">
        <v>-2.5</v>
      </c>
      <c r="U2" s="2">
        <v>-2.5</v>
      </c>
      <c r="V2" s="2">
        <v>1.8</v>
      </c>
      <c r="W2" s="2">
        <v>-2.1</v>
      </c>
      <c r="X2" s="2">
        <v>1.5</v>
      </c>
      <c r="Y2" s="2">
        <v>0.72199999999999998</v>
      </c>
      <c r="Z2" s="2">
        <v>0.33300000000000002</v>
      </c>
    </row>
    <row r="3" spans="1:26" x14ac:dyDescent="0.2">
      <c r="A3" s="1" t="s">
        <v>87</v>
      </c>
      <c r="B3" s="2" t="s">
        <v>90</v>
      </c>
      <c r="C3" s="2" t="s">
        <v>89</v>
      </c>
      <c r="D3" s="2">
        <v>51150</v>
      </c>
      <c r="E3" s="5">
        <v>1176000</v>
      </c>
      <c r="F3" s="2" t="s">
        <v>30</v>
      </c>
      <c r="G3" s="2" t="s">
        <v>31</v>
      </c>
      <c r="H3" s="2">
        <v>0</v>
      </c>
      <c r="I3" s="2">
        <v>0.4395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  <c r="Q3" s="2">
        <v>68.12</v>
      </c>
      <c r="R3" s="2">
        <v>-3281.1</v>
      </c>
      <c r="S3" s="2">
        <v>88.05</v>
      </c>
      <c r="T3" s="2">
        <v>-4216.1000000000004</v>
      </c>
      <c r="U3" s="2">
        <v>-1.45</v>
      </c>
      <c r="V3" s="2">
        <v>1.75</v>
      </c>
      <c r="W3" s="2">
        <v>-1.45</v>
      </c>
      <c r="X3" s="2">
        <v>1.75</v>
      </c>
      <c r="Y3" s="2">
        <v>81</v>
      </c>
      <c r="Z3" s="2">
        <v>33</v>
      </c>
    </row>
    <row r="4" spans="1:26" x14ac:dyDescent="0.2">
      <c r="A4" s="1" t="s">
        <v>91</v>
      </c>
      <c r="B4" s="2" t="s">
        <v>92</v>
      </c>
      <c r="C4" s="2" t="s">
        <v>93</v>
      </c>
      <c r="D4" s="2">
        <v>0</v>
      </c>
      <c r="E4" s="2">
        <v>58150</v>
      </c>
      <c r="F4" s="2" t="s">
        <v>30</v>
      </c>
      <c r="G4" s="2" t="s">
        <v>31</v>
      </c>
      <c r="H4" s="2">
        <v>0</v>
      </c>
      <c r="I4" s="2">
        <v>0.52969999999999995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  <c r="Q4" s="2">
        <v>0.42</v>
      </c>
      <c r="R4" s="2">
        <v>0.9</v>
      </c>
      <c r="S4" s="2">
        <v>0.53</v>
      </c>
      <c r="T4" s="2">
        <v>-2.5</v>
      </c>
      <c r="U4" s="2">
        <v>-2.5</v>
      </c>
      <c r="V4" s="2">
        <v>1.8</v>
      </c>
      <c r="W4" s="2">
        <v>-2.1</v>
      </c>
      <c r="X4" s="2">
        <v>1.5</v>
      </c>
      <c r="Y4" s="2">
        <v>0.72199999999999998</v>
      </c>
      <c r="Z4" s="2">
        <v>0.33300000000000002</v>
      </c>
    </row>
    <row r="5" spans="1:26" x14ac:dyDescent="0.2">
      <c r="A5" s="1" t="s">
        <v>94</v>
      </c>
      <c r="B5" s="2" t="s">
        <v>95</v>
      </c>
      <c r="C5" s="2" t="s">
        <v>93</v>
      </c>
      <c r="D5" s="2">
        <v>58150</v>
      </c>
      <c r="E5" s="5">
        <v>1337450</v>
      </c>
      <c r="F5" s="2" t="s">
        <v>30</v>
      </c>
      <c r="G5" s="2" t="s">
        <v>31</v>
      </c>
      <c r="H5" s="2">
        <v>0</v>
      </c>
      <c r="I5" s="2">
        <v>0.52969999999999995</v>
      </c>
      <c r="J5" s="2">
        <v>1</v>
      </c>
      <c r="K5" s="2">
        <v>0</v>
      </c>
      <c r="L5" s="2">
        <v>0</v>
      </c>
      <c r="M5" s="2">
        <v>25</v>
      </c>
      <c r="N5" s="2">
        <v>5</v>
      </c>
      <c r="O5" s="2">
        <v>5</v>
      </c>
      <c r="P5" s="2" t="s">
        <v>25</v>
      </c>
      <c r="Q5" s="2">
        <v>18.100000000000001</v>
      </c>
      <c r="R5" s="2">
        <v>-1350.5</v>
      </c>
      <c r="S5" s="2">
        <v>12.54</v>
      </c>
      <c r="T5" s="2">
        <v>-917.3</v>
      </c>
      <c r="U5" s="2">
        <v>-2.46</v>
      </c>
      <c r="V5" s="2">
        <v>4.38</v>
      </c>
      <c r="W5" s="2">
        <v>-2.46</v>
      </c>
      <c r="X5" s="2">
        <v>4.38</v>
      </c>
      <c r="Y5" s="2">
        <v>68</v>
      </c>
      <c r="Z5" s="2">
        <v>14</v>
      </c>
    </row>
    <row r="6" spans="1:26" x14ac:dyDescent="0.2">
      <c r="A6" s="1" t="s">
        <v>94</v>
      </c>
      <c r="B6" s="2" t="s">
        <v>95</v>
      </c>
      <c r="C6" s="2" t="s">
        <v>93</v>
      </c>
      <c r="D6" s="5">
        <v>1337450</v>
      </c>
      <c r="E6" s="5">
        <v>10000000000</v>
      </c>
      <c r="F6" s="2" t="s">
        <v>30</v>
      </c>
      <c r="G6" s="2" t="s">
        <v>31</v>
      </c>
      <c r="H6" s="2">
        <v>0</v>
      </c>
      <c r="I6" s="2">
        <v>0.52969999999999995</v>
      </c>
      <c r="J6" s="2">
        <v>1</v>
      </c>
      <c r="K6" s="2">
        <v>0</v>
      </c>
      <c r="L6" s="2">
        <v>0</v>
      </c>
      <c r="M6" s="2">
        <v>25</v>
      </c>
      <c r="N6" s="2">
        <v>5</v>
      </c>
      <c r="O6" s="2">
        <v>5</v>
      </c>
      <c r="P6" s="2" t="s">
        <v>25</v>
      </c>
      <c r="Q6" s="2">
        <v>18.100000000000001</v>
      </c>
      <c r="R6" s="2">
        <v>-1350.5</v>
      </c>
      <c r="S6" s="2">
        <v>12.54</v>
      </c>
      <c r="T6" s="2">
        <v>-917.3</v>
      </c>
      <c r="U6" s="2">
        <v>-2.46</v>
      </c>
      <c r="V6" s="2">
        <v>4.38</v>
      </c>
      <c r="W6" s="2">
        <v>-2.46</v>
      </c>
      <c r="X6" s="2">
        <v>4.38</v>
      </c>
      <c r="Y6" s="2">
        <v>68</v>
      </c>
      <c r="Z6" s="2">
        <v>14</v>
      </c>
    </row>
    <row r="7" spans="1:26" x14ac:dyDescent="0.2">
      <c r="A7" s="1" t="s">
        <v>96</v>
      </c>
      <c r="B7" s="2" t="s">
        <v>97</v>
      </c>
      <c r="C7" s="2" t="s">
        <v>98</v>
      </c>
      <c r="D7" s="2">
        <v>116300</v>
      </c>
      <c r="E7" s="5">
        <v>1628200</v>
      </c>
      <c r="F7" s="2" t="s">
        <v>30</v>
      </c>
      <c r="G7" s="2" t="s">
        <v>31</v>
      </c>
      <c r="H7" s="2">
        <v>0</v>
      </c>
      <c r="I7" s="2">
        <v>0.64239999999999997</v>
      </c>
      <c r="J7" s="2">
        <v>1</v>
      </c>
      <c r="K7" s="2">
        <v>0</v>
      </c>
      <c r="L7" s="2">
        <v>0</v>
      </c>
      <c r="M7" s="2">
        <v>25</v>
      </c>
      <c r="N7" s="2">
        <v>5</v>
      </c>
      <c r="O7" s="2">
        <v>5</v>
      </c>
      <c r="P7" s="2" t="s">
        <v>25</v>
      </c>
      <c r="Q7" s="2">
        <v>14.6</v>
      </c>
      <c r="R7" s="2">
        <v>-1171.7</v>
      </c>
      <c r="S7" s="2">
        <v>7.05</v>
      </c>
      <c r="T7" s="2">
        <v>-504.2</v>
      </c>
      <c r="U7" s="2">
        <v>-2.14</v>
      </c>
      <c r="V7" s="2">
        <v>3.29</v>
      </c>
      <c r="W7" s="2">
        <v>-2.14</v>
      </c>
      <c r="X7" s="2">
        <v>3.29</v>
      </c>
      <c r="Y7" s="2">
        <v>62</v>
      </c>
      <c r="Z7" s="2">
        <v>10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PV</vt:lpstr>
      <vt:lpstr>SC</vt:lpstr>
      <vt:lpstr>PVT</vt:lpstr>
      <vt:lpstr>Boiler</vt:lpstr>
      <vt:lpstr>Furnace</vt:lpstr>
      <vt:lpstr>FC</vt:lpstr>
      <vt:lpstr>CCGT</vt:lpstr>
      <vt:lpstr>Chiller</vt:lpstr>
      <vt:lpstr>Absorption_chiller</vt:lpstr>
      <vt:lpstr>CT</vt:lpstr>
      <vt:lpstr>HEX</vt:lpstr>
      <vt:lpstr>BH</vt:lpstr>
      <vt:lpstr>HP</vt:lpstr>
      <vt:lpstr>Pump</vt:lpstr>
      <vt:lpstr>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Jimeno Fonseca</cp:lastModifiedBy>
  <dcterms:created xsi:type="dcterms:W3CDTF">2021-09-30T08:03:11Z</dcterms:created>
  <dcterms:modified xsi:type="dcterms:W3CDTF">2024-04-04T20:22:07Z</dcterms:modified>
</cp:coreProperties>
</file>