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firstSheet="5" activeTab="6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StorageVariables" sheetId="24" r:id="rId8"/>
    <sheet name="StorageMaps" sheetId="25" r:id="rId9"/>
    <sheet name="HourlyVariation" sheetId="22" r:id="rId10"/>
    <sheet name="Scalars" sheetId="23" r:id="rId11"/>
    <sheet name="Regulation" sheetId="26" r:id="rId12"/>
  </sheets>
  <externalReferences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4" l="1"/>
  <c r="L3" i="24"/>
  <c r="F3" i="24"/>
  <c r="D3" i="24"/>
  <c r="P2" i="24"/>
  <c r="L2" i="24"/>
  <c r="F2" i="24"/>
  <c r="D2" i="24"/>
  <c r="J9" i="18" l="1"/>
  <c r="J5" i="18"/>
  <c r="E9" i="18"/>
  <c r="E5" i="18"/>
  <c r="O9" i="16" l="1"/>
  <c r="O8" i="16"/>
  <c r="M13" i="16"/>
  <c r="M12" i="16"/>
  <c r="M11" i="16"/>
  <c r="M10" i="16"/>
  <c r="K25" i="16"/>
  <c r="K24" i="16"/>
  <c r="K23" i="16"/>
  <c r="K22" i="16"/>
  <c r="K21" i="16"/>
  <c r="K20" i="16"/>
  <c r="K19" i="16"/>
  <c r="K18" i="16"/>
  <c r="C17" i="16"/>
  <c r="C16" i="16"/>
  <c r="C15" i="16"/>
  <c r="C14" i="16"/>
  <c r="M9" i="16"/>
  <c r="M8" i="16"/>
  <c r="M7" i="16"/>
  <c r="M6" i="16"/>
  <c r="M5" i="16"/>
  <c r="K17" i="16"/>
  <c r="K16" i="16"/>
  <c r="K15" i="16"/>
  <c r="K14" i="16"/>
  <c r="K13" i="16"/>
  <c r="K12" i="16"/>
  <c r="K11" i="16"/>
  <c r="K10" i="16"/>
  <c r="K9" i="16"/>
  <c r="K8" i="16"/>
  <c r="C13" i="16"/>
  <c r="C12" i="16"/>
  <c r="C11" i="16"/>
  <c r="C10" i="16"/>
  <c r="C9" i="16"/>
  <c r="C8" i="16"/>
  <c r="K7" i="16" l="1"/>
  <c r="K4" i="16"/>
  <c r="K6" i="16" l="1"/>
  <c r="K5" i="16"/>
  <c r="C7" i="16"/>
  <c r="C6" i="16"/>
  <c r="C5" i="16"/>
  <c r="K3" i="16"/>
  <c r="K2" i="16"/>
  <c r="M4" i="16"/>
  <c r="M3" i="16"/>
  <c r="M2" i="16"/>
  <c r="C4" i="16"/>
  <c r="C3" i="16"/>
  <c r="C2" i="16" l="1"/>
</calcChain>
</file>

<file path=xl/sharedStrings.xml><?xml version="1.0" encoding="utf-8"?>
<sst xmlns="http://schemas.openxmlformats.org/spreadsheetml/2006/main" count="560" uniqueCount="165">
  <si>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</si>
  <si>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</si>
  <si>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</si>
  <si>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</si>
  <si>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</si>
  <si>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</si>
  <si>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</si>
  <si>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</si>
  <si>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</si>
  <si>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</si>
  <si>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</si>
  <si>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</si>
  <si>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</si>
  <si>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</si>
  <si>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</si>
  <si>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</si>
  <si>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</si>
  <si>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</si>
  <si>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</si>
  <si>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</si>
  <si>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</si>
  <si>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</si>
  <si>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</si>
  <si>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</si>
  <si>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</si>
  <si>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</si>
  <si>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</si>
  <si>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</si>
  <si>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</si>
  <si>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</si>
  <si>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</si>
  <si>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</si>
  <si>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</si>
  <si>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</si>
  <si>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</si>
  <si>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InvestCost/tech</t>
  </si>
  <si>
    <t>BP_Coal</t>
  </si>
  <si>
    <t>BP_NatGas</t>
  </si>
  <si>
    <t>BP_BioMass</t>
  </si>
  <si>
    <t>InvestCost/InvestCost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</si>
  <si>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</si>
  <si>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</si>
  <si>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</si>
  <si>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</si>
  <si>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</si>
  <si>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</si>
  <si>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</si>
  <si>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</si>
  <si>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</si>
  <si>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</si>
  <si>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</si>
  <si>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</si>
  <si>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</si>
  <si>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</si>
  <si>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</si>
  <si>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</si>
  <si>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</si>
  <si>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</si>
  <si>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</si>
  <si>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</si>
  <si>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</si>
  <si>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</si>
  <si>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</si>
  <si>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</si>
  <si>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</si>
  <si>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</si>
  <si>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</si>
  <si>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</si>
  <si>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</si>
  <si>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</si>
  <si>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</si>
  <si>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</si>
  <si>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</si>
  <si>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</si>
  <si>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</si>
  <si>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</si>
  <si>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</si>
  <si>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</si>
  <si>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</si>
  <si>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g2_BH_BioMass</t>
  </si>
  <si>
    <t>g2_BH_NatGas</t>
  </si>
  <si>
    <t>g2_SH</t>
  </si>
  <si>
    <t>g2_HP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</si>
  <si>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</si>
  <si>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</si>
  <si>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</si>
  <si>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</si>
  <si>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</si>
  <si>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</si>
  <si>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</si>
  <si>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</si>
  <si>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</si>
  <si>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</si>
  <si>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</si>
  <si>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</si>
  <si>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</si>
  <si>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</si>
  <si>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</si>
  <si>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</si>
  <si>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</si>
  <si>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</si>
  <si>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</si>
  <si>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</si>
  <si>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</si>
  <si>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</si>
  <si>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</si>
  <si>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</si>
  <si>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</si>
  <si>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</si>
  <si>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</si>
  <si>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</si>
  <si>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</si>
  <si>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</si>
  <si>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</si>
  <si>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</si>
  <si>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</si>
  <si>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</si>
  <si>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</si>
  <si>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</si>
  <si>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</si>
  <si>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</si>
  <si>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</si>
  <si>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</si>
  <si>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</si>
  <si>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</si>
  <si>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</si>
  <si>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</si>
  <si>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</si>
  <si>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</si>
  <si>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</si>
  <si>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</si>
  <si>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</si>
  <si>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</si>
  <si>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</si>
  <si>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</si>
  <si>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</si>
  <si>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</si>
  <si>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</si>
  <si>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</si>
  <si>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</si>
  <si>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</si>
  <si>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</si>
  <si>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</si>
  <si>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</si>
  <si>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</si>
  <si>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</si>
  <si>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g1_HS</t>
  </si>
  <si>
    <t>141 Large hot water tank</t>
  </si>
  <si>
    <t>g2_HS</t>
  </si>
  <si>
    <t>Sheet in technology data, storage (2020)</t>
  </si>
  <si>
    <t>chargeCap_H/id</t>
  </si>
  <si>
    <t>chargeCap_H/chargeCap_H</t>
  </si>
  <si>
    <t>sCap/id</t>
  </si>
  <si>
    <t>sCap/sCap</t>
  </si>
  <si>
    <t>effC/id</t>
  </si>
  <si>
    <t>effC/effC</t>
  </si>
  <si>
    <t>effD/id</t>
  </si>
  <si>
    <t>effD/effD</t>
  </si>
  <si>
    <t>selfDischarge/id</t>
  </si>
  <si>
    <t>selfDischarge/selfDischarge</t>
  </si>
  <si>
    <t>HS</t>
  </si>
  <si>
    <t>CO2Cap/g</t>
  </si>
  <si>
    <t>CO2Cap/CO2Cap</t>
  </si>
  <si>
    <t>RESCap/g</t>
  </si>
  <si>
    <t>RESCap/RESCap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</si>
</sst>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0_-;\-* #,##0.00000_-;_-* &quot;-&quot;??_-;_-@_-"/>
    <numFmt numFmtId="165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4_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HS_Variables"/>
      <sheetName val="HS_Maps"/>
    </sheetNames>
    <sheetDataSet>
      <sheetData sheetId="0">
        <row r="7">
          <cell r="B7">
            <v>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chnologyCatalogue_Storage.xlsx" TargetMode="External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3-Nuclear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1-coal-fired-power-GS-AD-gct_FINAL.pdf" TargetMode="External"/><Relationship Id="rId4" Type="http://schemas.openxmlformats.org/officeDocument/2006/relationships/hyperlink" Target="https://iea-etsap.org/E-TechDS/PDF/E03-Nuclear-Power-GS-AD-gct_FINAL.pdf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C42" sqref="C42"/>
    </sheetView>
  </sheetViews>
  <sheetFormatPr defaultRowHeight="14.6" x14ac:dyDescent="0.4"/>
  <cols>
    <col min="1" max="1" width="19.84375" bestFit="1" customWidth="1"/>
    <col min="2" max="2" width="65.84375" bestFit="1" customWidth="1"/>
    <col min="3" max="3" width="65.84375" customWidth="1"/>
  </cols>
  <sheetData>
    <row r="1" spans="1:2" x14ac:dyDescent="0.4">
      <c r="A1" s="1" t="s">
        <v>2</v>
      </c>
    </row>
    <row r="2" spans="1:2" x14ac:dyDescent="0.4">
      <c r="A2" t="s">
        <v>95</v>
      </c>
      <c r="B2" t="s">
        <v>96</v>
      </c>
    </row>
    <row r="3" spans="1:2" x14ac:dyDescent="0.4">
      <c r="A3" t="s">
        <v>97</v>
      </c>
      <c r="B3" t="s">
        <v>98</v>
      </c>
    </row>
    <row r="4" spans="1:2" x14ac:dyDescent="0.4">
      <c r="A4" t="s">
        <v>97</v>
      </c>
      <c r="B4" t="s">
        <v>99</v>
      </c>
    </row>
    <row r="5" spans="1:2" x14ac:dyDescent="0.4">
      <c r="A5" t="s">
        <v>100</v>
      </c>
      <c r="B5" t="s">
        <v>101</v>
      </c>
    </row>
    <row r="6" spans="1:2" x14ac:dyDescent="0.4">
      <c r="A6" t="s">
        <v>100</v>
      </c>
      <c r="B6" t="s">
        <v>102</v>
      </c>
    </row>
    <row r="7" spans="1:2" x14ac:dyDescent="0.4">
      <c r="A7" t="s">
        <v>105</v>
      </c>
      <c r="B7" t="s">
        <v>11</v>
      </c>
    </row>
    <row r="8" spans="1:2" x14ac:dyDescent="0.4">
      <c r="A8" t="s">
        <v>115</v>
      </c>
      <c r="B8" t="s">
        <v>116</v>
      </c>
    </row>
    <row r="9" spans="1:2" x14ac:dyDescent="0.4">
      <c r="A9" t="s">
        <v>117</v>
      </c>
      <c r="B9" t="s">
        <v>96</v>
      </c>
    </row>
    <row r="10" spans="1:2" x14ac:dyDescent="0.4">
      <c r="A10" t="s">
        <v>118</v>
      </c>
      <c r="B10" t="s">
        <v>119</v>
      </c>
    </row>
    <row r="11" spans="1:2" x14ac:dyDescent="0.4">
      <c r="A11" t="s">
        <v>10</v>
      </c>
      <c r="B11" t="s">
        <v>13</v>
      </c>
    </row>
    <row r="12" spans="1:2" x14ac:dyDescent="0.4">
      <c r="A12" t="s">
        <v>3</v>
      </c>
      <c r="B12" t="s">
        <v>11</v>
      </c>
    </row>
    <row r="13" spans="1:2" x14ac:dyDescent="0.4">
      <c r="A13" t="s">
        <v>4</v>
      </c>
      <c r="B13" t="s">
        <v>12</v>
      </c>
    </row>
    <row r="14" spans="1:2" x14ac:dyDescent="0.4">
      <c r="A14" t="s">
        <v>19</v>
      </c>
      <c r="B14" t="s">
        <v>20</v>
      </c>
    </row>
    <row r="15" spans="1:2" x14ac:dyDescent="0.4">
      <c r="A15" t="s">
        <v>40</v>
      </c>
      <c r="B15" t="s">
        <v>41</v>
      </c>
    </row>
    <row r="17" spans="1:4" x14ac:dyDescent="0.4">
      <c r="A17" s="1" t="s">
        <v>31</v>
      </c>
      <c r="B17" s="3" t="s">
        <v>33</v>
      </c>
      <c r="C17" s="3" t="s">
        <v>149</v>
      </c>
      <c r="D17" t="s">
        <v>64</v>
      </c>
    </row>
    <row r="18" spans="1:4" x14ac:dyDescent="0.4">
      <c r="A18" t="s">
        <v>43</v>
      </c>
      <c r="B18" t="s">
        <v>30</v>
      </c>
    </row>
    <row r="19" spans="1:4" x14ac:dyDescent="0.4">
      <c r="A19" t="s">
        <v>44</v>
      </c>
      <c r="B19" t="s">
        <v>32</v>
      </c>
    </row>
    <row r="20" spans="1:4" x14ac:dyDescent="0.4">
      <c r="A20" t="s">
        <v>45</v>
      </c>
      <c r="B20" t="s">
        <v>34</v>
      </c>
    </row>
    <row r="21" spans="1:4" x14ac:dyDescent="0.4">
      <c r="A21" t="s">
        <v>46</v>
      </c>
      <c r="B21" t="s">
        <v>30</v>
      </c>
    </row>
    <row r="22" spans="1:4" x14ac:dyDescent="0.4">
      <c r="A22" t="s">
        <v>47</v>
      </c>
      <c r="B22" t="s">
        <v>32</v>
      </c>
    </row>
    <row r="23" spans="1:4" x14ac:dyDescent="0.4">
      <c r="A23" t="s">
        <v>48</v>
      </c>
      <c r="B23" t="s">
        <v>34</v>
      </c>
    </row>
    <row r="24" spans="1:4" x14ac:dyDescent="0.4">
      <c r="A24" t="s">
        <v>49</v>
      </c>
      <c r="D24" s="3" t="s">
        <v>50</v>
      </c>
    </row>
    <row r="25" spans="1:4" x14ac:dyDescent="0.4">
      <c r="A25" t="s">
        <v>51</v>
      </c>
      <c r="D25" s="3" t="s">
        <v>52</v>
      </c>
    </row>
    <row r="26" spans="1:4" x14ac:dyDescent="0.4">
      <c r="A26" t="s">
        <v>53</v>
      </c>
      <c r="D26" s="3" t="s">
        <v>54</v>
      </c>
    </row>
    <row r="27" spans="1:4" x14ac:dyDescent="0.4">
      <c r="A27" t="s">
        <v>55</v>
      </c>
      <c r="D27" s="3" t="s">
        <v>50</v>
      </c>
    </row>
    <row r="28" spans="1:4" x14ac:dyDescent="0.4">
      <c r="A28" t="s">
        <v>56</v>
      </c>
      <c r="D28" s="3" t="s">
        <v>52</v>
      </c>
    </row>
    <row r="29" spans="1:4" x14ac:dyDescent="0.4">
      <c r="A29" t="s">
        <v>57</v>
      </c>
      <c r="D29" s="3" t="s">
        <v>54</v>
      </c>
    </row>
    <row r="30" spans="1:4" x14ac:dyDescent="0.4">
      <c r="A30" t="s">
        <v>58</v>
      </c>
      <c r="B30" t="s">
        <v>59</v>
      </c>
    </row>
    <row r="31" spans="1:4" x14ac:dyDescent="0.4">
      <c r="A31" t="s">
        <v>60</v>
      </c>
      <c r="B31" t="s">
        <v>61</v>
      </c>
    </row>
    <row r="32" spans="1:4" x14ac:dyDescent="0.4">
      <c r="A32" t="s">
        <v>62</v>
      </c>
      <c r="B32" t="s">
        <v>59</v>
      </c>
    </row>
    <row r="33" spans="1:4" x14ac:dyDescent="0.4">
      <c r="A33" t="s">
        <v>63</v>
      </c>
      <c r="B33" t="s">
        <v>61</v>
      </c>
    </row>
    <row r="34" spans="1:4" x14ac:dyDescent="0.4">
      <c r="A34" t="s">
        <v>71</v>
      </c>
      <c r="B34" t="s">
        <v>72</v>
      </c>
      <c r="D34" s="3"/>
    </row>
    <row r="35" spans="1:4" x14ac:dyDescent="0.4">
      <c r="A35" t="s">
        <v>73</v>
      </c>
      <c r="B35" t="s">
        <v>74</v>
      </c>
      <c r="D35" s="3"/>
    </row>
    <row r="36" spans="1:4" x14ac:dyDescent="0.4">
      <c r="A36" t="s">
        <v>75</v>
      </c>
      <c r="B36" t="s">
        <v>76</v>
      </c>
    </row>
    <row r="37" spans="1:4" x14ac:dyDescent="0.4">
      <c r="A37" t="s">
        <v>77</v>
      </c>
      <c r="B37" t="s">
        <v>78</v>
      </c>
    </row>
    <row r="38" spans="1:4" x14ac:dyDescent="0.4">
      <c r="A38" t="s">
        <v>79</v>
      </c>
      <c r="B38" t="s">
        <v>72</v>
      </c>
    </row>
    <row r="39" spans="1:4" x14ac:dyDescent="0.4">
      <c r="A39" t="s">
        <v>80</v>
      </c>
      <c r="B39" t="s">
        <v>74</v>
      </c>
    </row>
    <row r="40" spans="1:4" x14ac:dyDescent="0.4">
      <c r="A40" t="s">
        <v>81</v>
      </c>
      <c r="B40" t="s">
        <v>76</v>
      </c>
    </row>
    <row r="41" spans="1:4" x14ac:dyDescent="0.4">
      <c r="A41" t="s">
        <v>82</v>
      </c>
      <c r="B41" t="s">
        <v>78</v>
      </c>
    </row>
    <row r="42" spans="1:4" x14ac:dyDescent="0.4">
      <c r="A42" t="s">
        <v>146</v>
      </c>
      <c r="C42" t="s">
        <v>147</v>
      </c>
    </row>
    <row r="43" spans="1:4" x14ac:dyDescent="0.4">
      <c r="A43" t="s">
        <v>148</v>
      </c>
      <c r="C43" t="s">
        <v>147</v>
      </c>
    </row>
  </sheetData>
  <hyperlinks>
    <hyperlink ref="B17" r:id="rId1"/>
    <hyperlink ref="D24" r:id="rId2" display="https://iea-etsap.org/E-TechDS/PDF/E01-coal-fired-power-GS-AD-gct_FINAL.pdf"/>
    <hyperlink ref="D25" r:id="rId3" display="https://iea-etsap.org/E-TechDS/PDF/E02-gas_fired_power-GS-AD-gct_FINAL.pdf"/>
    <hyperlink ref="D26" r:id="rId4" display="https://iea-etsap.org/E-TechDS/PDF/E03-Nuclear-Power-GS-AD-gct_FINAL.pdf"/>
    <hyperlink ref="D27" r:id="rId5" display="https://iea-etsap.org/E-TechDS/PDF/E01-coal-fired-power-GS-AD-gct_FINAL.pdf"/>
    <hyperlink ref="D28" r:id="rId6" display="https://iea-etsap.org/E-TechDS/PDF/E02-gas_fired_power-GS-AD-gct_FINAL.pdf"/>
    <hyperlink ref="D29" r:id="rId7" display="https://iea-etsap.org/E-TechDS/PDF/E03-Nuclear-Power-GS-AD-gct_FINAL.pdf"/>
    <hyperlink ref="C17" r:id="rId8" display="Sheet in technology data (2020)"/>
  </hyperlinks>
  <pageMargins left="0.7" right="0.7" top="0.75" bottom="0.75" header="0.3" footer="0.3"/>
  <pageSetup paperSize="9"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defaultRowHeight="14.6" x14ac:dyDescent="0.4"/>
  <sheetData>
    <row r="1" spans="1:8" x14ac:dyDescent="0.4">
      <c r="A1" t="s">
        <v>120</v>
      </c>
      <c r="B1" t="s">
        <v>9</v>
      </c>
      <c r="C1" t="s">
        <v>58</v>
      </c>
      <c r="D1" t="s">
        <v>60</v>
      </c>
      <c r="E1" t="s">
        <v>62</v>
      </c>
      <c r="F1" t="s">
        <v>63</v>
      </c>
      <c r="G1" t="s">
        <v>75</v>
      </c>
      <c r="H1" t="s">
        <v>81</v>
      </c>
    </row>
    <row r="2" spans="1:8" x14ac:dyDescent="0.4">
      <c r="A2">
        <v>1</v>
      </c>
      <c r="B2">
        <v>1</v>
      </c>
      <c r="C2">
        <v>1</v>
      </c>
      <c r="D2">
        <v>0</v>
      </c>
      <c r="E2">
        <v>0.7</v>
      </c>
      <c r="F2">
        <v>0.05</v>
      </c>
      <c r="G2">
        <v>0.15</v>
      </c>
      <c r="H2">
        <v>0.15</v>
      </c>
    </row>
    <row r="3" spans="1:8" x14ac:dyDescent="0.4">
      <c r="A3">
        <v>2</v>
      </c>
      <c r="B3">
        <v>1</v>
      </c>
      <c r="C3">
        <v>0.5</v>
      </c>
      <c r="D3">
        <v>0.3</v>
      </c>
      <c r="E3">
        <v>0.2</v>
      </c>
      <c r="F3">
        <v>0.4</v>
      </c>
      <c r="G3">
        <v>0.25</v>
      </c>
      <c r="H3">
        <v>0.25</v>
      </c>
    </row>
    <row r="4" spans="1:8" x14ac:dyDescent="0.4">
      <c r="A4">
        <v>3</v>
      </c>
      <c r="B4">
        <v>1</v>
      </c>
      <c r="C4">
        <v>0.25</v>
      </c>
      <c r="D4">
        <v>0.4</v>
      </c>
      <c r="E4">
        <v>0.6</v>
      </c>
      <c r="F4">
        <v>0.3</v>
      </c>
      <c r="G4">
        <v>0.25</v>
      </c>
      <c r="H4">
        <v>0.25</v>
      </c>
    </row>
    <row r="5" spans="1:8" x14ac:dyDescent="0.4">
      <c r="A5">
        <v>4</v>
      </c>
      <c r="B5">
        <v>1</v>
      </c>
      <c r="C5">
        <v>0.8</v>
      </c>
      <c r="D5">
        <v>0.05</v>
      </c>
      <c r="E5">
        <v>1</v>
      </c>
      <c r="F5">
        <v>0</v>
      </c>
      <c r="G5">
        <v>0.15</v>
      </c>
      <c r="H5">
        <v>0.15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P25" sqref="P25"/>
    </sheetView>
  </sheetViews>
  <sheetFormatPr defaultRowHeight="14.6" x14ac:dyDescent="0.4"/>
  <cols>
    <col min="1" max="1" width="21.53515625" bestFit="1" customWidth="1"/>
  </cols>
  <sheetData>
    <row r="1" spans="1:2" x14ac:dyDescent="0.4">
      <c r="A1" t="s">
        <v>130</v>
      </c>
      <c r="B1">
        <v>25</v>
      </c>
    </row>
    <row r="2" spans="1:2" x14ac:dyDescent="0.4">
      <c r="A2" t="s">
        <v>131</v>
      </c>
      <c r="B2">
        <v>20</v>
      </c>
    </row>
    <row r="3" spans="1:2" x14ac:dyDescent="0.4">
      <c r="A3" t="s">
        <v>121</v>
      </c>
      <c r="B3">
        <v>0.05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N17" sqref="N17"/>
    </sheetView>
  </sheetViews>
  <sheetFormatPr defaultRowHeight="14.6" x14ac:dyDescent="0.4"/>
  <sheetData>
    <row r="1" spans="1:4" x14ac:dyDescent="0.4">
      <c r="A1" s="8" t="s">
        <v>161</v>
      </c>
      <c r="B1" s="8" t="s">
        <v>162</v>
      </c>
      <c r="C1" t="s">
        <v>163</v>
      </c>
      <c r="D1" t="s">
        <v>164</v>
      </c>
    </row>
    <row r="2" spans="1:4" x14ac:dyDescent="0.4">
      <c r="A2" t="s">
        <v>21</v>
      </c>
      <c r="B2">
        <v>40</v>
      </c>
      <c r="C2" t="s">
        <v>21</v>
      </c>
      <c r="D2">
        <v>0.1</v>
      </c>
    </row>
    <row r="3" spans="1:4" x14ac:dyDescent="0.4">
      <c r="A3" t="s">
        <v>22</v>
      </c>
      <c r="B3">
        <v>40</v>
      </c>
      <c r="C3" t="s">
        <v>22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4.6" x14ac:dyDescent="0.4"/>
  <cols>
    <col min="1" max="1" width="13.15234375" bestFit="1" customWidth="1"/>
    <col min="2" max="2" width="18.69140625" bestFit="1" customWidth="1"/>
    <col min="3" max="3" width="20.69140625" bestFit="1" customWidth="1"/>
    <col min="4" max="4" width="30.3828125" bestFit="1" customWidth="1"/>
    <col min="5" max="5" width="34.15234375" bestFit="1" customWidth="1"/>
    <col min="6" max="6" width="25.3046875" bestFit="1" customWidth="1"/>
    <col min="7" max="7" width="24" bestFit="1" customWidth="1"/>
  </cols>
  <sheetData>
    <row r="1" spans="1:7" x14ac:dyDescent="0.4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 x14ac:dyDescent="0.4">
      <c r="A2" t="s">
        <v>0</v>
      </c>
      <c r="B2" s="4">
        <v>2.3624622108362896</v>
      </c>
      <c r="C2" t="s">
        <v>0</v>
      </c>
      <c r="D2" t="s">
        <v>94</v>
      </c>
      <c r="E2">
        <v>9.4370000000000009E-2</v>
      </c>
      <c r="F2" t="s">
        <v>94</v>
      </c>
      <c r="G2">
        <v>0</v>
      </c>
    </row>
    <row r="3" spans="1:7" x14ac:dyDescent="0.4">
      <c r="A3" t="s">
        <v>1</v>
      </c>
      <c r="B3" s="4">
        <v>5.0462416510206998</v>
      </c>
      <c r="C3" t="s">
        <v>1</v>
      </c>
      <c r="D3" t="s">
        <v>94</v>
      </c>
      <c r="E3">
        <v>5.7000000000000002E-2</v>
      </c>
    </row>
    <row r="4" spans="1:7" x14ac:dyDescent="0.4">
      <c r="A4" t="s">
        <v>14</v>
      </c>
      <c r="B4" s="4">
        <v>10.335570469798657</v>
      </c>
      <c r="C4" t="s">
        <v>14</v>
      </c>
      <c r="D4" t="s">
        <v>94</v>
      </c>
      <c r="E4">
        <v>0</v>
      </c>
    </row>
    <row r="5" spans="1:7" x14ac:dyDescent="0.4">
      <c r="A5" t="s">
        <v>65</v>
      </c>
      <c r="B5" s="4">
        <v>0.47</v>
      </c>
      <c r="C5" t="s">
        <v>65</v>
      </c>
      <c r="D5" t="s">
        <v>94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E1" sqref="E1"/>
    </sheetView>
  </sheetViews>
  <sheetFormatPr defaultRowHeight="14.6" x14ac:dyDescent="0.4"/>
  <cols>
    <col min="2" max="2" width="14.3046875" bestFit="1" customWidth="1"/>
    <col min="3" max="3" width="19.3046875" bestFit="1" customWidth="1"/>
    <col min="4" max="4" width="17.53515625" bestFit="1" customWidth="1"/>
    <col min="5" max="5" width="31.15234375" bestFit="1" customWidth="1"/>
    <col min="7" max="7" width="14.84375" bestFit="1" customWidth="1"/>
    <col min="8" max="8" width="19.84375" bestFit="1" customWidth="1"/>
    <col min="9" max="9" width="17.84375" bestFit="1" customWidth="1"/>
    <col min="10" max="10" width="31.69140625" bestFit="1" customWidth="1"/>
  </cols>
  <sheetData>
    <row r="1" spans="1:10" x14ac:dyDescent="0.4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</row>
    <row r="2" spans="1:10" x14ac:dyDescent="0.4">
      <c r="A2" t="s">
        <v>103</v>
      </c>
      <c r="B2">
        <v>400</v>
      </c>
      <c r="C2" t="s">
        <v>103</v>
      </c>
      <c r="D2">
        <v>1</v>
      </c>
      <c r="E2">
        <v>0.1</v>
      </c>
      <c r="F2" t="s">
        <v>103</v>
      </c>
      <c r="G2">
        <v>400</v>
      </c>
      <c r="H2" t="s">
        <v>103</v>
      </c>
      <c r="I2">
        <v>1</v>
      </c>
      <c r="J2">
        <v>0.1</v>
      </c>
    </row>
    <row r="3" spans="1:10" x14ac:dyDescent="0.4">
      <c r="A3" t="s">
        <v>104</v>
      </c>
      <c r="B3">
        <v>400</v>
      </c>
      <c r="C3" t="s">
        <v>103</v>
      </c>
      <c r="D3">
        <v>2</v>
      </c>
      <c r="E3">
        <v>0.3</v>
      </c>
      <c r="F3" t="s">
        <v>104</v>
      </c>
      <c r="G3">
        <v>400</v>
      </c>
      <c r="H3" t="s">
        <v>103</v>
      </c>
      <c r="I3">
        <v>2</v>
      </c>
      <c r="J3">
        <v>0.3</v>
      </c>
    </row>
    <row r="4" spans="1:10" x14ac:dyDescent="0.4">
      <c r="C4" t="s">
        <v>103</v>
      </c>
      <c r="D4">
        <v>3</v>
      </c>
      <c r="E4">
        <v>0.5</v>
      </c>
      <c r="H4" t="s">
        <v>103</v>
      </c>
      <c r="I4">
        <v>3</v>
      </c>
      <c r="J4">
        <v>0.5</v>
      </c>
    </row>
    <row r="5" spans="1:10" x14ac:dyDescent="0.4">
      <c r="C5" t="s">
        <v>103</v>
      </c>
      <c r="D5">
        <v>4</v>
      </c>
      <c r="E5">
        <f>1-SUM(E2:E4)</f>
        <v>9.9999999999999978E-2</v>
      </c>
      <c r="H5" t="s">
        <v>103</v>
      </c>
      <c r="I5">
        <v>4</v>
      </c>
      <c r="J5">
        <f>1-SUM(J2:J4)</f>
        <v>9.9999999999999978E-2</v>
      </c>
    </row>
    <row r="6" spans="1:10" x14ac:dyDescent="0.4">
      <c r="C6" t="s">
        <v>104</v>
      </c>
      <c r="D6">
        <v>1</v>
      </c>
      <c r="E6">
        <v>0.1</v>
      </c>
      <c r="H6" t="s">
        <v>104</v>
      </c>
      <c r="I6">
        <v>1</v>
      </c>
      <c r="J6">
        <v>0.1</v>
      </c>
    </row>
    <row r="7" spans="1:10" x14ac:dyDescent="0.4">
      <c r="C7" t="s">
        <v>104</v>
      </c>
      <c r="D7">
        <v>2</v>
      </c>
      <c r="E7">
        <v>0.3</v>
      </c>
      <c r="H7" t="s">
        <v>104</v>
      </c>
      <c r="I7">
        <v>2</v>
      </c>
      <c r="J7">
        <v>0.3</v>
      </c>
    </row>
    <row r="8" spans="1:10" x14ac:dyDescent="0.4">
      <c r="C8" t="s">
        <v>104</v>
      </c>
      <c r="D8">
        <v>3</v>
      </c>
      <c r="E8">
        <v>0.5</v>
      </c>
      <c r="H8" t="s">
        <v>104</v>
      </c>
      <c r="I8">
        <v>3</v>
      </c>
      <c r="J8">
        <v>0.5</v>
      </c>
    </row>
    <row r="9" spans="1:10" x14ac:dyDescent="0.4">
      <c r="C9" t="s">
        <v>104</v>
      </c>
      <c r="D9">
        <v>4</v>
      </c>
      <c r="E9">
        <f>1-SUM(E6:E8)</f>
        <v>9.9999999999999978E-2</v>
      </c>
      <c r="H9" t="s">
        <v>104</v>
      </c>
      <c r="I9">
        <v>4</v>
      </c>
      <c r="J9">
        <f>1-SUM(J6:J8)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Y29" sqref="Y29"/>
    </sheetView>
  </sheetViews>
  <sheetFormatPr defaultRowHeight="14.6" x14ac:dyDescent="0.4"/>
  <cols>
    <col min="1" max="1" width="9.53515625" bestFit="1" customWidth="1"/>
  </cols>
  <sheetData>
    <row r="1" spans="1:4" x14ac:dyDescent="0.4">
      <c r="A1" s="1" t="s">
        <v>142</v>
      </c>
      <c r="B1" s="1" t="s">
        <v>143</v>
      </c>
      <c r="C1" s="1" t="s">
        <v>144</v>
      </c>
      <c r="D1" s="1" t="s">
        <v>145</v>
      </c>
    </row>
    <row r="2" spans="1:4" x14ac:dyDescent="0.4">
      <c r="A2" t="s">
        <v>103</v>
      </c>
      <c r="B2" t="s">
        <v>21</v>
      </c>
      <c r="C2" t="s">
        <v>103</v>
      </c>
      <c r="D2" t="s">
        <v>21</v>
      </c>
    </row>
    <row r="3" spans="1:4" x14ac:dyDescent="0.4">
      <c r="A3" t="s">
        <v>104</v>
      </c>
      <c r="B3" t="s">
        <v>22</v>
      </c>
      <c r="C3" t="s">
        <v>104</v>
      </c>
      <c r="D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1" sqref="D1"/>
    </sheetView>
  </sheetViews>
  <sheetFormatPr defaultRowHeight="14.6" x14ac:dyDescent="0.4"/>
  <sheetData>
    <row r="1" spans="1:9" x14ac:dyDescent="0.4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</row>
    <row r="2" spans="1:9" x14ac:dyDescent="0.4">
      <c r="A2" t="s">
        <v>21</v>
      </c>
      <c r="B2" t="s">
        <v>22</v>
      </c>
      <c r="C2">
        <v>25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4">
      <c r="A3" t="s">
        <v>22</v>
      </c>
      <c r="B3" t="s">
        <v>21</v>
      </c>
      <c r="C3">
        <v>25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115" zoomScaleNormal="115" workbookViewId="0">
      <selection activeCell="K22" sqref="K22"/>
    </sheetView>
  </sheetViews>
  <sheetFormatPr defaultRowHeight="14.6" x14ac:dyDescent="0.4"/>
  <cols>
    <col min="1" max="1" width="14.69140625" bestFit="1" customWidth="1"/>
    <col min="2" max="2" width="11.84375" bestFit="1" customWidth="1"/>
    <col min="3" max="3" width="16.53515625" bestFit="1" customWidth="1"/>
    <col min="4" max="4" width="18.15234375" bestFit="1" customWidth="1"/>
    <col min="5" max="5" width="31.15234375" bestFit="1" customWidth="1"/>
    <col min="6" max="6" width="21.15234375" bestFit="1" customWidth="1"/>
    <col min="7" max="7" width="37.3046875" bestFit="1" customWidth="1"/>
    <col min="8" max="8" width="14.69140625" bestFit="1" customWidth="1"/>
    <col min="9" max="9" width="18.15234375" bestFit="1" customWidth="1"/>
    <col min="10" max="10" width="14.69140625" bestFit="1" customWidth="1"/>
    <col min="11" max="11" width="10.53515625" bestFit="1" customWidth="1"/>
    <col min="12" max="12" width="15.15234375" bestFit="1" customWidth="1"/>
    <col min="13" max="13" width="20.69140625" bestFit="1" customWidth="1"/>
    <col min="14" max="14" width="14.69140625" bestFit="1" customWidth="1"/>
    <col min="15" max="15" width="8.3828125" bestFit="1" customWidth="1"/>
  </cols>
  <sheetData>
    <row r="1" spans="1:15" x14ac:dyDescent="0.4">
      <c r="A1" s="1" t="s">
        <v>25</v>
      </c>
      <c r="B1" s="1" t="s">
        <v>26</v>
      </c>
      <c r="C1" s="1" t="s">
        <v>27</v>
      </c>
      <c r="D1" s="1" t="s">
        <v>126</v>
      </c>
      <c r="E1" s="1" t="s">
        <v>127</v>
      </c>
      <c r="F1" s="1" t="s">
        <v>129</v>
      </c>
      <c r="G1" s="1" t="s">
        <v>128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35</v>
      </c>
      <c r="M1" s="1" t="s">
        <v>39</v>
      </c>
      <c r="N1" s="1" t="s">
        <v>28</v>
      </c>
      <c r="O1" s="1" t="s">
        <v>29</v>
      </c>
    </row>
    <row r="2" spans="1:15" x14ac:dyDescent="0.4">
      <c r="A2" t="s">
        <v>43</v>
      </c>
      <c r="B2" t="s">
        <v>0</v>
      </c>
      <c r="C2">
        <f>1/0.49</f>
        <v>2.0408163265306123</v>
      </c>
      <c r="D2" t="s">
        <v>43</v>
      </c>
      <c r="E2">
        <v>25</v>
      </c>
      <c r="F2" t="s">
        <v>71</v>
      </c>
      <c r="G2">
        <v>10</v>
      </c>
      <c r="H2" t="s">
        <v>43</v>
      </c>
      <c r="I2">
        <v>2.9</v>
      </c>
      <c r="J2" t="s">
        <v>43</v>
      </c>
      <c r="K2" s="2">
        <f>31000/(3.6*1000)</f>
        <v>8.6111111111111107</v>
      </c>
      <c r="L2" t="s">
        <v>36</v>
      </c>
      <c r="M2" s="2">
        <f>1.9/3.6</f>
        <v>0.52777777777777779</v>
      </c>
      <c r="N2" t="s">
        <v>43</v>
      </c>
      <c r="O2">
        <v>0.84</v>
      </c>
    </row>
    <row r="3" spans="1:15" x14ac:dyDescent="0.4">
      <c r="A3" t="s">
        <v>44</v>
      </c>
      <c r="B3" t="s">
        <v>1</v>
      </c>
      <c r="C3">
        <f>1/0.51</f>
        <v>1.9607843137254901</v>
      </c>
      <c r="D3" t="s">
        <v>44</v>
      </c>
      <c r="E3">
        <v>25</v>
      </c>
      <c r="F3" t="s">
        <v>73</v>
      </c>
      <c r="G3">
        <v>10</v>
      </c>
      <c r="H3" t="s">
        <v>44</v>
      </c>
      <c r="I3">
        <v>4.4000000000000004</v>
      </c>
      <c r="J3" t="s">
        <v>44</v>
      </c>
      <c r="K3" s="2">
        <f>29300/(3.6*1000)</f>
        <v>8.1388888888888893</v>
      </c>
      <c r="L3" t="s">
        <v>37</v>
      </c>
      <c r="M3" s="2">
        <f>1.3/3.6</f>
        <v>0.3611111111111111</v>
      </c>
      <c r="N3" t="s">
        <v>44</v>
      </c>
      <c r="O3">
        <v>1.3</v>
      </c>
    </row>
    <row r="4" spans="1:15" x14ac:dyDescent="0.4">
      <c r="A4" t="s">
        <v>45</v>
      </c>
      <c r="B4" t="s">
        <v>14</v>
      </c>
      <c r="C4">
        <f>1/0.31</f>
        <v>3.2258064516129035</v>
      </c>
      <c r="D4" t="s">
        <v>45</v>
      </c>
      <c r="E4">
        <v>25</v>
      </c>
      <c r="F4" t="s">
        <v>75</v>
      </c>
      <c r="G4">
        <v>25</v>
      </c>
      <c r="H4" t="s">
        <v>45</v>
      </c>
      <c r="I4">
        <v>0.56999999999999995</v>
      </c>
      <c r="J4" t="s">
        <v>45</v>
      </c>
      <c r="K4" s="2">
        <f>124000/(3.6*1000)</f>
        <v>34.444444444444443</v>
      </c>
      <c r="L4" t="s">
        <v>38</v>
      </c>
      <c r="M4" s="2">
        <f>3.01/3.6</f>
        <v>0.83611111111111103</v>
      </c>
      <c r="N4" t="s">
        <v>45</v>
      </c>
      <c r="O4">
        <v>0.46</v>
      </c>
    </row>
    <row r="5" spans="1:15" x14ac:dyDescent="0.4">
      <c r="A5" t="s">
        <v>46</v>
      </c>
      <c r="B5" t="s">
        <v>0</v>
      </c>
      <c r="C5">
        <f>1/0.49</f>
        <v>2.0408163265306123</v>
      </c>
      <c r="D5" t="s">
        <v>46</v>
      </c>
      <c r="E5">
        <v>50</v>
      </c>
      <c r="F5" t="s">
        <v>77</v>
      </c>
      <c r="G5">
        <v>25</v>
      </c>
      <c r="H5" t="s">
        <v>46</v>
      </c>
      <c r="I5">
        <v>2.9</v>
      </c>
      <c r="J5" t="s">
        <v>46</v>
      </c>
      <c r="K5" s="2">
        <f>31000/(3.6*1000)</f>
        <v>8.6111111111111107</v>
      </c>
      <c r="L5" t="s">
        <v>66</v>
      </c>
      <c r="M5" s="2">
        <f>2000*1000/(3.6*1000000)</f>
        <v>0.55555555555555558</v>
      </c>
      <c r="N5" t="s">
        <v>46</v>
      </c>
      <c r="O5">
        <v>0.84</v>
      </c>
    </row>
    <row r="6" spans="1:15" x14ac:dyDescent="0.4">
      <c r="A6" t="s">
        <v>47</v>
      </c>
      <c r="B6" t="s">
        <v>1</v>
      </c>
      <c r="C6">
        <f>1/0.51</f>
        <v>1.9607843137254901</v>
      </c>
      <c r="D6" t="s">
        <v>47</v>
      </c>
      <c r="E6">
        <v>50</v>
      </c>
      <c r="F6" t="s">
        <v>79</v>
      </c>
      <c r="G6">
        <v>20</v>
      </c>
      <c r="H6" t="s">
        <v>47</v>
      </c>
      <c r="I6">
        <v>4.4000000000000004</v>
      </c>
      <c r="J6" t="s">
        <v>47</v>
      </c>
      <c r="K6" s="2">
        <f>29300/(3.6*1000)</f>
        <v>8.1388888888888893</v>
      </c>
      <c r="L6" t="s">
        <v>67</v>
      </c>
      <c r="M6" s="2">
        <f>1000*1000/(3.6*1000000)</f>
        <v>0.27777777777777779</v>
      </c>
      <c r="N6" t="s">
        <v>47</v>
      </c>
      <c r="O6">
        <v>1.3</v>
      </c>
    </row>
    <row r="7" spans="1:15" x14ac:dyDescent="0.4">
      <c r="A7" t="s">
        <v>48</v>
      </c>
      <c r="B7" t="s">
        <v>14</v>
      </c>
      <c r="C7">
        <f>1/0.31</f>
        <v>3.2258064516129035</v>
      </c>
      <c r="D7" t="s">
        <v>48</v>
      </c>
      <c r="E7">
        <v>50</v>
      </c>
      <c r="F7" t="s">
        <v>80</v>
      </c>
      <c r="G7">
        <v>20</v>
      </c>
      <c r="H7" t="s">
        <v>48</v>
      </c>
      <c r="I7">
        <v>0.56999999999999995</v>
      </c>
      <c r="J7" t="s">
        <v>48</v>
      </c>
      <c r="K7" s="2">
        <f>124000/(3.6*1000)</f>
        <v>34.444444444444443</v>
      </c>
      <c r="L7" t="s">
        <v>68</v>
      </c>
      <c r="M7" s="2">
        <f>2500*1000/(3.6*1000000)</f>
        <v>0.69444444444444442</v>
      </c>
      <c r="N7" t="s">
        <v>48</v>
      </c>
      <c r="O7">
        <v>0.46</v>
      </c>
    </row>
    <row r="8" spans="1:15" x14ac:dyDescent="0.4">
      <c r="A8" t="s">
        <v>49</v>
      </c>
      <c r="B8" t="s">
        <v>0</v>
      </c>
      <c r="C8">
        <f>1/0.5</f>
        <v>2</v>
      </c>
      <c r="D8" t="s">
        <v>49</v>
      </c>
      <c r="E8">
        <v>10</v>
      </c>
      <c r="F8" t="s">
        <v>81</v>
      </c>
      <c r="G8">
        <v>50</v>
      </c>
      <c r="H8" t="s">
        <v>49</v>
      </c>
      <c r="I8">
        <v>2</v>
      </c>
      <c r="J8" t="s">
        <v>49</v>
      </c>
      <c r="K8" s="2">
        <f>88*1000/(3.6*1000)</f>
        <v>24.444444444444443</v>
      </c>
      <c r="L8" t="s">
        <v>69</v>
      </c>
      <c r="M8" s="2">
        <f>2.12/3.6</f>
        <v>0.58888888888888891</v>
      </c>
      <c r="N8" t="s">
        <v>77</v>
      </c>
      <c r="O8">
        <f>-1/3.5</f>
        <v>-0.2857142857142857</v>
      </c>
    </row>
    <row r="9" spans="1:15" x14ac:dyDescent="0.4">
      <c r="A9" t="s">
        <v>51</v>
      </c>
      <c r="B9" t="s">
        <v>1</v>
      </c>
      <c r="C9">
        <f>1/0.6</f>
        <v>1.6666666666666667</v>
      </c>
      <c r="D9" t="s">
        <v>51</v>
      </c>
      <c r="E9">
        <v>10</v>
      </c>
      <c r="F9" t="s">
        <v>82</v>
      </c>
      <c r="G9">
        <v>50</v>
      </c>
      <c r="H9" t="s">
        <v>51</v>
      </c>
      <c r="I9">
        <v>2</v>
      </c>
      <c r="J9" t="s">
        <v>51</v>
      </c>
      <c r="K9" s="2">
        <f>30*1000/(3.6*1000)</f>
        <v>8.3333333333333339</v>
      </c>
      <c r="L9" t="s">
        <v>70</v>
      </c>
      <c r="M9" s="2">
        <f>0.56/3.6</f>
        <v>0.15555555555555556</v>
      </c>
      <c r="N9" t="s">
        <v>82</v>
      </c>
      <c r="O9">
        <f>-1/3.5</f>
        <v>-0.2857142857142857</v>
      </c>
    </row>
    <row r="10" spans="1:15" x14ac:dyDescent="0.4">
      <c r="A10" t="s">
        <v>53</v>
      </c>
      <c r="B10" t="s">
        <v>65</v>
      </c>
      <c r="C10">
        <f>1/0.5</f>
        <v>2</v>
      </c>
      <c r="D10" t="s">
        <v>53</v>
      </c>
      <c r="E10">
        <v>10</v>
      </c>
      <c r="H10" t="s">
        <v>53</v>
      </c>
      <c r="I10">
        <v>3</v>
      </c>
      <c r="J10" t="s">
        <v>53</v>
      </c>
      <c r="K10" s="2">
        <f>10*1000/(3.6*1000)</f>
        <v>2.7777777777777777</v>
      </c>
      <c r="L10" t="s">
        <v>83</v>
      </c>
      <c r="M10" s="2">
        <f>0.71/3.6</f>
        <v>0.19722222222222222</v>
      </c>
    </row>
    <row r="11" spans="1:15" x14ac:dyDescent="0.4">
      <c r="A11" t="s">
        <v>55</v>
      </c>
      <c r="B11" t="s">
        <v>0</v>
      </c>
      <c r="C11">
        <f>1/0.5</f>
        <v>2</v>
      </c>
      <c r="D11" t="s">
        <v>55</v>
      </c>
      <c r="E11">
        <v>25</v>
      </c>
      <c r="H11" t="s">
        <v>55</v>
      </c>
      <c r="I11">
        <v>2</v>
      </c>
      <c r="J11" t="s">
        <v>55</v>
      </c>
      <c r="K11" s="2">
        <f>88*1000/(3.6*1000)</f>
        <v>24.444444444444443</v>
      </c>
      <c r="L11" t="s">
        <v>84</v>
      </c>
      <c r="M11" s="2">
        <f>0.06/3.6</f>
        <v>1.6666666666666666E-2</v>
      </c>
    </row>
    <row r="12" spans="1:15" x14ac:dyDescent="0.4">
      <c r="A12" t="s">
        <v>56</v>
      </c>
      <c r="B12" t="s">
        <v>1</v>
      </c>
      <c r="C12">
        <f>1/0.6</f>
        <v>1.6666666666666667</v>
      </c>
      <c r="D12" t="s">
        <v>56</v>
      </c>
      <c r="E12">
        <v>25</v>
      </c>
      <c r="H12" t="s">
        <v>56</v>
      </c>
      <c r="I12">
        <v>2</v>
      </c>
      <c r="J12" t="s">
        <v>56</v>
      </c>
      <c r="K12" s="2">
        <f>30*1000/(3.6*1000)</f>
        <v>8.3333333333333339</v>
      </c>
      <c r="L12" t="s">
        <v>85</v>
      </c>
      <c r="M12" s="2">
        <f>0.31/3.6</f>
        <v>8.611111111111111E-2</v>
      </c>
    </row>
    <row r="13" spans="1:15" x14ac:dyDescent="0.4">
      <c r="A13" t="s">
        <v>57</v>
      </c>
      <c r="B13" t="s">
        <v>65</v>
      </c>
      <c r="C13">
        <f>1/0.5</f>
        <v>2</v>
      </c>
      <c r="D13" t="s">
        <v>57</v>
      </c>
      <c r="E13">
        <v>25</v>
      </c>
      <c r="H13" t="s">
        <v>57</v>
      </c>
      <c r="I13">
        <v>3</v>
      </c>
      <c r="J13" t="s">
        <v>57</v>
      </c>
      <c r="K13" s="2">
        <f>10*1000/(3.6*1000)</f>
        <v>2.7777777777777777</v>
      </c>
      <c r="L13" t="s">
        <v>86</v>
      </c>
      <c r="M13" s="2">
        <f>0.86/3.6</f>
        <v>0.23888888888888887</v>
      </c>
    </row>
    <row r="14" spans="1:15" x14ac:dyDescent="0.4">
      <c r="A14" t="s">
        <v>71</v>
      </c>
      <c r="B14" t="s">
        <v>14</v>
      </c>
      <c r="C14">
        <f>1/1.01</f>
        <v>0.99009900990099009</v>
      </c>
      <c r="D14" t="s">
        <v>58</v>
      </c>
      <c r="E14">
        <v>50</v>
      </c>
      <c r="H14" t="s">
        <v>58</v>
      </c>
      <c r="I14">
        <v>5</v>
      </c>
      <c r="J14" t="s">
        <v>58</v>
      </c>
      <c r="K14" s="2">
        <f>50000/(3.6*1000)</f>
        <v>13.888888888888889</v>
      </c>
    </row>
    <row r="15" spans="1:15" x14ac:dyDescent="0.4">
      <c r="A15" t="s">
        <v>73</v>
      </c>
      <c r="B15" t="s">
        <v>1</v>
      </c>
      <c r="C15">
        <f>1/1.05</f>
        <v>0.95238095238095233</v>
      </c>
      <c r="D15" t="s">
        <v>60</v>
      </c>
      <c r="E15">
        <v>50</v>
      </c>
      <c r="H15" t="s">
        <v>60</v>
      </c>
      <c r="I15">
        <v>0</v>
      </c>
      <c r="J15" t="s">
        <v>60</v>
      </c>
      <c r="K15" s="2">
        <f>11300/(3.6*1000)</f>
        <v>3.1388888888888888</v>
      </c>
    </row>
    <row r="16" spans="1:15" x14ac:dyDescent="0.4">
      <c r="A16" t="s">
        <v>79</v>
      </c>
      <c r="B16" t="s">
        <v>14</v>
      </c>
      <c r="C16">
        <f>1/1.01</f>
        <v>0.99009900990099009</v>
      </c>
      <c r="D16" t="s">
        <v>62</v>
      </c>
      <c r="E16">
        <v>100</v>
      </c>
      <c r="H16" t="s">
        <v>62</v>
      </c>
      <c r="I16">
        <v>5</v>
      </c>
      <c r="J16" t="s">
        <v>62</v>
      </c>
      <c r="K16" s="2">
        <f>50000/(3.6*1000)</f>
        <v>13.888888888888889</v>
      </c>
    </row>
    <row r="17" spans="1:11" x14ac:dyDescent="0.4">
      <c r="A17" t="s">
        <v>80</v>
      </c>
      <c r="B17" t="s">
        <v>1</v>
      </c>
      <c r="C17">
        <f>1/1.05</f>
        <v>0.95238095238095233</v>
      </c>
      <c r="D17" t="s">
        <v>63</v>
      </c>
      <c r="E17">
        <v>100</v>
      </c>
      <c r="H17" t="s">
        <v>63</v>
      </c>
      <c r="I17">
        <v>0</v>
      </c>
      <c r="J17" t="s">
        <v>63</v>
      </c>
      <c r="K17" s="2">
        <f>11300/(3.6*1000)</f>
        <v>3.1388888888888888</v>
      </c>
    </row>
    <row r="18" spans="1:11" x14ac:dyDescent="0.4">
      <c r="H18" t="s">
        <v>71</v>
      </c>
      <c r="I18">
        <v>1.96</v>
      </c>
      <c r="J18" t="s">
        <v>71</v>
      </c>
      <c r="K18" s="2">
        <f>32700/(3.6*1000)</f>
        <v>9.0833333333333339</v>
      </c>
    </row>
    <row r="19" spans="1:11" x14ac:dyDescent="0.4">
      <c r="H19" t="s">
        <v>73</v>
      </c>
      <c r="I19">
        <v>1.1000000000000001</v>
      </c>
      <c r="J19" t="s">
        <v>73</v>
      </c>
      <c r="K19" s="2">
        <f>1950/(3.6*1000)</f>
        <v>0.54166666666666663</v>
      </c>
    </row>
    <row r="20" spans="1:11" x14ac:dyDescent="0.4">
      <c r="H20" t="s">
        <v>75</v>
      </c>
      <c r="I20">
        <v>0.21</v>
      </c>
      <c r="J20" t="s">
        <v>75</v>
      </c>
      <c r="K20" s="2">
        <f>60.8/(3.6*1000)</f>
        <v>1.6888888888888887E-2</v>
      </c>
    </row>
    <row r="21" spans="1:11" x14ac:dyDescent="0.4">
      <c r="H21" t="s">
        <v>77</v>
      </c>
      <c r="I21">
        <v>1.69</v>
      </c>
      <c r="J21" t="s">
        <v>77</v>
      </c>
      <c r="K21" s="2">
        <f>2000/(3.6*1000)</f>
        <v>0.55555555555555558</v>
      </c>
    </row>
    <row r="22" spans="1:11" x14ac:dyDescent="0.4">
      <c r="H22" t="s">
        <v>79</v>
      </c>
      <c r="I22">
        <v>1.96</v>
      </c>
      <c r="J22" t="s">
        <v>79</v>
      </c>
      <c r="K22" s="2">
        <f>32700/(3.6*1000)</f>
        <v>9.0833333333333339</v>
      </c>
    </row>
    <row r="23" spans="1:11" x14ac:dyDescent="0.4">
      <c r="H23" t="s">
        <v>80</v>
      </c>
      <c r="I23">
        <v>1.1000000000000001</v>
      </c>
      <c r="J23" t="s">
        <v>80</v>
      </c>
      <c r="K23" s="2">
        <f>1950/(3.6*1000)</f>
        <v>0.54166666666666663</v>
      </c>
    </row>
    <row r="24" spans="1:11" x14ac:dyDescent="0.4">
      <c r="H24" t="s">
        <v>81</v>
      </c>
      <c r="I24">
        <v>0.21</v>
      </c>
      <c r="J24" t="s">
        <v>81</v>
      </c>
      <c r="K24" s="2">
        <f>60.8/(3.6*1000)</f>
        <v>1.6888888888888887E-2</v>
      </c>
    </row>
    <row r="25" spans="1:11" x14ac:dyDescent="0.4">
      <c r="H25" t="s">
        <v>82</v>
      </c>
      <c r="I25">
        <v>1.69</v>
      </c>
      <c r="J25" t="s">
        <v>82</v>
      </c>
      <c r="K25" s="2">
        <f>2000/(3.6*1000)</f>
        <v>0.55555555555555558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/>
  </sheetViews>
  <sheetFormatPr defaultRowHeight="14.6" x14ac:dyDescent="0.4"/>
  <cols>
    <col min="1" max="1" width="14.84375" bestFit="1" customWidth="1"/>
    <col min="2" max="2" width="12.3046875" bestFit="1" customWidth="1"/>
    <col min="3" max="3" width="14.84375" bestFit="1" customWidth="1"/>
    <col min="4" max="4" width="10.3046875" bestFit="1" customWidth="1"/>
    <col min="5" max="5" width="16.3828125" customWidth="1"/>
    <col min="7" max="7" width="20.69140625" bestFit="1" customWidth="1"/>
    <col min="8" max="8" width="21.3828125" bestFit="1" customWidth="1"/>
  </cols>
  <sheetData>
    <row r="1" spans="1:8" x14ac:dyDescent="0.4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122</v>
      </c>
      <c r="H1" s="1" t="s">
        <v>123</v>
      </c>
    </row>
    <row r="2" spans="1:8" x14ac:dyDescent="0.4">
      <c r="A2" t="s">
        <v>43</v>
      </c>
      <c r="B2" t="s">
        <v>36</v>
      </c>
      <c r="C2" t="s">
        <v>43</v>
      </c>
      <c r="D2" t="s">
        <v>9</v>
      </c>
      <c r="E2" t="s">
        <v>43</v>
      </c>
      <c r="F2" t="s">
        <v>21</v>
      </c>
      <c r="G2" t="s">
        <v>36</v>
      </c>
      <c r="H2" t="s">
        <v>42</v>
      </c>
    </row>
    <row r="3" spans="1:8" x14ac:dyDescent="0.4">
      <c r="A3" t="s">
        <v>44</v>
      </c>
      <c r="B3" t="s">
        <v>37</v>
      </c>
      <c r="C3" t="s">
        <v>44</v>
      </c>
      <c r="D3" t="s">
        <v>9</v>
      </c>
      <c r="E3" t="s">
        <v>44</v>
      </c>
      <c r="F3" t="s">
        <v>21</v>
      </c>
      <c r="G3" t="s">
        <v>37</v>
      </c>
      <c r="H3" t="s">
        <v>42</v>
      </c>
    </row>
    <row r="4" spans="1:8" x14ac:dyDescent="0.4">
      <c r="A4" t="s">
        <v>45</v>
      </c>
      <c r="B4" t="s">
        <v>38</v>
      </c>
      <c r="C4" t="s">
        <v>45</v>
      </c>
      <c r="D4" t="s">
        <v>9</v>
      </c>
      <c r="E4" t="s">
        <v>45</v>
      </c>
      <c r="F4" t="s">
        <v>21</v>
      </c>
      <c r="G4" t="s">
        <v>38</v>
      </c>
      <c r="H4" t="s">
        <v>42</v>
      </c>
    </row>
    <row r="5" spans="1:8" x14ac:dyDescent="0.4">
      <c r="A5" t="s">
        <v>46</v>
      </c>
      <c r="B5" t="s">
        <v>36</v>
      </c>
      <c r="C5" t="s">
        <v>46</v>
      </c>
      <c r="D5" t="s">
        <v>9</v>
      </c>
      <c r="E5" t="s">
        <v>46</v>
      </c>
      <c r="F5" t="s">
        <v>22</v>
      </c>
      <c r="G5" t="s">
        <v>66</v>
      </c>
      <c r="H5" t="s">
        <v>124</v>
      </c>
    </row>
    <row r="6" spans="1:8" x14ac:dyDescent="0.4">
      <c r="A6" t="s">
        <v>47</v>
      </c>
      <c r="B6" t="s">
        <v>37</v>
      </c>
      <c r="C6" t="s">
        <v>47</v>
      </c>
      <c r="D6" t="s">
        <v>9</v>
      </c>
      <c r="E6" t="s">
        <v>47</v>
      </c>
      <c r="F6" t="s">
        <v>22</v>
      </c>
      <c r="G6" t="s">
        <v>67</v>
      </c>
      <c r="H6" t="s">
        <v>124</v>
      </c>
    </row>
    <row r="7" spans="1:8" x14ac:dyDescent="0.4">
      <c r="A7" t="s">
        <v>48</v>
      </c>
      <c r="B7" t="s">
        <v>38</v>
      </c>
      <c r="C7" t="s">
        <v>48</v>
      </c>
      <c r="D7" t="s">
        <v>9</v>
      </c>
      <c r="E7" t="s">
        <v>48</v>
      </c>
      <c r="F7" t="s">
        <v>22</v>
      </c>
      <c r="G7" t="s">
        <v>68</v>
      </c>
      <c r="H7" t="s">
        <v>124</v>
      </c>
    </row>
    <row r="8" spans="1:8" x14ac:dyDescent="0.4">
      <c r="A8" t="s">
        <v>49</v>
      </c>
      <c r="B8" t="s">
        <v>66</v>
      </c>
      <c r="C8" t="s">
        <v>49</v>
      </c>
      <c r="D8" t="s">
        <v>9</v>
      </c>
      <c r="E8" t="s">
        <v>49</v>
      </c>
      <c r="F8" t="s">
        <v>21</v>
      </c>
      <c r="G8" t="s">
        <v>69</v>
      </c>
      <c r="H8" t="s">
        <v>124</v>
      </c>
    </row>
    <row r="9" spans="1:8" x14ac:dyDescent="0.4">
      <c r="A9" t="s">
        <v>51</v>
      </c>
      <c r="B9" t="s">
        <v>67</v>
      </c>
      <c r="C9" t="s">
        <v>51</v>
      </c>
      <c r="D9" t="s">
        <v>9</v>
      </c>
      <c r="E9" t="s">
        <v>51</v>
      </c>
      <c r="F9" t="s">
        <v>21</v>
      </c>
      <c r="G9" t="s">
        <v>70</v>
      </c>
      <c r="H9" t="s">
        <v>124</v>
      </c>
    </row>
    <row r="10" spans="1:8" x14ac:dyDescent="0.4">
      <c r="A10" t="s">
        <v>53</v>
      </c>
      <c r="B10" t="s">
        <v>68</v>
      </c>
      <c r="C10" t="s">
        <v>53</v>
      </c>
      <c r="D10" t="s">
        <v>9</v>
      </c>
      <c r="E10" t="s">
        <v>53</v>
      </c>
      <c r="F10" t="s">
        <v>21</v>
      </c>
      <c r="G10" t="s">
        <v>83</v>
      </c>
      <c r="H10" t="s">
        <v>125</v>
      </c>
    </row>
    <row r="11" spans="1:8" x14ac:dyDescent="0.4">
      <c r="A11" t="s">
        <v>55</v>
      </c>
      <c r="B11" t="s">
        <v>66</v>
      </c>
      <c r="C11" t="s">
        <v>55</v>
      </c>
      <c r="D11" t="s">
        <v>9</v>
      </c>
      <c r="E11" t="s">
        <v>55</v>
      </c>
      <c r="F11" t="s">
        <v>22</v>
      </c>
      <c r="G11" t="s">
        <v>84</v>
      </c>
      <c r="H11" t="s">
        <v>125</v>
      </c>
    </row>
    <row r="12" spans="1:8" x14ac:dyDescent="0.4">
      <c r="A12" t="s">
        <v>56</v>
      </c>
      <c r="B12" t="s">
        <v>67</v>
      </c>
      <c r="C12" t="s">
        <v>56</v>
      </c>
      <c r="D12" t="s">
        <v>9</v>
      </c>
      <c r="E12" t="s">
        <v>56</v>
      </c>
      <c r="F12" t="s">
        <v>22</v>
      </c>
      <c r="G12" t="s">
        <v>85</v>
      </c>
      <c r="H12" t="s">
        <v>125</v>
      </c>
    </row>
    <row r="13" spans="1:8" x14ac:dyDescent="0.4">
      <c r="A13" t="s">
        <v>57</v>
      </c>
      <c r="B13" t="s">
        <v>68</v>
      </c>
      <c r="C13" t="s">
        <v>57</v>
      </c>
      <c r="D13" t="s">
        <v>9</v>
      </c>
      <c r="E13" t="s">
        <v>57</v>
      </c>
      <c r="F13" t="s">
        <v>22</v>
      </c>
      <c r="G13" t="s">
        <v>86</v>
      </c>
      <c r="H13" t="s">
        <v>86</v>
      </c>
    </row>
    <row r="14" spans="1:8" x14ac:dyDescent="0.4">
      <c r="A14" t="s">
        <v>58</v>
      </c>
      <c r="B14" t="s">
        <v>69</v>
      </c>
      <c r="C14" t="s">
        <v>58</v>
      </c>
      <c r="D14" t="s">
        <v>58</v>
      </c>
      <c r="E14" t="s">
        <v>58</v>
      </c>
      <c r="F14" t="s">
        <v>21</v>
      </c>
    </row>
    <row r="15" spans="1:8" x14ac:dyDescent="0.4">
      <c r="A15" t="s">
        <v>60</v>
      </c>
      <c r="B15" t="s">
        <v>70</v>
      </c>
      <c r="C15" t="s">
        <v>60</v>
      </c>
      <c r="D15" t="s">
        <v>60</v>
      </c>
      <c r="E15" t="s">
        <v>60</v>
      </c>
      <c r="F15" t="s">
        <v>21</v>
      </c>
    </row>
    <row r="16" spans="1:8" x14ac:dyDescent="0.4">
      <c r="A16" t="s">
        <v>62</v>
      </c>
      <c r="B16" t="s">
        <v>69</v>
      </c>
      <c r="C16" t="s">
        <v>62</v>
      </c>
      <c r="D16" t="s">
        <v>62</v>
      </c>
      <c r="E16" t="s">
        <v>62</v>
      </c>
      <c r="F16" t="s">
        <v>22</v>
      </c>
    </row>
    <row r="17" spans="1:6" x14ac:dyDescent="0.4">
      <c r="A17" t="s">
        <v>63</v>
      </c>
      <c r="B17" t="s">
        <v>70</v>
      </c>
      <c r="C17" t="s">
        <v>63</v>
      </c>
      <c r="D17" t="s">
        <v>63</v>
      </c>
      <c r="E17" t="s">
        <v>63</v>
      </c>
      <c r="F17" t="s">
        <v>22</v>
      </c>
    </row>
    <row r="18" spans="1:6" x14ac:dyDescent="0.4">
      <c r="A18" t="s">
        <v>71</v>
      </c>
      <c r="B18" t="s">
        <v>83</v>
      </c>
      <c r="C18" t="s">
        <v>71</v>
      </c>
      <c r="D18" t="s">
        <v>9</v>
      </c>
      <c r="E18" t="s">
        <v>71</v>
      </c>
      <c r="F18" t="s">
        <v>21</v>
      </c>
    </row>
    <row r="19" spans="1:6" x14ac:dyDescent="0.4">
      <c r="A19" t="s">
        <v>73</v>
      </c>
      <c r="B19" t="s">
        <v>84</v>
      </c>
      <c r="C19" t="s">
        <v>73</v>
      </c>
      <c r="D19" t="s">
        <v>9</v>
      </c>
      <c r="E19" t="s">
        <v>73</v>
      </c>
      <c r="F19" t="s">
        <v>21</v>
      </c>
    </row>
    <row r="20" spans="1:6" x14ac:dyDescent="0.4">
      <c r="A20" t="s">
        <v>75</v>
      </c>
      <c r="B20" t="s">
        <v>85</v>
      </c>
      <c r="C20" t="s">
        <v>75</v>
      </c>
      <c r="D20" t="s">
        <v>75</v>
      </c>
      <c r="E20" t="s">
        <v>75</v>
      </c>
      <c r="F20" t="s">
        <v>21</v>
      </c>
    </row>
    <row r="21" spans="1:6" x14ac:dyDescent="0.4">
      <c r="A21" t="s">
        <v>77</v>
      </c>
      <c r="B21" t="s">
        <v>86</v>
      </c>
      <c r="C21" t="s">
        <v>77</v>
      </c>
      <c r="D21" t="s">
        <v>9</v>
      </c>
      <c r="E21" t="s">
        <v>77</v>
      </c>
      <c r="F21" t="s">
        <v>21</v>
      </c>
    </row>
    <row r="22" spans="1:6" x14ac:dyDescent="0.4">
      <c r="A22" t="s">
        <v>79</v>
      </c>
      <c r="B22" t="s">
        <v>83</v>
      </c>
      <c r="C22" t="s">
        <v>79</v>
      </c>
      <c r="D22" t="s">
        <v>9</v>
      </c>
      <c r="E22" t="s">
        <v>79</v>
      </c>
      <c r="F22" t="s">
        <v>22</v>
      </c>
    </row>
    <row r="23" spans="1:6" x14ac:dyDescent="0.4">
      <c r="A23" t="s">
        <v>80</v>
      </c>
      <c r="B23" t="s">
        <v>84</v>
      </c>
      <c r="C23" t="s">
        <v>80</v>
      </c>
      <c r="D23" t="s">
        <v>9</v>
      </c>
      <c r="E23" t="s">
        <v>80</v>
      </c>
      <c r="F23" t="s">
        <v>22</v>
      </c>
    </row>
    <row r="24" spans="1:6" x14ac:dyDescent="0.4">
      <c r="A24" t="s">
        <v>81</v>
      </c>
      <c r="B24" t="s">
        <v>85</v>
      </c>
      <c r="C24" t="s">
        <v>81</v>
      </c>
      <c r="D24" t="s">
        <v>81</v>
      </c>
      <c r="E24" t="s">
        <v>81</v>
      </c>
      <c r="F24" t="s">
        <v>22</v>
      </c>
    </row>
    <row r="25" spans="1:6" x14ac:dyDescent="0.4">
      <c r="A25" t="s">
        <v>82</v>
      </c>
      <c r="B25" t="s">
        <v>86</v>
      </c>
      <c r="C25" t="s">
        <v>82</v>
      </c>
      <c r="D25" t="s">
        <v>9</v>
      </c>
      <c r="E25" t="s">
        <v>82</v>
      </c>
      <c r="F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B13" sqref="B13"/>
    </sheetView>
  </sheetViews>
  <sheetFormatPr defaultRowHeight="14.6" x14ac:dyDescent="0.4"/>
  <cols>
    <col min="1" max="1" width="19.3828125" bestFit="1" customWidth="1"/>
    <col min="2" max="2" width="33.84375" bestFit="1" customWidth="1"/>
    <col min="8" max="8" width="9.3046875" bestFit="1" customWidth="1"/>
    <col min="9" max="9" width="7.3828125" bestFit="1" customWidth="1"/>
    <col min="10" max="10" width="9.53515625" bestFit="1" customWidth="1"/>
    <col min="11" max="11" width="15.53515625" bestFit="1" customWidth="1"/>
  </cols>
  <sheetData>
    <row r="1" spans="1:18" x14ac:dyDescent="0.4">
      <c r="A1" s="1" t="s">
        <v>129</v>
      </c>
      <c r="B1" s="1" t="s">
        <v>128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5</v>
      </c>
      <c r="N1" s="1" t="s">
        <v>6</v>
      </c>
      <c r="O1" s="1" t="s">
        <v>17</v>
      </c>
      <c r="P1" s="1" t="s">
        <v>18</v>
      </c>
      <c r="Q1" s="1" t="s">
        <v>35</v>
      </c>
      <c r="R1" s="1" t="s">
        <v>39</v>
      </c>
    </row>
    <row r="2" spans="1:18" x14ac:dyDescent="0.4">
      <c r="A2" t="s">
        <v>146</v>
      </c>
      <c r="B2">
        <v>5</v>
      </c>
      <c r="C2" t="s">
        <v>146</v>
      </c>
      <c r="D2">
        <f>B2</f>
        <v>5</v>
      </c>
      <c r="E2" t="s">
        <v>146</v>
      </c>
      <c r="F2" s="5">
        <f>B2*(175/3)/[1]Log!B$7</f>
        <v>48.611111111111114</v>
      </c>
      <c r="G2" t="s">
        <v>146</v>
      </c>
      <c r="H2">
        <v>1</v>
      </c>
      <c r="I2" t="s">
        <v>146</v>
      </c>
      <c r="J2">
        <v>1</v>
      </c>
      <c r="K2" t="s">
        <v>146</v>
      </c>
      <c r="L2" s="6">
        <f>1-0.98^(1/(24/[1]Log!B$7))</f>
        <v>5.0379436073119122E-3</v>
      </c>
      <c r="M2" t="s">
        <v>146</v>
      </c>
      <c r="N2">
        <v>0</v>
      </c>
      <c r="O2" t="s">
        <v>146</v>
      </c>
      <c r="P2" s="7">
        <f>8.6/(3.6*1000)</f>
        <v>2.3888888888888887E-3</v>
      </c>
      <c r="Q2" t="s">
        <v>146</v>
      </c>
      <c r="R2" s="2">
        <v>3</v>
      </c>
    </row>
    <row r="3" spans="1:18" x14ac:dyDescent="0.4">
      <c r="A3" t="s">
        <v>148</v>
      </c>
      <c r="B3">
        <v>10</v>
      </c>
      <c r="C3" t="s">
        <v>148</v>
      </c>
      <c r="D3">
        <f>B3</f>
        <v>10</v>
      </c>
      <c r="E3" t="s">
        <v>148</v>
      </c>
      <c r="F3" s="5">
        <f>B3*(175/3)/[1]Log!B$7</f>
        <v>97.222222222222229</v>
      </c>
      <c r="G3" t="s">
        <v>148</v>
      </c>
      <c r="H3">
        <v>1</v>
      </c>
      <c r="I3" t="s">
        <v>148</v>
      </c>
      <c r="J3">
        <v>1</v>
      </c>
      <c r="K3" t="s">
        <v>148</v>
      </c>
      <c r="L3" s="6">
        <f>1-0.98^(1/(24/[1]Log!B$7))</f>
        <v>5.0379436073119122E-3</v>
      </c>
      <c r="M3" t="s">
        <v>148</v>
      </c>
      <c r="N3">
        <v>0</v>
      </c>
      <c r="O3" t="s">
        <v>148</v>
      </c>
      <c r="P3" s="7">
        <f>8.6/(3.6*1000)</f>
        <v>2.3888888888888887E-3</v>
      </c>
      <c r="Q3" t="s">
        <v>148</v>
      </c>
      <c r="R3" s="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30" zoomScaleNormal="130" workbookViewId="0">
      <selection activeCell="G7" sqref="G7"/>
    </sheetView>
  </sheetViews>
  <sheetFormatPr defaultRowHeight="14.6" x14ac:dyDescent="0.4"/>
  <cols>
    <col min="7" max="7" width="19.23046875" bestFit="1" customWidth="1"/>
    <col min="8" max="8" width="24.84375" bestFit="1" customWidth="1"/>
  </cols>
  <sheetData>
    <row r="1" spans="1:8" x14ac:dyDescent="0.4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122</v>
      </c>
      <c r="H1" s="1" t="s">
        <v>123</v>
      </c>
    </row>
    <row r="2" spans="1:8" x14ac:dyDescent="0.4">
      <c r="A2" t="s">
        <v>146</v>
      </c>
      <c r="B2" t="s">
        <v>160</v>
      </c>
      <c r="C2" t="s">
        <v>146</v>
      </c>
      <c r="D2" t="s">
        <v>9</v>
      </c>
      <c r="E2" t="s">
        <v>146</v>
      </c>
      <c r="F2" t="s">
        <v>21</v>
      </c>
      <c r="G2" t="s">
        <v>160</v>
      </c>
      <c r="H2" t="s">
        <v>160</v>
      </c>
    </row>
    <row r="3" spans="1:8" x14ac:dyDescent="0.4">
      <c r="A3" t="s">
        <v>148</v>
      </c>
      <c r="B3" t="s">
        <v>160</v>
      </c>
      <c r="C3" t="s">
        <v>148</v>
      </c>
      <c r="D3" t="s">
        <v>9</v>
      </c>
      <c r="E3" t="s">
        <v>148</v>
      </c>
      <c r="F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StorageVariables</vt:lpstr>
      <vt:lpstr>StorageMaps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2022-12-30T09:39:41Z</dcterms:modified>
</cp:coreProperties>
</file>