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E:\Ph.D MJU\Thesis\12_VBA\การพัฒนา\ReCiPe 2008\"/>
    </mc:Choice>
  </mc:AlternateContent>
  <xr:revisionPtr revIDLastSave="0" documentId="8_{B8195044-89D5-4E08-B997-88CE21DAEE9C}" xr6:coauthVersionLast="47" xr6:coauthVersionMax="47" xr10:uidLastSave="{00000000-0000-0000-0000-000000000000}"/>
  <bookViews>
    <workbookView xWindow="-108" yWindow="-108" windowWidth="19416" windowHeight="10296" activeTab="1" xr2:uid="{26C215BC-BB51-421E-84EB-93CE6F0952D2}"/>
  </bookViews>
  <sheets>
    <sheet name="Method" sheetId="1" r:id="rId1"/>
    <sheet name="Midpoint" sheetId="2" r:id="rId2"/>
    <sheet name="Endpoint" sheetId="3" r:id="rId3"/>
    <sheet name="Single scor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2" l="1"/>
  <c r="G18" i="2"/>
  <c r="U142" i="2"/>
  <c r="O142" i="2"/>
  <c r="N142" i="2"/>
  <c r="M142" i="2"/>
  <c r="K142" i="2"/>
  <c r="J142" i="2"/>
  <c r="I142" i="2"/>
  <c r="H142" i="2"/>
  <c r="U141" i="2"/>
  <c r="O141" i="2"/>
  <c r="N141" i="2"/>
  <c r="J141" i="2"/>
  <c r="I141" i="2"/>
  <c r="H141" i="2"/>
  <c r="U140" i="2"/>
  <c r="O140" i="2"/>
  <c r="K140" i="2"/>
  <c r="J140" i="2"/>
  <c r="H140" i="2"/>
  <c r="U138" i="2"/>
  <c r="O138" i="2"/>
  <c r="N138" i="2"/>
  <c r="M138" i="2"/>
  <c r="K138" i="2"/>
  <c r="I138" i="2"/>
  <c r="H138" i="2"/>
  <c r="U135" i="2"/>
  <c r="O135" i="2"/>
  <c r="N135" i="2"/>
  <c r="M135" i="2"/>
  <c r="K135" i="2"/>
  <c r="J135" i="2"/>
  <c r="I135" i="2"/>
  <c r="H135" i="2"/>
  <c r="U134" i="2"/>
  <c r="N134" i="2"/>
  <c r="J134" i="2"/>
  <c r="I134" i="2"/>
  <c r="H134" i="2"/>
  <c r="N132" i="2"/>
  <c r="K132" i="2"/>
  <c r="O130" i="2"/>
  <c r="H130" i="2"/>
  <c r="I128" i="2"/>
  <c r="J128" i="2"/>
  <c r="K128" i="2"/>
  <c r="M128" i="2"/>
  <c r="N128" i="2"/>
  <c r="O128" i="2"/>
  <c r="P128" i="2"/>
  <c r="Q128" i="2"/>
  <c r="R128" i="2"/>
  <c r="S128" i="2"/>
  <c r="T128" i="2"/>
  <c r="U128" i="2"/>
  <c r="V128" i="2"/>
  <c r="X128" i="2"/>
  <c r="G128" i="2"/>
  <c r="W129" i="2"/>
  <c r="W128" i="2" s="1"/>
  <c r="L129" i="2"/>
  <c r="L128" i="2" s="1"/>
  <c r="H129" i="2"/>
  <c r="H128" i="2" s="1"/>
  <c r="H116" i="2"/>
  <c r="I116" i="2"/>
  <c r="J116" i="2"/>
  <c r="K116" i="2"/>
  <c r="L116" i="2"/>
  <c r="M116" i="2"/>
  <c r="N116" i="2"/>
  <c r="O116" i="2"/>
  <c r="P116" i="2"/>
  <c r="Q116" i="2"/>
  <c r="R116" i="2"/>
  <c r="S116" i="2"/>
  <c r="T116" i="2"/>
  <c r="U116" i="2"/>
  <c r="V116" i="2"/>
  <c r="W116" i="2"/>
  <c r="X116" i="2"/>
  <c r="H117" i="2"/>
  <c r="I117" i="2"/>
  <c r="J117" i="2"/>
  <c r="K117" i="2"/>
  <c r="L117" i="2"/>
  <c r="M117" i="2"/>
  <c r="N117" i="2"/>
  <c r="O117" i="2"/>
  <c r="P117" i="2"/>
  <c r="Q117" i="2"/>
  <c r="R117" i="2"/>
  <c r="S117" i="2"/>
  <c r="T117" i="2"/>
  <c r="U117" i="2"/>
  <c r="V117" i="2"/>
  <c r="W117" i="2"/>
  <c r="X117" i="2"/>
  <c r="H118" i="2"/>
  <c r="I118" i="2"/>
  <c r="J118" i="2"/>
  <c r="K118" i="2"/>
  <c r="L118" i="2"/>
  <c r="M118" i="2"/>
  <c r="N118" i="2"/>
  <c r="O118" i="2"/>
  <c r="P118" i="2"/>
  <c r="Q118" i="2"/>
  <c r="R118" i="2"/>
  <c r="S118" i="2"/>
  <c r="T118" i="2"/>
  <c r="U118" i="2"/>
  <c r="V118" i="2"/>
  <c r="W118" i="2"/>
  <c r="X118" i="2"/>
  <c r="H119" i="2"/>
  <c r="I119" i="2"/>
  <c r="J119" i="2"/>
  <c r="K119" i="2"/>
  <c r="L119" i="2"/>
  <c r="M119" i="2"/>
  <c r="N119" i="2"/>
  <c r="O119" i="2"/>
  <c r="P119" i="2"/>
  <c r="Q119" i="2"/>
  <c r="R119" i="2"/>
  <c r="S119" i="2"/>
  <c r="T119" i="2"/>
  <c r="U119" i="2"/>
  <c r="V119" i="2"/>
  <c r="W119" i="2"/>
  <c r="X119" i="2"/>
  <c r="H120" i="2"/>
  <c r="I120" i="2"/>
  <c r="J120" i="2"/>
  <c r="K120" i="2"/>
  <c r="L120" i="2"/>
  <c r="M120" i="2"/>
  <c r="N120" i="2"/>
  <c r="O120" i="2"/>
  <c r="P120" i="2"/>
  <c r="Q120" i="2"/>
  <c r="R120" i="2"/>
  <c r="S120" i="2"/>
  <c r="T120" i="2"/>
  <c r="U120" i="2"/>
  <c r="V120" i="2"/>
  <c r="W120" i="2"/>
  <c r="X120" i="2"/>
  <c r="H121" i="2"/>
  <c r="I121" i="2"/>
  <c r="J121" i="2"/>
  <c r="K121" i="2"/>
  <c r="L121" i="2"/>
  <c r="M121" i="2"/>
  <c r="N121" i="2"/>
  <c r="O121" i="2"/>
  <c r="P121" i="2"/>
  <c r="Q121" i="2"/>
  <c r="R121" i="2"/>
  <c r="S121" i="2"/>
  <c r="T121" i="2"/>
  <c r="U121" i="2"/>
  <c r="V121" i="2"/>
  <c r="W121" i="2"/>
  <c r="X121" i="2"/>
  <c r="H122" i="2"/>
  <c r="I122" i="2"/>
  <c r="J122" i="2"/>
  <c r="K122" i="2"/>
  <c r="L122" i="2"/>
  <c r="M122" i="2"/>
  <c r="N122" i="2"/>
  <c r="O122" i="2"/>
  <c r="P122" i="2"/>
  <c r="Q122" i="2"/>
  <c r="R122" i="2"/>
  <c r="S122" i="2"/>
  <c r="T122" i="2"/>
  <c r="U122" i="2"/>
  <c r="V122" i="2"/>
  <c r="W122" i="2"/>
  <c r="X122" i="2"/>
  <c r="H123" i="2"/>
  <c r="I123" i="2"/>
  <c r="J123" i="2"/>
  <c r="K123" i="2"/>
  <c r="L123" i="2"/>
  <c r="M123" i="2"/>
  <c r="N123" i="2"/>
  <c r="O123" i="2"/>
  <c r="P123" i="2"/>
  <c r="Q123" i="2"/>
  <c r="R123" i="2"/>
  <c r="S123" i="2"/>
  <c r="T123" i="2"/>
  <c r="U123" i="2"/>
  <c r="V123" i="2"/>
  <c r="W123" i="2"/>
  <c r="X123" i="2"/>
  <c r="H124" i="2"/>
  <c r="I124" i="2"/>
  <c r="J124" i="2"/>
  <c r="K124" i="2"/>
  <c r="L124" i="2"/>
  <c r="M124" i="2"/>
  <c r="N124" i="2"/>
  <c r="O124" i="2"/>
  <c r="P124" i="2"/>
  <c r="Q124" i="2"/>
  <c r="R124" i="2"/>
  <c r="S124" i="2"/>
  <c r="T124" i="2"/>
  <c r="U124" i="2"/>
  <c r="V124" i="2"/>
  <c r="W124" i="2"/>
  <c r="X124" i="2"/>
  <c r="H125" i="2"/>
  <c r="I125" i="2"/>
  <c r="J125" i="2"/>
  <c r="K125" i="2"/>
  <c r="L125" i="2"/>
  <c r="M125" i="2"/>
  <c r="N125" i="2"/>
  <c r="O125" i="2"/>
  <c r="P125" i="2"/>
  <c r="Q125" i="2"/>
  <c r="R125" i="2"/>
  <c r="S125" i="2"/>
  <c r="T125" i="2"/>
  <c r="U125" i="2"/>
  <c r="V125" i="2"/>
  <c r="W125" i="2"/>
  <c r="X125" i="2"/>
  <c r="G117" i="2"/>
  <c r="G118" i="2"/>
  <c r="G119" i="2"/>
  <c r="G120" i="2"/>
  <c r="G121" i="2"/>
  <c r="G122" i="2"/>
  <c r="G123" i="2"/>
  <c r="G124" i="2"/>
  <c r="G125" i="2"/>
  <c r="G116" i="2"/>
  <c r="H115" i="2"/>
  <c r="I115" i="2"/>
  <c r="J115" i="2"/>
  <c r="K115" i="2"/>
  <c r="L115" i="2"/>
  <c r="M115" i="2"/>
  <c r="N115" i="2"/>
  <c r="O115" i="2"/>
  <c r="P115" i="2"/>
  <c r="Q115" i="2"/>
  <c r="R115" i="2"/>
  <c r="S115" i="2"/>
  <c r="T115" i="2"/>
  <c r="U115" i="2"/>
  <c r="V115" i="2"/>
  <c r="W115" i="2"/>
  <c r="X115" i="2"/>
  <c r="G115" i="2"/>
  <c r="V113" i="2" l="1"/>
  <c r="U113" i="2"/>
  <c r="P113" i="2"/>
  <c r="O113" i="2"/>
  <c r="K113" i="2"/>
  <c r="J113" i="2"/>
  <c r="H113" i="2"/>
  <c r="H112" i="2"/>
  <c r="H109" i="2"/>
  <c r="J108" i="2"/>
  <c r="K107" i="2"/>
  <c r="J87" i="2"/>
  <c r="H87" i="2"/>
  <c r="X80" i="2"/>
  <c r="X127" i="2" s="1"/>
  <c r="W80" i="2"/>
  <c r="W127" i="2" s="1"/>
  <c r="V80" i="2"/>
  <c r="V127" i="2" s="1"/>
  <c r="U80" i="2"/>
  <c r="U127" i="2" s="1"/>
  <c r="T80" i="2"/>
  <c r="T127" i="2" s="1"/>
  <c r="S80" i="2"/>
  <c r="S127" i="2" s="1"/>
  <c r="R80" i="2"/>
  <c r="R127" i="2" s="1"/>
  <c r="Q80" i="2"/>
  <c r="Q127" i="2" s="1"/>
  <c r="P80" i="2"/>
  <c r="P127" i="2" s="1"/>
  <c r="O80" i="2"/>
  <c r="O127" i="2" s="1"/>
  <c r="N80" i="2"/>
  <c r="N127" i="2" s="1"/>
  <c r="M80" i="2"/>
  <c r="M127" i="2" s="1"/>
  <c r="L80" i="2"/>
  <c r="L127" i="2" s="1"/>
  <c r="K80" i="2"/>
  <c r="K127" i="2" s="1"/>
  <c r="J80" i="2"/>
  <c r="J127" i="2" s="1"/>
  <c r="I80" i="2"/>
  <c r="I127" i="2" s="1"/>
  <c r="H80" i="2"/>
  <c r="H127" i="2" s="1"/>
  <c r="G80" i="2"/>
  <c r="G127" i="2" s="1"/>
  <c r="E80" i="2"/>
  <c r="X76" i="2"/>
  <c r="X126" i="2" s="1"/>
  <c r="W76" i="2"/>
  <c r="W126" i="2" s="1"/>
  <c r="V76" i="2"/>
  <c r="V126" i="2" s="1"/>
  <c r="U76" i="2"/>
  <c r="U126" i="2" s="1"/>
  <c r="T76" i="2"/>
  <c r="T126" i="2" s="1"/>
  <c r="S76" i="2"/>
  <c r="S126" i="2" s="1"/>
  <c r="R76" i="2"/>
  <c r="R126" i="2" s="1"/>
  <c r="Q76" i="2"/>
  <c r="Q126" i="2" s="1"/>
  <c r="P76" i="2"/>
  <c r="P126" i="2" s="1"/>
  <c r="O76" i="2"/>
  <c r="O126" i="2" s="1"/>
  <c r="N76" i="2"/>
  <c r="N126" i="2" s="1"/>
  <c r="M76" i="2"/>
  <c r="M126" i="2" s="1"/>
  <c r="L76" i="2"/>
  <c r="L126" i="2" s="1"/>
  <c r="K76" i="2"/>
  <c r="K126" i="2" s="1"/>
  <c r="J76" i="2"/>
  <c r="J126" i="2" s="1"/>
  <c r="I76" i="2"/>
  <c r="I126" i="2" s="1"/>
  <c r="H76" i="2"/>
  <c r="H126" i="2" s="1"/>
  <c r="G76" i="2"/>
  <c r="G126" i="2" s="1"/>
  <c r="E76" i="2"/>
  <c r="H64" i="2"/>
  <c r="X62" i="2"/>
  <c r="W62" i="2"/>
  <c r="V62" i="2"/>
  <c r="U62" i="2"/>
  <c r="T62" i="2"/>
  <c r="S62" i="2"/>
  <c r="R62" i="2"/>
  <c r="Q62" i="2"/>
  <c r="P62" i="2"/>
  <c r="O62" i="2"/>
  <c r="N62" i="2"/>
  <c r="M62" i="2"/>
  <c r="L62" i="2"/>
  <c r="K62" i="2"/>
  <c r="J62" i="2"/>
  <c r="I62" i="2"/>
  <c r="H62" i="2"/>
  <c r="G62" i="2"/>
  <c r="L58" i="2"/>
  <c r="H58" i="2"/>
  <c r="H57" i="2"/>
  <c r="H56" i="2"/>
  <c r="P55" i="2"/>
  <c r="O55" i="2"/>
  <c r="J55" i="2"/>
  <c r="H55" i="2"/>
  <c r="P54" i="2"/>
  <c r="O54" i="2"/>
  <c r="J54" i="2"/>
  <c r="H54" i="2"/>
  <c r="O53" i="2"/>
  <c r="J53" i="2"/>
  <c r="H53" i="2"/>
  <c r="P48" i="2"/>
  <c r="O48" i="2"/>
  <c r="J48" i="2"/>
  <c r="H48" i="2"/>
  <c r="H42" i="2"/>
  <c r="H37" i="2"/>
  <c r="H36" i="2"/>
  <c r="X33" i="2"/>
  <c r="W33" i="2"/>
  <c r="V33" i="2"/>
  <c r="U33" i="2"/>
  <c r="T33" i="2"/>
  <c r="S33" i="2"/>
  <c r="R33" i="2"/>
  <c r="Q33" i="2"/>
  <c r="P33" i="2"/>
  <c r="O33" i="2"/>
  <c r="N33" i="2"/>
  <c r="M33" i="2"/>
  <c r="L33" i="2"/>
  <c r="K33" i="2"/>
  <c r="J33" i="2"/>
  <c r="I33" i="2"/>
  <c r="H34" i="2"/>
  <c r="H33" i="2" s="1"/>
  <c r="H32" i="2"/>
  <c r="H28" i="2"/>
  <c r="H24" i="2"/>
  <c r="H23" i="2"/>
  <c r="H22" i="2"/>
  <c r="U20" i="2"/>
  <c r="O20" i="2"/>
  <c r="K20" i="2"/>
  <c r="J20" i="2"/>
  <c r="H20" i="2"/>
  <c r="X18" i="2"/>
  <c r="W18" i="2"/>
  <c r="V18" i="2"/>
  <c r="U18" i="2"/>
  <c r="T18" i="2"/>
  <c r="S18" i="2"/>
  <c r="R18" i="2"/>
  <c r="Q18" i="2"/>
  <c r="P18" i="2"/>
  <c r="O18" i="2"/>
  <c r="N18" i="2"/>
  <c r="M18" i="2"/>
  <c r="L18" i="2"/>
  <c r="K18" i="2"/>
  <c r="J18" i="2"/>
  <c r="I18" i="2"/>
  <c r="H18" i="2"/>
  <c r="U17" i="2"/>
  <c r="O17" i="2"/>
  <c r="K17" i="2"/>
  <c r="J17" i="2"/>
  <c r="H17" i="2"/>
  <c r="H15" i="2"/>
  <c r="U14" i="2"/>
  <c r="O14" i="2"/>
  <c r="K14" i="2"/>
  <c r="J14" i="2"/>
  <c r="H14" i="2"/>
  <c r="U9" i="2"/>
  <c r="H9" i="2"/>
  <c r="C4" i="2" l="1"/>
  <c r="G41" i="2" s="1"/>
  <c r="Q41" i="2" l="1"/>
  <c r="I41" i="2"/>
  <c r="N41" i="2"/>
  <c r="S41" i="2"/>
  <c r="X41" i="2"/>
  <c r="P41" i="2"/>
  <c r="O41" i="2"/>
  <c r="V41" i="2"/>
  <c r="J41" i="2"/>
  <c r="W41" i="2"/>
  <c r="U41" i="2"/>
  <c r="M41" i="2"/>
  <c r="T41" i="2"/>
  <c r="L41" i="2"/>
  <c r="K41" i="2"/>
  <c r="R41" i="2"/>
  <c r="H41" i="2"/>
</calcChain>
</file>

<file path=xl/sharedStrings.xml><?xml version="1.0" encoding="utf-8"?>
<sst xmlns="http://schemas.openxmlformats.org/spreadsheetml/2006/main" count="650" uniqueCount="307">
  <si>
    <t>Method</t>
  </si>
  <si>
    <t>ReCiPe Midpoint (H) V1.13 / World Recipe H</t>
  </si>
  <si>
    <t>Name</t>
  </si>
  <si>
    <t>ReCiPe Midpoint (H)</t>
  </si>
  <si>
    <t>Version</t>
  </si>
  <si>
    <t>Normalization</t>
  </si>
  <si>
    <t>World Recipe H</t>
  </si>
  <si>
    <t>Weighting set</t>
  </si>
  <si>
    <t>Impact category</t>
  </si>
  <si>
    <t>Abbreviation</t>
  </si>
  <si>
    <t>Unit</t>
  </si>
  <si>
    <t>Climate change</t>
  </si>
  <si>
    <t>CC</t>
  </si>
  <si>
    <r>
      <t>kg CO</t>
    </r>
    <r>
      <rPr>
        <vertAlign val="subscript"/>
        <sz val="12"/>
        <color theme="1"/>
        <rFont val="Times New Roman"/>
        <family val="1"/>
      </rPr>
      <t>2</t>
    </r>
    <r>
      <rPr>
        <sz val="12"/>
        <color theme="1"/>
        <rFont val="Times New Roman"/>
        <family val="1"/>
      </rPr>
      <t xml:space="preserve"> eq</t>
    </r>
  </si>
  <si>
    <t>Ozone depletion</t>
  </si>
  <si>
    <t>OD</t>
  </si>
  <si>
    <t>kg CFC-11 eq</t>
  </si>
  <si>
    <t>Terrestrial acidification</t>
  </si>
  <si>
    <t>TA</t>
  </si>
  <si>
    <r>
      <t>kg SO</t>
    </r>
    <r>
      <rPr>
        <vertAlign val="subscript"/>
        <sz val="12"/>
        <color theme="1"/>
        <rFont val="Times New Roman"/>
        <family val="1"/>
      </rPr>
      <t>2</t>
    </r>
    <r>
      <rPr>
        <sz val="12"/>
        <color theme="1"/>
        <rFont val="Times New Roman"/>
        <family val="1"/>
      </rPr>
      <t xml:space="preserve"> eq</t>
    </r>
  </si>
  <si>
    <t>Freshwater eutrophication</t>
  </si>
  <si>
    <t>FE</t>
  </si>
  <si>
    <t>kg P eq</t>
  </si>
  <si>
    <t>Marine eutrophication</t>
  </si>
  <si>
    <t>ME</t>
  </si>
  <si>
    <t>kg N eq</t>
  </si>
  <si>
    <t>Human toxicity</t>
  </si>
  <si>
    <t>HT</t>
  </si>
  <si>
    <t>kg 1,4-DB eq</t>
  </si>
  <si>
    <t>Photochemical oxidant formation</t>
  </si>
  <si>
    <t>POF</t>
  </si>
  <si>
    <t>kg NMVOC</t>
  </si>
  <si>
    <t>Particulate matter formation</t>
  </si>
  <si>
    <t>PMF</t>
  </si>
  <si>
    <r>
      <t>kg PM</t>
    </r>
    <r>
      <rPr>
        <vertAlign val="subscript"/>
        <sz val="12"/>
        <color theme="1"/>
        <rFont val="Times New Roman"/>
        <family val="1"/>
      </rPr>
      <t>10</t>
    </r>
    <r>
      <rPr>
        <sz val="12"/>
        <color theme="1"/>
        <rFont val="Times New Roman"/>
        <family val="1"/>
      </rPr>
      <t xml:space="preserve"> eq</t>
    </r>
  </si>
  <si>
    <t>Terrestrial ecotoxicity</t>
  </si>
  <si>
    <t>TET</t>
  </si>
  <si>
    <t>Freshwater ecotoxicity</t>
  </si>
  <si>
    <t>FET</t>
  </si>
  <si>
    <t>Marine ecotoxicity</t>
  </si>
  <si>
    <t>MET</t>
  </si>
  <si>
    <t>Ionising radiation</t>
  </si>
  <si>
    <t>IR</t>
  </si>
  <si>
    <t>kBq U235 eq</t>
  </si>
  <si>
    <t>Agricultural land occupation</t>
  </si>
  <si>
    <t>ALO</t>
  </si>
  <si>
    <r>
      <t>m</t>
    </r>
    <r>
      <rPr>
        <vertAlign val="superscript"/>
        <sz val="12"/>
        <color theme="1"/>
        <rFont val="Times New Roman"/>
        <family val="1"/>
      </rPr>
      <t>2</t>
    </r>
    <r>
      <rPr>
        <sz val="12"/>
        <color theme="1"/>
        <rFont val="Times New Roman"/>
        <family val="1"/>
      </rPr>
      <t>a</t>
    </r>
  </si>
  <si>
    <t>Urban land occupation</t>
  </si>
  <si>
    <t>ULO</t>
  </si>
  <si>
    <t>Natural land transformation</t>
  </si>
  <si>
    <t>NLT</t>
  </si>
  <si>
    <r>
      <t>m</t>
    </r>
    <r>
      <rPr>
        <vertAlign val="superscript"/>
        <sz val="12"/>
        <color theme="1"/>
        <rFont val="Times New Roman"/>
        <family val="1"/>
      </rPr>
      <t>2</t>
    </r>
  </si>
  <si>
    <t>Water depletion</t>
  </si>
  <si>
    <t>WD</t>
  </si>
  <si>
    <r>
      <t>m</t>
    </r>
    <r>
      <rPr>
        <vertAlign val="superscript"/>
        <sz val="12"/>
        <color theme="1"/>
        <rFont val="Times New Roman"/>
        <family val="1"/>
      </rPr>
      <t>3</t>
    </r>
    <r>
      <rPr>
        <sz val="11"/>
        <color theme="1"/>
        <rFont val="Calibri"/>
        <family val="2"/>
        <scheme val="minor"/>
      </rPr>
      <t/>
    </r>
  </si>
  <si>
    <t>Metal depletion</t>
  </si>
  <si>
    <t>MD</t>
  </si>
  <si>
    <t>kg Fe eq</t>
  </si>
  <si>
    <t>Fossil depletion</t>
  </si>
  <si>
    <t>FD</t>
  </si>
  <si>
    <t>kg oil eq</t>
  </si>
  <si>
    <t>kg</t>
  </si>
  <si>
    <t>One cubic metre of concrete weighs 2.5 Tonnes (Cite: https://www.planete-tp.com/en/concrete-mix-design-a221.html)</t>
  </si>
  <si>
    <t>One cubic metre of Sawnwood weighs approximately 500 kg (Cite: https://europe.globaltimber.net/wp-content/uploads/2019/10/Global_Timber_Profile__Product_Catalouge_2019.pdf)</t>
  </si>
  <si>
    <t>No</t>
  </si>
  <si>
    <t>Substance</t>
  </si>
  <si>
    <t>Type</t>
  </si>
  <si>
    <t>Product</t>
  </si>
  <si>
    <t>Amount</t>
  </si>
  <si>
    <t>NLO</t>
  </si>
  <si>
    <t>kg CO2 eq</t>
  </si>
  <si>
    <t>kg SO2 eq</t>
  </si>
  <si>
    <t>kg PM10 eq</t>
  </si>
  <si>
    <t>m2a</t>
  </si>
  <si>
    <t>m2</t>
  </si>
  <si>
    <t>m3</t>
  </si>
  <si>
    <t>Raw materials</t>
  </si>
  <si>
    <t>Acrylonitrile-butadiene-styrene (ABS)</t>
  </si>
  <si>
    <t>Plastic</t>
  </si>
  <si>
    <t>Acrylonitrile-butadiene-styrene copolymer {GLO}| market for | APOS, U</t>
  </si>
  <si>
    <t>Alkyd paint</t>
  </si>
  <si>
    <t>Paint</t>
  </si>
  <si>
    <t>Alkyd paint, white, without solvent, in 60% solution state {RoW}| market for alkyd paint, white, without solvent, in 60% solution state | APOS, U</t>
  </si>
  <si>
    <t>Aluminium</t>
  </si>
  <si>
    <t>Aluminium, cast alloy {GLO}| market for | APOS, U</t>
  </si>
  <si>
    <t>Brass</t>
  </si>
  <si>
    <t>Brass {RoW}| market for brass | APOS, U</t>
  </si>
  <si>
    <t>Cast iron</t>
  </si>
  <si>
    <t>Steel</t>
  </si>
  <si>
    <t>Cast iron {GLO}| market for | APOS, U</t>
  </si>
  <si>
    <t>Cement</t>
  </si>
  <si>
    <t>Cement, unspecified {RoW}| market for cement, unspecified | APOS, U</t>
  </si>
  <si>
    <t>Ceramic tile</t>
  </si>
  <si>
    <t>Ceramic</t>
  </si>
  <si>
    <t>Ceramic tile {GLO}| market for | APOS, U</t>
  </si>
  <si>
    <t>Clay</t>
  </si>
  <si>
    <t>Clay {RoW}| market for clay | APOS, U</t>
  </si>
  <si>
    <t>Clay brick</t>
  </si>
  <si>
    <t>Clay brick {GLO}| market for | APOS, U</t>
  </si>
  <si>
    <t>Concrete</t>
  </si>
  <si>
    <t>Concrete, normal {GLO}| market group for concrete, normal | APOS, U</t>
  </si>
  <si>
    <t>หาร 2500 เพราะหน่วยเดิมคือ m3/unit</t>
  </si>
  <si>
    <t>Concrete block</t>
  </si>
  <si>
    <t>Concrete block {RoW}| market for concrete block | APOS, U</t>
  </si>
  <si>
    <t>Copper</t>
  </si>
  <si>
    <t>Copper {GLO}| market for | APOS, U</t>
  </si>
  <si>
    <t>Electronics control units</t>
  </si>
  <si>
    <t>Electronic</t>
  </si>
  <si>
    <t>Electronics, for control units {GLO}| market for | APOS, U</t>
  </si>
  <si>
    <t>EVA foil</t>
  </si>
  <si>
    <t>Ethylvinylacetate, foil {GLO}| market for | APOS, U</t>
  </si>
  <si>
    <t>Fiber cement slate</t>
  </si>
  <si>
    <t>Fibre cement roof slate {GLO}| market for | APOS, U</t>
  </si>
  <si>
    <t>Fibre-reinforced plastic</t>
  </si>
  <si>
    <t>Glass fibre reinforced plastic, polyamide, injection moulded {GLO}| market for | APOS, U</t>
  </si>
  <si>
    <t>Flat glass</t>
  </si>
  <si>
    <t>Glass</t>
  </si>
  <si>
    <t>Flat glass, uncoated {RoW}| market for flat glass, uncoated | APOS, U</t>
  </si>
  <si>
    <t>Gasket</t>
  </si>
  <si>
    <t>Cellulose fibre, inclusive blowing in {GLO}| market for | APOS, U</t>
  </si>
  <si>
    <t>Glass tube</t>
  </si>
  <si>
    <t>Glass tube, borosilicate {GLO}| market for | APOS, U</t>
  </si>
  <si>
    <t>Glass wool mat</t>
  </si>
  <si>
    <t>Glass wool</t>
  </si>
  <si>
    <t>Glass wool mat {GLO}| market for | APOS, U</t>
  </si>
  <si>
    <t>Gypsum fibreboard</t>
  </si>
  <si>
    <t>Gypsum</t>
  </si>
  <si>
    <t>Gypsum fibreboard {GLO}| market for | APOS, U</t>
  </si>
  <si>
    <t>High-Density Polyethylene (HDPE)</t>
  </si>
  <si>
    <t>HDPE pipes E</t>
  </si>
  <si>
    <t>Lead</t>
  </si>
  <si>
    <t>Lead {GLO}| market for | APOS, U</t>
  </si>
  <si>
    <t>Lean concrete</t>
  </si>
  <si>
    <t>Lean concrete {RoW}| market for | APOS, U</t>
  </si>
  <si>
    <t>Polyvinyl Chloride (PVC)</t>
  </si>
  <si>
    <t>PVC pipe E</t>
  </si>
  <si>
    <t>Polyethylene (PE)</t>
  </si>
  <si>
    <t>Polyethylene, low density, granulate {GLO}| market for | APOS, U</t>
  </si>
  <si>
    <t>Polyethylene terephthalate (PET)</t>
  </si>
  <si>
    <t>Polyethylene terephthalate, granulate, bottle grade {GLO}| market for | APOS, U</t>
  </si>
  <si>
    <t>Polystyrene (PS)</t>
  </si>
  <si>
    <t>Polystyrene, general purpose {GLO}| market for | APOS, U</t>
  </si>
  <si>
    <t>Polypropylene (PP)</t>
  </si>
  <si>
    <t>Polypropylene, granulate {GLO}| market for | APOS, U</t>
  </si>
  <si>
    <t>Polyurethane (PU)</t>
  </si>
  <si>
    <t>Polyurethane, rigid foam {RoW}| market for polyurethane, rigid foam | APOS, U</t>
  </si>
  <si>
    <t>Photovoltaic cell</t>
  </si>
  <si>
    <t>Photovoltaic cell, multi-Si wafer {GLO}| market for | APOS, U</t>
  </si>
  <si>
    <t>Reinforcing steel</t>
  </si>
  <si>
    <t>Reinforcing steel {GLO}| market for | APOS, U</t>
  </si>
  <si>
    <t>Sand</t>
  </si>
  <si>
    <t>Sand {RoW}| market for sand | APOS, U</t>
  </si>
  <si>
    <t>Sanitary ceramics</t>
  </si>
  <si>
    <t>Sanitary ceramics{GLO}| market for | APOS, U</t>
  </si>
  <si>
    <t>Stainless steel</t>
  </si>
  <si>
    <t>Steel, stainless 304, scrap/kg/GLO</t>
  </si>
  <si>
    <t>Steel cold rolled coil</t>
  </si>
  <si>
    <t>Steel cold rolled coil/GLO</t>
  </si>
  <si>
    <t>Steel hot rolled coil</t>
  </si>
  <si>
    <t>Steel hot rolled coil/GLO</t>
  </si>
  <si>
    <t>Steel hot-dip galvanized coil</t>
  </si>
  <si>
    <t>Steel hot-dip galvanised coil/GLO</t>
  </si>
  <si>
    <t>Steel, low-alloyed</t>
  </si>
  <si>
    <t>Steel, low-alloyed {GLO}| market for | APOS, U</t>
  </si>
  <si>
    <t>Steel, low-alloyed, hot rolled</t>
  </si>
  <si>
    <t>Steel, low-alloyed, hot rolled {GLO}| market for | APOS, U</t>
  </si>
  <si>
    <t>Steel tinplated</t>
  </si>
  <si>
    <t>Steel tinplated/GLO</t>
  </si>
  <si>
    <t>Steel plate</t>
  </si>
  <si>
    <t>Steel plate/GLO</t>
  </si>
  <si>
    <t>4.88*10^-5</t>
  </si>
  <si>
    <t>Steel rebar</t>
  </si>
  <si>
    <t>Steel rebar/GLO</t>
  </si>
  <si>
    <t>Steel wire rod</t>
  </si>
  <si>
    <t>Steel wire rod/GLO</t>
  </si>
  <si>
    <t>Silicon</t>
  </si>
  <si>
    <t>Silicon, solar grade {GLO}| market for | APOS, U</t>
  </si>
  <si>
    <t>Silicone</t>
  </si>
  <si>
    <t>Silicone product {RoW}| market for silicone product | APOS, U</t>
  </si>
  <si>
    <t>Silver</t>
  </si>
  <si>
    <t>Silver {GLO}| market for | APOS, U</t>
  </si>
  <si>
    <t>Synthetic rubber</t>
  </si>
  <si>
    <t>Synthetic rubber {GLO}| market for | APOS, U</t>
  </si>
  <si>
    <t>Tube insulation</t>
  </si>
  <si>
    <t>Tube insulation, elastomere {GLO}| market for | APOS, U</t>
  </si>
  <si>
    <t>Water</t>
  </si>
  <si>
    <t>Cooling water / Process water</t>
  </si>
  <si>
    <t>Wood, Sawnwood</t>
  </si>
  <si>
    <t>Wood</t>
  </si>
  <si>
    <t>Sawnwood, softwood, raw {GLO}| market for | APOS, U</t>
  </si>
  <si>
    <t>หาร 500 เพราะหน่วยเดิมคือ m3/unit</t>
  </si>
  <si>
    <t>Zinc</t>
  </si>
  <si>
    <t>Zinc {GLO}| market for | APOS, U</t>
  </si>
  <si>
    <t>Lubricating oil</t>
  </si>
  <si>
    <t>Lubricating oil {RoW}| market for lubricating oil | APOS, U</t>
  </si>
  <si>
    <t>R-22</t>
  </si>
  <si>
    <t>Refrigerant</t>
  </si>
  <si>
    <t>HCFC-22</t>
  </si>
  <si>
    <t>R-123</t>
  </si>
  <si>
    <t>HCFC-123</t>
  </si>
  <si>
    <t>R-123a</t>
  </si>
  <si>
    <t>HCFC-123a</t>
  </si>
  <si>
    <t>R-141b</t>
  </si>
  <si>
    <t>HCFC-141b</t>
  </si>
  <si>
    <t>R-142b</t>
  </si>
  <si>
    <t>HCFC-142b</t>
  </si>
  <si>
    <t>R-32</t>
  </si>
  <si>
    <t>HFC-32</t>
  </si>
  <si>
    <t>R-134a</t>
  </si>
  <si>
    <t>HFC-134a</t>
  </si>
  <si>
    <t>R-152a</t>
  </si>
  <si>
    <t>HFC-152a</t>
  </si>
  <si>
    <t>R-245fa</t>
  </si>
  <si>
    <t>HFC-245fa</t>
  </si>
  <si>
    <t>R-1234ze</t>
  </si>
  <si>
    <t>(E)-HFC-1234ze</t>
  </si>
  <si>
    <t>LiBr-H2O 60% wt.</t>
  </si>
  <si>
    <t>Solution</t>
  </si>
  <si>
    <t>Lithium bromide solution 60% wt. in water</t>
  </si>
  <si>
    <t>Lithium {GLO}| market for | APOS, U</t>
  </si>
  <si>
    <t>Bromine {GLO}| market for | APOS, U</t>
  </si>
  <si>
    <t>Water, deionised {RoW}| market for water, deionised | APOS, U</t>
  </si>
  <si>
    <t>H2O-NH3 55% wt.</t>
  </si>
  <si>
    <t>Ammonium hydroxide solution 55% wt.</t>
  </si>
  <si>
    <t>Ammonia E</t>
  </si>
  <si>
    <t>Power and energy</t>
  </si>
  <si>
    <t>Electricity</t>
  </si>
  <si>
    <t>Electricity, at grid, US/US</t>
  </si>
  <si>
    <t>kWh</t>
  </si>
  <si>
    <t>Diesel</t>
  </si>
  <si>
    <t>Diesel, combusted in industrial equipment/US</t>
  </si>
  <si>
    <t>L</t>
  </si>
  <si>
    <t>Gasoline</t>
  </si>
  <si>
    <t>Gasoline, combusted in equipment/US</t>
  </si>
  <si>
    <t>LPG</t>
  </si>
  <si>
    <t>Liquefied petroleum gas {GLO}| market group for liquefied petroleum gas | APOS, U</t>
  </si>
  <si>
    <t>Transportation</t>
  </si>
  <si>
    <t>Light commercial truck, diesel</t>
  </si>
  <si>
    <t>Transport, light commercial truck, diesel powered/tkm/RNA</t>
  </si>
  <si>
    <t>tkm</t>
  </si>
  <si>
    <t>Light commercial truck, gasoline</t>
  </si>
  <si>
    <t>Transport, light commercial truck, gasoline powered/tkm/RNA</t>
  </si>
  <si>
    <t>Truck, diesel</t>
  </si>
  <si>
    <t>Transport, single unit truck, diesel powered/US</t>
  </si>
  <si>
    <t>Truck, gasoline</t>
  </si>
  <si>
    <t>Transport, single unit truck, gasoline powered/US</t>
  </si>
  <si>
    <t>Refuse truck, diesel</t>
  </si>
  <si>
    <t>Transport, refuse truck, diesel powered/tkm/RNA</t>
  </si>
  <si>
    <t>Refuse truck, gasoline</t>
  </si>
  <si>
    <t>Transport, refuse truck, gasoline powered/tkm/RNA</t>
  </si>
  <si>
    <t>Pollution</t>
  </si>
  <si>
    <t>Excess air</t>
  </si>
  <si>
    <t>Air pollution (Oxygen)</t>
  </si>
  <si>
    <t>Air pollution</t>
  </si>
  <si>
    <t>Air pollution (Carbon dioxide)</t>
  </si>
  <si>
    <t>Air pollution (Carbon monoxide)</t>
  </si>
  <si>
    <t>Air pollution (Nitrogen dioxide)</t>
  </si>
  <si>
    <t>Air pollution (Nitrogen)</t>
  </si>
  <si>
    <t>Air pollution (Sulfur dioxide)</t>
  </si>
  <si>
    <t>Air pollution (Nitrogen monoxide)</t>
  </si>
  <si>
    <t>Air pollution (Methane)</t>
  </si>
  <si>
    <t>Water pollution (BOD)</t>
  </si>
  <si>
    <t>Water pollution</t>
  </si>
  <si>
    <t>Water pollution (COD)</t>
  </si>
  <si>
    <t>Water pollution (Nitrogen)</t>
  </si>
  <si>
    <t>Water pollution (Phosphorus)</t>
  </si>
  <si>
    <t>Bottom ash</t>
  </si>
  <si>
    <t>Ash</t>
  </si>
  <si>
    <t>128 waste treatment, Landfill of waste, Slag/ash. EU27</t>
  </si>
  <si>
    <t>Recycle</t>
  </si>
  <si>
    <t>Steel and iron (waste treatment) {GLO}| recycling of steel and iron | APOS, U</t>
  </si>
  <si>
    <t>Aluminium (waste treatment) {GLO}| recycling of aluminium | APOS, U</t>
  </si>
  <si>
    <t>Silver {RoW}| gold-silver mine operation with refinery | APOS, U</t>
  </si>
  <si>
    <t>Included activities end: This data set includes the combined mining and refining of gold and silver in open pit mines in Peru incl. energy and material use, water and air emissions of metals and land use.</t>
  </si>
  <si>
    <t>Recycling silver</t>
  </si>
  <si>
    <t>Landfill</t>
  </si>
  <si>
    <t>Waste plastic, mixture {RoW}| treatment of waste plastic, mixture, sanitary landfill | APOS, U</t>
  </si>
  <si>
    <t>Waste concrete, not reinforced {RoW}| treatment of waste concrete, not reinforced, collection for final disposal | APOS, U</t>
  </si>
  <si>
    <t>Waste glass {GLO}| treatment of waste glass, sanitary landfill | APOS, U</t>
  </si>
  <si>
    <t>Waste mineral wool, for final disposal {RoW}| treatment of waste mineral wool, inert material landfill | APOS, U</t>
  </si>
  <si>
    <t>Waste gypsum {RoW}| treatment of waste gypsum, sanitary landfill | APOS, U</t>
  </si>
  <si>
    <t>disposal, wood untreated, 20% water, to sanitary landfill</t>
  </si>
  <si>
    <t>Zinc slag {GLO}| treatment of zinc slag, residual material landfill | Cut-off, U</t>
  </si>
  <si>
    <t>Waste plastic, consumer electronics {GLO}| treatment of waste plastic, consumer electronics, sanitary landfill, wet infiltration class (500mm) | APOS, U</t>
  </si>
  <si>
    <t>Lead smelter slag {GLO}| treatment of, residual material landfill | APOS, U</t>
  </si>
  <si>
    <t>Waste, from silicon wafer production, inorganic {RoW}| treatment of, residual material landfill | APOS, U</t>
  </si>
  <si>
    <t>The most common type of solar panel is the crystalline silicon solar panel, which typically weighs between 15-25 KG per panel</t>
  </si>
  <si>
    <t>Ferrous metal, in mixed metal scrap {RoW}| market for ferrous metal, in mixed metal scrap | Cut-off, U</t>
  </si>
  <si>
    <t>Wastewater (In case pollution unknown)</t>
  </si>
  <si>
    <t>Water pollution (pollution unknown)</t>
  </si>
  <si>
    <t>_58 Recycling of copper basic, EU27</t>
  </si>
  <si>
    <t>Concrete mix (Concrete, Cement, Ceramic, Clay, Sand)</t>
  </si>
  <si>
    <t>Electronic waste</t>
  </si>
  <si>
    <t>Solar panel (PV cells and silicon)</t>
  </si>
  <si>
    <t>Concrete, Cement, Ceramic, Clay, Sand</t>
  </si>
  <si>
    <t>PV cells, silicon</t>
  </si>
  <si>
    <r>
      <t>Concrete 1 m</t>
    </r>
    <r>
      <rPr>
        <vertAlign val="superscript"/>
        <sz val="12"/>
        <color theme="1"/>
        <rFont val="Times New Roman"/>
        <family val="1"/>
      </rPr>
      <t>3</t>
    </r>
    <r>
      <rPr>
        <sz val="12"/>
        <color theme="1"/>
        <rFont val="Times New Roman"/>
        <family val="1"/>
      </rPr>
      <t xml:space="preserve"> to 1 kg</t>
    </r>
  </si>
  <si>
    <r>
      <t>Wood 1 m</t>
    </r>
    <r>
      <rPr>
        <vertAlign val="superscript"/>
        <sz val="12"/>
        <color theme="1"/>
        <rFont val="Times New Roman"/>
        <family val="1"/>
      </rPr>
      <t>3</t>
    </r>
    <r>
      <rPr>
        <sz val="12"/>
        <color theme="1"/>
        <rFont val="Times New Roman"/>
        <family val="1"/>
      </rPr>
      <t xml:space="preserve"> to 1 kg</t>
    </r>
  </si>
  <si>
    <r>
      <t>PV 1 m</t>
    </r>
    <r>
      <rPr>
        <vertAlign val="superscript"/>
        <sz val="12"/>
        <color theme="1"/>
        <rFont val="Times New Roman"/>
        <family val="1"/>
      </rPr>
      <t>2</t>
    </r>
    <r>
      <rPr>
        <sz val="12"/>
        <color theme="1"/>
        <rFont val="Times New Roman"/>
        <family val="1"/>
      </rPr>
      <t xml:space="preserve"> to 1 kg</t>
    </r>
  </si>
  <si>
    <r>
      <t>1.7 m</t>
    </r>
    <r>
      <rPr>
        <vertAlign val="superscript"/>
        <sz val="12"/>
        <color theme="1"/>
        <rFont val="Times New Roman"/>
        <family val="1"/>
      </rPr>
      <t>2</t>
    </r>
    <r>
      <rPr>
        <sz val="12"/>
        <color theme="1"/>
        <rFont val="Times New Roman"/>
        <family val="1"/>
      </rPr>
      <t xml:space="preserve"> of PV weighs approximately 20 kg (Cite: https://photovoltaicsolarenergy.org/size-and-weight-of-photovoltaic-panels/)</t>
    </r>
  </si>
  <si>
    <t>Human health</t>
  </si>
  <si>
    <t>Ecosystem</t>
  </si>
  <si>
    <t>Resources</t>
  </si>
  <si>
    <r>
      <t>Midpoint to endpoint conversion factor (F</t>
    </r>
    <r>
      <rPr>
        <b/>
        <vertAlign val="subscript"/>
        <sz val="12"/>
        <color theme="1"/>
        <rFont val="Times New Roman"/>
        <family val="1"/>
      </rPr>
      <t>M→E,Impact</t>
    </r>
    <r>
      <rPr>
        <b/>
        <sz val="12"/>
        <color theme="1"/>
        <rFont val="Times New Roman"/>
        <family val="1"/>
      </rPr>
      <t>)</t>
    </r>
  </si>
  <si>
    <r>
      <t>Normalization reference (NR</t>
    </r>
    <r>
      <rPr>
        <b/>
        <vertAlign val="subscript"/>
        <sz val="12"/>
        <color theme="1"/>
        <rFont val="Times New Roman"/>
        <family val="1"/>
      </rPr>
      <t>j</t>
    </r>
    <r>
      <rPr>
        <b/>
        <sz val="12"/>
        <color theme="1"/>
        <rFont val="Times New Roman"/>
        <family val="1"/>
      </rPr>
      <t>)</t>
    </r>
  </si>
  <si>
    <r>
      <t>Reference year 
in 2018 
(IP</t>
    </r>
    <r>
      <rPr>
        <b/>
        <vertAlign val="subscript"/>
        <sz val="12"/>
        <color theme="1"/>
        <rFont val="Times New Roman"/>
        <family val="1"/>
      </rPr>
      <t>Reference</t>
    </r>
    <r>
      <rPr>
        <b/>
        <sz val="12"/>
        <color theme="1"/>
        <rFont val="Times New Roman"/>
        <family val="1"/>
      </rPr>
      <t>)</t>
    </r>
  </si>
  <si>
    <r>
      <t>Target year 
in 2037 
(IP</t>
    </r>
    <r>
      <rPr>
        <b/>
        <vertAlign val="subscript"/>
        <sz val="12"/>
        <color theme="1"/>
        <rFont val="Times New Roman"/>
        <family val="1"/>
      </rPr>
      <t>Target</t>
    </r>
    <r>
      <rPr>
        <b/>
        <sz val="12"/>
        <color theme="1"/>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</si>
</sst>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b/>
      <sz val="12"/>
      <color theme="1"/>
      <name val="Times New Roman"/>
      <family val="1"/>
    </font>
    <font>
      <vertAlign val="subscript"/>
      <sz val="12"/>
      <color theme="1"/>
      <name val="Times New Roman"/>
      <family val="1"/>
    </font>
    <font>
      <vertAlign val="superscript"/>
      <sz val="12"/>
      <color theme="1"/>
      <name val="Times New Roman"/>
      <family val="1"/>
    </font>
    <font>
      <b/>
      <sz val="12"/>
      <name val="Times New Roman"/>
      <family val="1"/>
    </font>
    <font>
      <sz val="12"/>
      <name val="Times New Roman"/>
      <family val="1"/>
    </font>
    <font>
      <b/>
      <sz val="10"/>
      <color theme="1"/>
      <name val="Times New Roman"/>
      <family val="1"/>
    </font>
    <font>
      <b/>
      <vertAlign val="subscript"/>
      <sz val="12"/>
      <color theme="1"/>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1" fillId="0" borderId="0" xfId="0" applyFont="1" applyAlignment="1">
      <alignment horizontal="left"/>
    </xf>
    <xf numFmtId="0" fontId="6" fillId="0" borderId="0" xfId="0" applyFont="1"/>
    <xf numFmtId="0" fontId="2" fillId="0" borderId="0" xfId="0" applyFont="1" applyFill="1" applyBorder="1"/>
    <xf numFmtId="0" fontId="1" fillId="0" borderId="0" xfId="0" applyFont="1" applyFill="1" applyBorder="1"/>
    <xf numFmtId="0" fontId="1" fillId="0" borderId="0"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xf numFmtId="11" fontId="1" fillId="0" borderId="1" xfId="0" applyNumberFormat="1" applyFont="1" applyFill="1" applyBorder="1"/>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7" fillId="2" borderId="1" xfId="0" applyFont="1" applyFill="1" applyBorder="1" applyAlignment="1">
      <alignment horizontal="center"/>
    </xf>
    <xf numFmtId="0" fontId="2" fillId="3" borderId="1" xfId="0" applyFont="1" applyFill="1" applyBorder="1" applyAlignment="1">
      <alignment horizontal="left" vertical="center"/>
    </xf>
    <xf numFmtId="0" fontId="2" fillId="3" borderId="1" xfId="0" applyFont="1" applyFill="1" applyBorder="1" applyAlignment="1">
      <alignment horizontal="center" vertical="center"/>
    </xf>
    <xf numFmtId="0" fontId="7" fillId="3"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horizontal="center"/>
    </xf>
    <xf numFmtId="0" fontId="2" fillId="3" borderId="1" xfId="0" applyFont="1" applyFill="1" applyBorder="1" applyAlignment="1">
      <alignment horizontal="left"/>
    </xf>
    <xf numFmtId="0" fontId="2" fillId="3" borderId="1" xfId="0" applyFont="1" applyFill="1" applyBorder="1"/>
    <xf numFmtId="11" fontId="2" fillId="4"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2" fillId="0" borderId="1" xfId="0" applyFont="1" applyBorder="1" applyAlignment="1">
      <alignment horizontal="center" vertical="top"/>
    </xf>
    <xf numFmtId="0" fontId="1" fillId="0" borderId="1" xfId="0" applyFont="1" applyBorder="1" applyAlignment="1">
      <alignment horizontal="center"/>
    </xf>
    <xf numFmtId="11" fontId="1" fillId="0" borderId="1" xfId="0" applyNumberFormat="1" applyFont="1" applyFill="1" applyBorder="1" applyAlignment="1">
      <alignment horizontal="center" vertical="center"/>
    </xf>
    <xf numFmtId="11" fontId="6" fillId="0" borderId="1" xfId="0" applyNumberFormat="1" applyFont="1" applyFill="1" applyBorder="1" applyAlignment="1">
      <alignment horizontal="center" vertical="center"/>
    </xf>
    <xf numFmtId="0" fontId="2" fillId="0" borderId="1" xfId="0" applyFont="1" applyBorder="1" applyAlignment="1">
      <alignment vertical="top"/>
    </xf>
    <xf numFmtId="0" fontId="1" fillId="0" borderId="0" xfId="0" applyFont="1" applyAlignment="1">
      <alignment vertical="top"/>
    </xf>
    <xf numFmtId="11"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ED7B9-FBB3-44DA-AABF-CCF205FCAD10}">
  <sheetPr codeName="Sheet1"/>
  <dimension ref="B2:D26"/>
  <sheetViews>
    <sheetView workbookViewId="0">
      <selection activeCell="C9" sqref="C9:C26"/>
    </sheetView>
  </sheetViews>
  <sheetFormatPr defaultRowHeight="15.6" x14ac:dyDescent="0.3"/>
  <cols>
    <col min="1" max="1" width="8.88671875" style="1"/>
    <col min="2" max="2" width="33.21875" style="1" customWidth="1"/>
    <col min="3" max="3" width="16" style="1" customWidth="1"/>
    <col min="4" max="4" width="14.21875" style="1" customWidth="1"/>
    <col min="5" max="16384" width="8.88671875" style="1"/>
  </cols>
  <sheetData>
    <row r="2" spans="2:4" x14ac:dyDescent="0.3">
      <c r="B2" s="2" t="s">
        <v>0</v>
      </c>
      <c r="C2" s="1" t="s">
        <v>1</v>
      </c>
    </row>
    <row r="3" spans="2:4" x14ac:dyDescent="0.3">
      <c r="B3" s="2" t="s">
        <v>2</v>
      </c>
      <c r="C3" s="1" t="s">
        <v>3</v>
      </c>
    </row>
    <row r="4" spans="2:4" x14ac:dyDescent="0.3">
      <c r="B4" s="2" t="s">
        <v>4</v>
      </c>
      <c r="C4" s="3">
        <v>1.1299999999999999</v>
      </c>
    </row>
    <row r="5" spans="2:4" x14ac:dyDescent="0.3">
      <c r="B5" s="2" t="s">
        <v>5</v>
      </c>
      <c r="C5" s="1" t="s">
        <v>6</v>
      </c>
    </row>
    <row r="6" spans="2:4" x14ac:dyDescent="0.3">
      <c r="B6" s="2" t="s">
        <v>7</v>
      </c>
      <c r="C6" s="1" t="s">
        <v>6</v>
      </c>
    </row>
    <row r="8" spans="2:4" x14ac:dyDescent="0.3">
      <c r="B8" s="2" t="s">
        <v>8</v>
      </c>
      <c r="C8" s="2" t="s">
        <v>9</v>
      </c>
      <c r="D8" s="2" t="s">
        <v>10</v>
      </c>
    </row>
    <row r="9" spans="2:4" ht="18" x14ac:dyDescent="0.4">
      <c r="B9" s="1" t="s">
        <v>11</v>
      </c>
      <c r="C9" s="1" t="s">
        <v>12</v>
      </c>
      <c r="D9" s="1" t="s">
        <v>13</v>
      </c>
    </row>
    <row r="10" spans="2:4" x14ac:dyDescent="0.3">
      <c r="B10" s="1" t="s">
        <v>14</v>
      </c>
      <c r="C10" s="1" t="s">
        <v>15</v>
      </c>
      <c r="D10" s="1" t="s">
        <v>16</v>
      </c>
    </row>
    <row r="11" spans="2:4" ht="18" x14ac:dyDescent="0.4">
      <c r="B11" s="1" t="s">
        <v>17</v>
      </c>
      <c r="C11" s="1" t="s">
        <v>18</v>
      </c>
      <c r="D11" s="1" t="s">
        <v>19</v>
      </c>
    </row>
    <row r="12" spans="2:4" x14ac:dyDescent="0.3">
      <c r="B12" s="1" t="s">
        <v>20</v>
      </c>
      <c r="C12" s="1" t="s">
        <v>21</v>
      </c>
      <c r="D12" s="1" t="s">
        <v>22</v>
      </c>
    </row>
    <row r="13" spans="2:4" x14ac:dyDescent="0.3">
      <c r="B13" s="1" t="s">
        <v>23</v>
      </c>
      <c r="C13" s="1" t="s">
        <v>24</v>
      </c>
      <c r="D13" s="1" t="s">
        <v>25</v>
      </c>
    </row>
    <row r="14" spans="2:4" x14ac:dyDescent="0.3">
      <c r="B14" s="1" t="s">
        <v>26</v>
      </c>
      <c r="C14" s="1" t="s">
        <v>27</v>
      </c>
      <c r="D14" s="1" t="s">
        <v>28</v>
      </c>
    </row>
    <row r="15" spans="2:4" x14ac:dyDescent="0.3">
      <c r="B15" s="1" t="s">
        <v>29</v>
      </c>
      <c r="C15" s="1" t="s">
        <v>30</v>
      </c>
      <c r="D15" s="1" t="s">
        <v>31</v>
      </c>
    </row>
    <row r="16" spans="2:4" ht="18" x14ac:dyDescent="0.4">
      <c r="B16" s="1" t="s">
        <v>32</v>
      </c>
      <c r="C16" s="1" t="s">
        <v>33</v>
      </c>
      <c r="D16" s="1" t="s">
        <v>34</v>
      </c>
    </row>
    <row r="17" spans="2:4" x14ac:dyDescent="0.3">
      <c r="B17" s="1" t="s">
        <v>35</v>
      </c>
      <c r="C17" s="1" t="s">
        <v>36</v>
      </c>
      <c r="D17" s="1" t="s">
        <v>28</v>
      </c>
    </row>
    <row r="18" spans="2:4" x14ac:dyDescent="0.3">
      <c r="B18" s="1" t="s">
        <v>37</v>
      </c>
      <c r="C18" s="1" t="s">
        <v>38</v>
      </c>
      <c r="D18" s="1" t="s">
        <v>28</v>
      </c>
    </row>
    <row r="19" spans="2:4" x14ac:dyDescent="0.3">
      <c r="B19" s="1" t="s">
        <v>39</v>
      </c>
      <c r="C19" s="1" t="s">
        <v>40</v>
      </c>
      <c r="D19" s="1" t="s">
        <v>28</v>
      </c>
    </row>
    <row r="20" spans="2:4" x14ac:dyDescent="0.3">
      <c r="B20" s="1" t="s">
        <v>41</v>
      </c>
      <c r="C20" s="1" t="s">
        <v>42</v>
      </c>
      <c r="D20" s="1" t="s">
        <v>43</v>
      </c>
    </row>
    <row r="21" spans="2:4" ht="18.600000000000001" x14ac:dyDescent="0.3">
      <c r="B21" s="1" t="s">
        <v>44</v>
      </c>
      <c r="C21" s="1" t="s">
        <v>45</v>
      </c>
      <c r="D21" s="1" t="s">
        <v>46</v>
      </c>
    </row>
    <row r="22" spans="2:4" ht="18.600000000000001" x14ac:dyDescent="0.3">
      <c r="B22" s="1" t="s">
        <v>47</v>
      </c>
      <c r="C22" s="1" t="s">
        <v>48</v>
      </c>
      <c r="D22" s="1" t="s">
        <v>46</v>
      </c>
    </row>
    <row r="23" spans="2:4" ht="18.600000000000001" x14ac:dyDescent="0.3">
      <c r="B23" s="1" t="s">
        <v>49</v>
      </c>
      <c r="C23" s="1" t="s">
        <v>50</v>
      </c>
      <c r="D23" s="1" t="s">
        <v>51</v>
      </c>
    </row>
    <row r="24" spans="2:4" ht="18.600000000000001" x14ac:dyDescent="0.3">
      <c r="B24" s="1" t="s">
        <v>52</v>
      </c>
      <c r="C24" s="1" t="s">
        <v>53</v>
      </c>
      <c r="D24" s="1" t="s">
        <v>54</v>
      </c>
    </row>
    <row r="25" spans="2:4" x14ac:dyDescent="0.3">
      <c r="B25" s="1" t="s">
        <v>55</v>
      </c>
      <c r="C25" s="1" t="s">
        <v>56</v>
      </c>
      <c r="D25" s="1" t="s">
        <v>57</v>
      </c>
    </row>
    <row r="26" spans="2:4" x14ac:dyDescent="0.3">
      <c r="B26" s="1" t="s">
        <v>58</v>
      </c>
      <c r="C26" s="1" t="s">
        <v>59</v>
      </c>
      <c r="D26" s="1"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2FA3-8C6F-45F5-9F1F-65D9988F7E49}">
  <sheetPr codeName="Sheet2"/>
  <dimension ref="A1:Y146"/>
  <sheetViews>
    <sheetView tabSelected="1" zoomScale="80" zoomScaleNormal="80" workbookViewId="0">
      <selection activeCell="D145" sqref="D145"/>
    </sheetView>
  </sheetViews>
  <sheetFormatPr defaultColWidth="9.21875" defaultRowHeight="15.6" x14ac:dyDescent="0.3"/>
  <cols>
    <col min="1" max="1" width="5.6640625" style="6" customWidth="1"/>
    <col min="2" max="2" width="37.33203125" style="6" customWidth="1"/>
    <col min="3" max="3" width="19" style="6" customWidth="1"/>
    <col min="4" max="4" width="52.109375" style="6" customWidth="1"/>
    <col min="5" max="5" width="8.33203125" style="7" customWidth="1"/>
    <col min="6" max="6" width="5.88671875" style="7" customWidth="1"/>
    <col min="7" max="24" width="12" style="6" customWidth="1"/>
    <col min="25" max="16384" width="9.21875" style="6"/>
  </cols>
  <sheetData>
    <row r="1" spans="1:24" x14ac:dyDescent="0.3">
      <c r="A1" s="5"/>
      <c r="B1" s="6" t="s">
        <v>1</v>
      </c>
    </row>
    <row r="2" spans="1:24" ht="18.600000000000001" x14ac:dyDescent="0.3">
      <c r="A2" s="5"/>
      <c r="B2" s="6" t="s">
        <v>296</v>
      </c>
      <c r="C2" s="6">
        <v>2500</v>
      </c>
      <c r="D2" s="6" t="s">
        <v>61</v>
      </c>
      <c r="E2" s="6" t="s">
        <v>62</v>
      </c>
    </row>
    <row r="3" spans="1:24" ht="18.600000000000001" x14ac:dyDescent="0.3">
      <c r="A3" s="5"/>
      <c r="B3" s="6" t="s">
        <v>297</v>
      </c>
      <c r="C3" s="6">
        <v>500</v>
      </c>
      <c r="D3" s="6" t="s">
        <v>61</v>
      </c>
      <c r="E3" s="6" t="s">
        <v>63</v>
      </c>
    </row>
    <row r="4" spans="1:24" ht="18.600000000000001" x14ac:dyDescent="0.3">
      <c r="A4" s="5"/>
      <c r="B4" s="6" t="s">
        <v>298</v>
      </c>
      <c r="C4" s="6">
        <f>20/1.7</f>
        <v>11.764705882352942</v>
      </c>
      <c r="D4" s="6" t="s">
        <v>61</v>
      </c>
      <c r="E4" s="6" t="s">
        <v>299</v>
      </c>
    </row>
    <row r="6" spans="1:24" x14ac:dyDescent="0.3">
      <c r="A6" s="11" t="s">
        <v>64</v>
      </c>
      <c r="B6" s="11" t="s">
        <v>65</v>
      </c>
      <c r="C6" s="11" t="s">
        <v>66</v>
      </c>
      <c r="D6" s="11" t="s">
        <v>67</v>
      </c>
      <c r="E6" s="11" t="s">
        <v>68</v>
      </c>
      <c r="F6" s="11" t="s">
        <v>10</v>
      </c>
      <c r="G6" s="12" t="s">
        <v>12</v>
      </c>
      <c r="H6" s="12" t="s">
        <v>15</v>
      </c>
      <c r="I6" s="12" t="s">
        <v>18</v>
      </c>
      <c r="J6" s="12" t="s">
        <v>21</v>
      </c>
      <c r="K6" s="12" t="s">
        <v>24</v>
      </c>
      <c r="L6" s="12" t="s">
        <v>27</v>
      </c>
      <c r="M6" s="12" t="s">
        <v>30</v>
      </c>
      <c r="N6" s="12" t="s">
        <v>33</v>
      </c>
      <c r="O6" s="12" t="s">
        <v>36</v>
      </c>
      <c r="P6" s="12" t="s">
        <v>38</v>
      </c>
      <c r="Q6" s="12" t="s">
        <v>40</v>
      </c>
      <c r="R6" s="12" t="s">
        <v>42</v>
      </c>
      <c r="S6" s="12" t="s">
        <v>45</v>
      </c>
      <c r="T6" s="12" t="s">
        <v>48</v>
      </c>
      <c r="U6" s="12" t="s">
        <v>69</v>
      </c>
      <c r="V6" s="12" t="s">
        <v>53</v>
      </c>
      <c r="W6" s="12" t="s">
        <v>56</v>
      </c>
      <c r="X6" s="12" t="s">
        <v>59</v>
      </c>
    </row>
    <row r="7" spans="1:24" x14ac:dyDescent="0.3">
      <c r="A7" s="11"/>
      <c r="B7" s="11"/>
      <c r="C7" s="11"/>
      <c r="D7" s="11"/>
      <c r="E7" s="11"/>
      <c r="F7" s="11"/>
      <c r="G7" s="13" t="s">
        <v>70</v>
      </c>
      <c r="H7" s="13" t="s">
        <v>16</v>
      </c>
      <c r="I7" s="13" t="s">
        <v>71</v>
      </c>
      <c r="J7" s="13" t="s">
        <v>22</v>
      </c>
      <c r="K7" s="13" t="s">
        <v>25</v>
      </c>
      <c r="L7" s="13" t="s">
        <v>28</v>
      </c>
      <c r="M7" s="13" t="s">
        <v>31</v>
      </c>
      <c r="N7" s="13" t="s">
        <v>72</v>
      </c>
      <c r="O7" s="13" t="s">
        <v>28</v>
      </c>
      <c r="P7" s="13" t="s">
        <v>28</v>
      </c>
      <c r="Q7" s="13" t="s">
        <v>28</v>
      </c>
      <c r="R7" s="13" t="s">
        <v>43</v>
      </c>
      <c r="S7" s="13" t="s">
        <v>73</v>
      </c>
      <c r="T7" s="13" t="s">
        <v>73</v>
      </c>
      <c r="U7" s="13" t="s">
        <v>74</v>
      </c>
      <c r="V7" s="13" t="s">
        <v>75</v>
      </c>
      <c r="W7" s="13" t="s">
        <v>57</v>
      </c>
      <c r="X7" s="13" t="s">
        <v>60</v>
      </c>
    </row>
    <row r="8" spans="1:24" x14ac:dyDescent="0.3">
      <c r="A8" s="14" t="s">
        <v>76</v>
      </c>
      <c r="B8" s="15"/>
      <c r="C8" s="15"/>
      <c r="D8" s="15"/>
      <c r="E8" s="15"/>
      <c r="F8" s="15"/>
      <c r="G8" s="16"/>
      <c r="H8" s="16"/>
      <c r="I8" s="16"/>
      <c r="J8" s="16"/>
      <c r="K8" s="16"/>
      <c r="L8" s="16"/>
      <c r="M8" s="16"/>
      <c r="N8" s="16"/>
      <c r="O8" s="16"/>
      <c r="P8" s="16"/>
      <c r="Q8" s="16"/>
      <c r="R8" s="16"/>
      <c r="S8" s="16"/>
      <c r="T8" s="16"/>
      <c r="U8" s="16"/>
      <c r="V8" s="16"/>
      <c r="W8" s="16"/>
      <c r="X8" s="16"/>
    </row>
    <row r="9" spans="1:24" x14ac:dyDescent="0.3">
      <c r="A9" s="8">
        <v>1</v>
      </c>
      <c r="B9" s="9" t="s">
        <v>77</v>
      </c>
      <c r="C9" s="9" t="s">
        <v>78</v>
      </c>
      <c r="D9" s="9" t="s">
        <v>79</v>
      </c>
      <c r="E9" s="8">
        <v>1</v>
      </c>
      <c r="F9" s="8" t="s">
        <v>61</v>
      </c>
      <c r="G9" s="9">
        <v>4.3899999999999997</v>
      </c>
      <c r="H9" s="9">
        <f>7.79*10^-8</f>
        <v>7.7900000000000003E-8</v>
      </c>
      <c r="I9" s="9">
        <v>1.2E-2</v>
      </c>
      <c r="J9" s="9">
        <v>2.7700000000000001E-4</v>
      </c>
      <c r="K9" s="9">
        <v>6.2E-4</v>
      </c>
      <c r="L9" s="9">
        <v>0.11899999999999999</v>
      </c>
      <c r="M9" s="9">
        <v>1.2699999999999999E-2</v>
      </c>
      <c r="N9" s="9">
        <v>4.47E-3</v>
      </c>
      <c r="O9" s="9">
        <v>1.35E-4</v>
      </c>
      <c r="P9" s="9">
        <v>1.2999999999999999E-2</v>
      </c>
      <c r="Q9" s="9">
        <v>1.1900000000000001E-2</v>
      </c>
      <c r="R9" s="9">
        <v>2.3699999999999999E-2</v>
      </c>
      <c r="S9" s="9">
        <v>4.3600000000000002E-3</v>
      </c>
      <c r="T9" s="9">
        <v>7.8700000000000003E-3</v>
      </c>
      <c r="U9" s="9">
        <f>8.06*10^-5</f>
        <v>8.0600000000000008E-5</v>
      </c>
      <c r="V9" s="9">
        <v>5.7000000000000002E-2</v>
      </c>
      <c r="W9" s="9">
        <v>1.7299999999999999E-2</v>
      </c>
      <c r="X9" s="9">
        <v>2.08</v>
      </c>
    </row>
    <row r="10" spans="1:24" x14ac:dyDescent="0.3">
      <c r="A10" s="8">
        <v>2</v>
      </c>
      <c r="B10" s="9" t="s">
        <v>80</v>
      </c>
      <c r="C10" s="9" t="s">
        <v>81</v>
      </c>
      <c r="D10" s="9" t="s">
        <v>82</v>
      </c>
      <c r="E10" s="8">
        <v>1</v>
      </c>
      <c r="F10" s="8" t="s">
        <v>61</v>
      </c>
      <c r="G10" s="9">
        <v>6.43</v>
      </c>
      <c r="H10" s="10">
        <v>4.1900000000000003E-7</v>
      </c>
      <c r="I10" s="9">
        <v>2.9399999999999999E-2</v>
      </c>
      <c r="J10" s="9">
        <v>1.7799999999999999E-3</v>
      </c>
      <c r="K10" s="9">
        <v>5.4400000000000004E-3</v>
      </c>
      <c r="L10" s="9">
        <v>2.1</v>
      </c>
      <c r="M10" s="9">
        <v>2.0899999999999998E-2</v>
      </c>
      <c r="N10" s="9">
        <v>1.2999999999999999E-2</v>
      </c>
      <c r="O10" s="9">
        <v>1.9300000000000001E-2</v>
      </c>
      <c r="P10" s="9">
        <v>0.189</v>
      </c>
      <c r="Q10" s="9">
        <v>0.17100000000000001</v>
      </c>
      <c r="R10" s="9">
        <v>0.25600000000000001</v>
      </c>
      <c r="S10" s="9">
        <v>1.74</v>
      </c>
      <c r="T10" s="9">
        <v>0.23599999999999999</v>
      </c>
      <c r="U10" s="9">
        <v>6.28E-3</v>
      </c>
      <c r="V10" s="9">
        <v>6.9699999999999998E-2</v>
      </c>
      <c r="W10" s="9">
        <v>0.85199999999999998</v>
      </c>
      <c r="X10" s="9">
        <v>1.46</v>
      </c>
    </row>
    <row r="11" spans="1:24" x14ac:dyDescent="0.3">
      <c r="A11" s="8">
        <v>3</v>
      </c>
      <c r="B11" s="9" t="s">
        <v>83</v>
      </c>
      <c r="C11" s="9" t="s">
        <v>83</v>
      </c>
      <c r="D11" s="9" t="s">
        <v>84</v>
      </c>
      <c r="E11" s="8">
        <v>1</v>
      </c>
      <c r="F11" s="8" t="s">
        <v>61</v>
      </c>
      <c r="G11" s="9">
        <v>6.62</v>
      </c>
      <c r="H11" s="10">
        <v>7.4000000000000001E-7</v>
      </c>
      <c r="I11" s="9">
        <v>3.7499999999999999E-2</v>
      </c>
      <c r="J11" s="9">
        <v>2.2399999999999998E-3</v>
      </c>
      <c r="K11" s="9">
        <v>2.32E-3</v>
      </c>
      <c r="L11" s="9">
        <v>2.89</v>
      </c>
      <c r="M11" s="9">
        <v>2.4500000000000001E-2</v>
      </c>
      <c r="N11" s="9">
        <v>1.66E-2</v>
      </c>
      <c r="O11" s="9">
        <v>2.65E-3</v>
      </c>
      <c r="P11" s="9">
        <v>0.214</v>
      </c>
      <c r="Q11" s="9">
        <v>0.19600000000000001</v>
      </c>
      <c r="R11" s="9">
        <v>0.71799999999999997</v>
      </c>
      <c r="S11" s="9">
        <v>0.71299999999999997</v>
      </c>
      <c r="T11" s="9">
        <v>8.7800000000000003E-2</v>
      </c>
      <c r="U11" s="9">
        <v>1.32E-3</v>
      </c>
      <c r="V11" s="9">
        <v>5.4800000000000001E-2</v>
      </c>
      <c r="W11" s="9">
        <v>0.74099999999999999</v>
      </c>
      <c r="X11" s="9">
        <v>1.67</v>
      </c>
    </row>
    <row r="12" spans="1:24" x14ac:dyDescent="0.3">
      <c r="A12" s="8">
        <v>4</v>
      </c>
      <c r="B12" s="9" t="s">
        <v>85</v>
      </c>
      <c r="C12" s="9" t="s">
        <v>85</v>
      </c>
      <c r="D12" s="9" t="s">
        <v>86</v>
      </c>
      <c r="E12" s="8">
        <v>1</v>
      </c>
      <c r="F12" s="8" t="s">
        <v>61</v>
      </c>
      <c r="G12" s="9">
        <v>6.69</v>
      </c>
      <c r="H12" s="9">
        <v>1.06E-6</v>
      </c>
      <c r="I12" s="9">
        <v>0.30099999999999999</v>
      </c>
      <c r="J12" s="9">
        <v>3.09E-2</v>
      </c>
      <c r="K12" s="9">
        <v>5.9899999999999997E-3</v>
      </c>
      <c r="L12" s="9">
        <v>92.9</v>
      </c>
      <c r="M12" s="9">
        <v>8.0799999999999997E-2</v>
      </c>
      <c r="N12" s="9">
        <v>9.1300000000000006E-2</v>
      </c>
      <c r="O12" s="9">
        <v>1.4999999999999999E-2</v>
      </c>
      <c r="P12" s="9">
        <v>15.1</v>
      </c>
      <c r="Q12" s="9">
        <v>13.5</v>
      </c>
      <c r="R12" s="9">
        <v>1.6</v>
      </c>
      <c r="S12" s="9">
        <v>1.18</v>
      </c>
      <c r="T12" s="9">
        <v>0.95</v>
      </c>
      <c r="U12" s="9">
        <v>4.3699999999999998E-3</v>
      </c>
      <c r="V12" s="9">
        <v>0.20300000000000001</v>
      </c>
      <c r="W12" s="9">
        <v>29</v>
      </c>
      <c r="X12" s="9">
        <v>1.96</v>
      </c>
    </row>
    <row r="13" spans="1:24" x14ac:dyDescent="0.3">
      <c r="A13" s="8">
        <v>5</v>
      </c>
      <c r="B13" s="9" t="s">
        <v>87</v>
      </c>
      <c r="C13" s="9" t="s">
        <v>88</v>
      </c>
      <c r="D13" s="9" t="s">
        <v>89</v>
      </c>
      <c r="E13" s="8">
        <v>1</v>
      </c>
      <c r="F13" s="8" t="s">
        <v>61</v>
      </c>
      <c r="G13" s="9">
        <v>1.79</v>
      </c>
      <c r="H13" s="9">
        <v>8.4000000000000011E-8</v>
      </c>
      <c r="I13" s="9">
        <v>5.9500000000000004E-3</v>
      </c>
      <c r="J13" s="9">
        <v>6.1499999999999999E-4</v>
      </c>
      <c r="K13" s="9">
        <v>3.3500000000000001E-4</v>
      </c>
      <c r="L13" s="9">
        <v>1.79</v>
      </c>
      <c r="M13" s="9">
        <v>7.7099999999999998E-3</v>
      </c>
      <c r="N13" s="9">
        <v>6.2599999999999999E-3</v>
      </c>
      <c r="O13" s="9">
        <v>4.6799999999999999E-4</v>
      </c>
      <c r="P13" s="9">
        <v>3.8199999999999998E-2</v>
      </c>
      <c r="Q13" s="9">
        <v>3.7100000000000001E-2</v>
      </c>
      <c r="R13" s="9">
        <v>8.09E-2</v>
      </c>
      <c r="S13" s="9">
        <v>4.02E-2</v>
      </c>
      <c r="T13" s="9">
        <v>2.63E-2</v>
      </c>
      <c r="U13" s="9">
        <v>2.04E-4</v>
      </c>
      <c r="V13" s="9">
        <v>8.1399999999999997E-3</v>
      </c>
      <c r="W13" s="9">
        <v>0.85799999999999998</v>
      </c>
      <c r="X13" s="9">
        <v>0.41599999999999998</v>
      </c>
    </row>
    <row r="14" spans="1:24" x14ac:dyDescent="0.3">
      <c r="A14" s="8">
        <v>6</v>
      </c>
      <c r="B14" s="9" t="s">
        <v>90</v>
      </c>
      <c r="C14" s="9" t="s">
        <v>90</v>
      </c>
      <c r="D14" s="9" t="s">
        <v>91</v>
      </c>
      <c r="E14" s="8">
        <v>1</v>
      </c>
      <c r="F14" s="8" t="s">
        <v>61</v>
      </c>
      <c r="G14" s="9">
        <v>0.77700000000000002</v>
      </c>
      <c r="H14" s="9">
        <f>2.38*10^-8</f>
        <v>2.3799999999999998E-8</v>
      </c>
      <c r="I14" s="9">
        <v>1.7099999999999999E-3</v>
      </c>
      <c r="J14" s="9">
        <f>8.39*10^-5</f>
        <v>8.3900000000000006E-5</v>
      </c>
      <c r="K14" s="9">
        <f>9.21*10^-5</f>
        <v>9.2100000000000016E-5</v>
      </c>
      <c r="L14" s="9">
        <v>9.4899999999999998E-2</v>
      </c>
      <c r="M14" s="9">
        <v>1.83E-3</v>
      </c>
      <c r="N14" s="9">
        <v>7.9500000000000003E-4</v>
      </c>
      <c r="O14" s="9">
        <f>3.48*10^-5</f>
        <v>3.4800000000000006E-5</v>
      </c>
      <c r="P14" s="9">
        <v>4.4000000000000003E-3</v>
      </c>
      <c r="Q14" s="9">
        <v>4.0699999999999998E-3</v>
      </c>
      <c r="R14" s="9">
        <v>1.66E-2</v>
      </c>
      <c r="S14" s="9">
        <v>8.3599999999999994E-3</v>
      </c>
      <c r="T14" s="9">
        <v>1.49E-2</v>
      </c>
      <c r="U14" s="9">
        <f>4.48*10^-5</f>
        <v>4.4800000000000005E-5</v>
      </c>
      <c r="V14" s="9">
        <v>1.1299999999999999E-3</v>
      </c>
      <c r="W14" s="9">
        <v>1.54E-2</v>
      </c>
      <c r="X14" s="9">
        <v>8.3000000000000004E-2</v>
      </c>
    </row>
    <row r="15" spans="1:24" x14ac:dyDescent="0.3">
      <c r="A15" s="8">
        <v>7</v>
      </c>
      <c r="B15" s="9" t="s">
        <v>92</v>
      </c>
      <c r="C15" s="9" t="s">
        <v>93</v>
      </c>
      <c r="D15" s="9" t="s">
        <v>94</v>
      </c>
      <c r="E15" s="8">
        <v>1</v>
      </c>
      <c r="F15" s="8" t="s">
        <v>61</v>
      </c>
      <c r="G15" s="9">
        <v>0.77600000000000002</v>
      </c>
      <c r="H15" s="9">
        <f>6.61*10^-8</f>
        <v>6.6100000000000003E-8</v>
      </c>
      <c r="I15" s="9">
        <v>3.4499999999999999E-3</v>
      </c>
      <c r="J15" s="9">
        <v>2.5000000000000001E-4</v>
      </c>
      <c r="K15" s="9">
        <v>1.7000000000000001E-4</v>
      </c>
      <c r="L15" s="9">
        <v>0.40699999999999997</v>
      </c>
      <c r="M15" s="9">
        <v>2.5400000000000002E-3</v>
      </c>
      <c r="N15" s="9">
        <v>1.04E-2</v>
      </c>
      <c r="O15" s="9">
        <v>1.15E-4</v>
      </c>
      <c r="P15" s="9">
        <v>3.5900000000000001E-2</v>
      </c>
      <c r="Q15" s="9">
        <v>3.2300000000000002E-2</v>
      </c>
      <c r="R15" s="9">
        <v>5.74E-2</v>
      </c>
      <c r="S15" s="9">
        <v>5.3499999999999999E-2</v>
      </c>
      <c r="T15" s="9">
        <v>3.9100000000000003E-2</v>
      </c>
      <c r="U15" s="9">
        <v>3.1799999999999998E-4</v>
      </c>
      <c r="V15" s="9">
        <v>6.13E-3</v>
      </c>
      <c r="W15" s="9">
        <v>0.217</v>
      </c>
      <c r="X15" s="9">
        <v>0.23899999999999999</v>
      </c>
    </row>
    <row r="16" spans="1:24" x14ac:dyDescent="0.3">
      <c r="A16" s="8">
        <v>8</v>
      </c>
      <c r="B16" s="9" t="s">
        <v>95</v>
      </c>
      <c r="C16" s="9" t="s">
        <v>95</v>
      </c>
      <c r="D16" s="9" t="s">
        <v>96</v>
      </c>
      <c r="E16" s="8">
        <v>1</v>
      </c>
      <c r="F16" s="8" t="s">
        <v>61</v>
      </c>
      <c r="G16" s="9">
        <v>1.0200000000000001E-2</v>
      </c>
      <c r="H16" s="9">
        <v>1.2400000000000001E-9</v>
      </c>
      <c r="I16" s="9">
        <v>6.8499999999999998E-5</v>
      </c>
      <c r="J16" s="10">
        <v>2.9900000000000002E-6</v>
      </c>
      <c r="K16" s="10">
        <v>3.4999999999999999E-6</v>
      </c>
      <c r="L16" s="10">
        <v>6.2300000000000003E-3</v>
      </c>
      <c r="M16" s="10">
        <v>7.8200000000000003E-5</v>
      </c>
      <c r="N16" s="10">
        <v>3.5300000000000004E-5</v>
      </c>
      <c r="O16" s="9">
        <v>2.96E-6</v>
      </c>
      <c r="P16" s="9">
        <v>7.7300000000000003E-4</v>
      </c>
      <c r="Q16" s="9">
        <v>7.0500000000000001E-4</v>
      </c>
      <c r="R16" s="9">
        <v>6.4300000000000002E-4</v>
      </c>
      <c r="S16" s="9">
        <v>4.4999999999999999E-4</v>
      </c>
      <c r="T16" s="9">
        <v>9.859999999999999E-4</v>
      </c>
      <c r="U16" s="9">
        <v>3.0499999999999996E-6</v>
      </c>
      <c r="V16" s="9">
        <v>5.4700000000000001E-5</v>
      </c>
      <c r="W16" s="9">
        <v>5.8300000000000001E-3</v>
      </c>
      <c r="X16" s="10">
        <v>2.97E-3</v>
      </c>
    </row>
    <row r="17" spans="1:25" x14ac:dyDescent="0.3">
      <c r="A17" s="8">
        <v>9</v>
      </c>
      <c r="B17" s="9" t="s">
        <v>97</v>
      </c>
      <c r="C17" s="9" t="s">
        <v>95</v>
      </c>
      <c r="D17" s="9" t="s">
        <v>98</v>
      </c>
      <c r="E17" s="8">
        <v>1</v>
      </c>
      <c r="F17" s="8" t="s">
        <v>61</v>
      </c>
      <c r="G17" s="9">
        <v>0.311</v>
      </c>
      <c r="H17" s="9">
        <f>2.54*10^-8</f>
        <v>2.5400000000000002E-8</v>
      </c>
      <c r="I17" s="9">
        <v>8.7399999999999999E-4</v>
      </c>
      <c r="J17" s="9">
        <f>3.55*10^-5</f>
        <v>3.5500000000000002E-5</v>
      </c>
      <c r="K17" s="9">
        <f>4.33*10^-5</f>
        <v>4.3300000000000002E-5</v>
      </c>
      <c r="L17" s="9">
        <v>5.3699999999999998E-2</v>
      </c>
      <c r="M17" s="9">
        <v>1.1199999999999999E-3</v>
      </c>
      <c r="N17" s="9">
        <v>4.1399999999999998E-4</v>
      </c>
      <c r="O17" s="9">
        <f>3.75*10^-5</f>
        <v>3.7500000000000003E-5</v>
      </c>
      <c r="P17" s="9">
        <v>3.79E-3</v>
      </c>
      <c r="Q17" s="9">
        <v>3.3999999999999998E-3</v>
      </c>
      <c r="R17" s="9">
        <v>1.29E-2</v>
      </c>
      <c r="S17" s="9">
        <v>6.5799999999999999E-3</v>
      </c>
      <c r="T17" s="9">
        <v>6.5799999999999999E-3</v>
      </c>
      <c r="U17" s="9">
        <f>6.1*10^-5</f>
        <v>6.0999999999999999E-5</v>
      </c>
      <c r="V17" s="9">
        <v>5.6099999999999998E-4</v>
      </c>
      <c r="W17" s="9">
        <v>1.8100000000000002E-2</v>
      </c>
      <c r="X17" s="9">
        <v>7.5300000000000006E-2</v>
      </c>
    </row>
    <row r="18" spans="1:25" x14ac:dyDescent="0.3">
      <c r="A18" s="8">
        <v>10</v>
      </c>
      <c r="B18" s="9" t="s">
        <v>99</v>
      </c>
      <c r="C18" s="9" t="s">
        <v>99</v>
      </c>
      <c r="D18" s="9" t="s">
        <v>100</v>
      </c>
      <c r="E18" s="8">
        <v>1</v>
      </c>
      <c r="F18" s="8" t="s">
        <v>61</v>
      </c>
      <c r="G18" s="9">
        <f>G19/$C$2</f>
        <v>0.1128</v>
      </c>
      <c r="H18" s="9">
        <f>H19/$C$2</f>
        <v>6.0800000000000005E-9</v>
      </c>
      <c r="I18" s="9">
        <f>I19/$C$2</f>
        <v>3.2000000000000003E-4</v>
      </c>
      <c r="J18" s="9">
        <f>J19/$C$2</f>
        <v>1.4440000000000001E-5</v>
      </c>
      <c r="K18" s="9">
        <f>K19/$C$2</f>
        <v>1.7399999999999999E-5</v>
      </c>
      <c r="L18" s="9">
        <f>L19/$C$2</f>
        <v>1.916E-2</v>
      </c>
      <c r="M18" s="9">
        <f>M19/$C$2</f>
        <v>3.7200000000000004E-4</v>
      </c>
      <c r="N18" s="9">
        <f>N19/$C$2</f>
        <v>1.54E-4</v>
      </c>
      <c r="O18" s="9">
        <f>O19/$C$2</f>
        <v>1.1759999999999999E-5</v>
      </c>
      <c r="P18" s="9">
        <f>P19/$C$2</f>
        <v>1.088E-3</v>
      </c>
      <c r="Q18" s="9">
        <f>Q19/$C$2</f>
        <v>1.0319999999999999E-3</v>
      </c>
      <c r="R18" s="9">
        <f>R19/$C$2</f>
        <v>4.2399999999999998E-3</v>
      </c>
      <c r="S18" s="9">
        <f>S19/$C$2</f>
        <v>1.6000000000000001E-3</v>
      </c>
      <c r="T18" s="9">
        <f>T19/$C$2</f>
        <v>5.9199999999999999E-3</v>
      </c>
      <c r="U18" s="9">
        <f>U19/$C$2</f>
        <v>3.5160000000000002E-5</v>
      </c>
      <c r="V18" s="9">
        <f>V19/$C$2</f>
        <v>1.0199999999999999E-3</v>
      </c>
      <c r="W18" s="9">
        <f>W19/$C$2</f>
        <v>4.0400000000000002E-3</v>
      </c>
      <c r="X18" s="9">
        <f>X19/$C$2</f>
        <v>1.8080000000000002E-2</v>
      </c>
      <c r="Y18" s="6" t="s">
        <v>101</v>
      </c>
    </row>
    <row r="19" spans="1:25" hidden="1" x14ac:dyDescent="0.3">
      <c r="D19" s="9" t="s">
        <v>100</v>
      </c>
      <c r="E19" s="8">
        <v>1</v>
      </c>
      <c r="F19" s="8" t="s">
        <v>75</v>
      </c>
      <c r="G19" s="9">
        <v>282</v>
      </c>
      <c r="H19" s="9">
        <v>1.5200000000000002E-5</v>
      </c>
      <c r="I19" s="9">
        <v>0.8</v>
      </c>
      <c r="J19" s="9">
        <v>3.61E-2</v>
      </c>
      <c r="K19" s="9">
        <v>4.3499999999999997E-2</v>
      </c>
      <c r="L19" s="9">
        <v>47.9</v>
      </c>
      <c r="M19" s="9">
        <v>0.93</v>
      </c>
      <c r="N19" s="9">
        <v>0.38500000000000001</v>
      </c>
      <c r="O19" s="9">
        <v>2.9399999999999999E-2</v>
      </c>
      <c r="P19" s="9">
        <v>2.72</v>
      </c>
      <c r="Q19" s="9">
        <v>2.58</v>
      </c>
      <c r="R19" s="9">
        <v>10.6</v>
      </c>
      <c r="S19" s="9">
        <v>4</v>
      </c>
      <c r="T19" s="9">
        <v>14.8</v>
      </c>
      <c r="U19" s="9">
        <v>8.7900000000000006E-2</v>
      </c>
      <c r="V19" s="9">
        <v>2.5499999999999998</v>
      </c>
      <c r="W19" s="9">
        <v>10.1</v>
      </c>
      <c r="X19" s="9">
        <v>45.2</v>
      </c>
    </row>
    <row r="20" spans="1:25" x14ac:dyDescent="0.3">
      <c r="A20" s="8">
        <v>11</v>
      </c>
      <c r="B20" s="9" t="s">
        <v>102</v>
      </c>
      <c r="C20" s="9" t="s">
        <v>99</v>
      </c>
      <c r="D20" s="9" t="s">
        <v>103</v>
      </c>
      <c r="E20" s="8">
        <v>1</v>
      </c>
      <c r="F20" s="8" t="s">
        <v>61</v>
      </c>
      <c r="G20" s="9">
        <v>0.157</v>
      </c>
      <c r="H20" s="9">
        <f>9.7*10^-9</f>
        <v>9.6999999999999992E-9</v>
      </c>
      <c r="I20" s="9">
        <v>4.9600000000000002E-4</v>
      </c>
      <c r="J20" s="9">
        <f>2.7*10^-5</f>
        <v>2.7000000000000002E-5</v>
      </c>
      <c r="K20" s="9">
        <f>2.85*10^-5</f>
        <v>2.8500000000000002E-5</v>
      </c>
      <c r="L20" s="9">
        <v>3.7199999999999997E-2</v>
      </c>
      <c r="M20" s="9">
        <v>5.7200000000000003E-4</v>
      </c>
      <c r="N20" s="10">
        <v>2.5799999999999998E-4</v>
      </c>
      <c r="O20" s="10">
        <f>2.13*10^-5</f>
        <v>2.1299999999999999E-5</v>
      </c>
      <c r="P20" s="9">
        <v>2.5500000000000002E-3</v>
      </c>
      <c r="Q20" s="9">
        <v>2.3900000000000002E-3</v>
      </c>
      <c r="R20" s="9">
        <v>6.4999999999999997E-3</v>
      </c>
      <c r="S20" s="9">
        <v>9.3100000000000006E-3</v>
      </c>
      <c r="T20" s="9">
        <v>7.5100000000000002E-3</v>
      </c>
      <c r="U20" s="9">
        <f>4.03*10^-5</f>
        <v>4.0300000000000004E-5</v>
      </c>
      <c r="V20" s="9">
        <v>1.31E-3</v>
      </c>
      <c r="W20" s="9">
        <v>1.5800000000000002E-2</v>
      </c>
      <c r="X20" s="9">
        <v>2.9100000000000001E-2</v>
      </c>
    </row>
    <row r="21" spans="1:25" x14ac:dyDescent="0.3">
      <c r="A21" s="8">
        <v>12</v>
      </c>
      <c r="B21" s="9" t="s">
        <v>104</v>
      </c>
      <c r="C21" s="9" t="s">
        <v>104</v>
      </c>
      <c r="D21" s="9" t="s">
        <v>105</v>
      </c>
      <c r="E21" s="8">
        <v>1</v>
      </c>
      <c r="F21" s="8" t="s">
        <v>61</v>
      </c>
      <c r="G21" s="9">
        <v>6.65</v>
      </c>
      <c r="H21" s="9">
        <v>1.3799999999999999E-6</v>
      </c>
      <c r="I21" s="9">
        <v>0.41799999999999998</v>
      </c>
      <c r="J21" s="9">
        <v>6.2E-2</v>
      </c>
      <c r="K21" s="9">
        <v>1.06E-2</v>
      </c>
      <c r="L21" s="9">
        <v>146</v>
      </c>
      <c r="M21" s="9">
        <v>0.11</v>
      </c>
      <c r="N21" s="9">
        <v>0.14099999999999999</v>
      </c>
      <c r="O21" s="9">
        <v>1.7899999999999999E-2</v>
      </c>
      <c r="P21" s="9">
        <v>31.9</v>
      </c>
      <c r="Q21" s="9">
        <v>28.2</v>
      </c>
      <c r="R21" s="9">
        <v>1.63</v>
      </c>
      <c r="S21" s="9">
        <v>1.64</v>
      </c>
      <c r="T21" s="9">
        <v>0.63500000000000001</v>
      </c>
      <c r="U21" s="9">
        <v>3.5699999999999998E-3</v>
      </c>
      <c r="V21" s="9">
        <v>0.17699999999999999</v>
      </c>
      <c r="W21" s="9">
        <v>38.1</v>
      </c>
      <c r="X21" s="9">
        <v>1.94</v>
      </c>
    </row>
    <row r="22" spans="1:25" x14ac:dyDescent="0.3">
      <c r="A22" s="8">
        <v>13</v>
      </c>
      <c r="B22" s="9" t="s">
        <v>106</v>
      </c>
      <c r="C22" s="9" t="s">
        <v>107</v>
      </c>
      <c r="D22" s="9" t="s">
        <v>108</v>
      </c>
      <c r="E22" s="8">
        <v>1</v>
      </c>
      <c r="F22" s="8" t="s">
        <v>61</v>
      </c>
      <c r="G22" s="9">
        <v>31.6</v>
      </c>
      <c r="H22" s="9">
        <f>3.01*10^-6</f>
        <v>3.0099999999999996E-6</v>
      </c>
      <c r="I22" s="9">
        <v>0.20599999999999999</v>
      </c>
      <c r="J22" s="9">
        <v>4.24E-2</v>
      </c>
      <c r="K22" s="9">
        <v>1.1299999999999999E-2</v>
      </c>
      <c r="L22" s="9">
        <v>62.6</v>
      </c>
      <c r="M22" s="9">
        <v>0.14000000000000001</v>
      </c>
      <c r="N22" s="9">
        <v>9.8199999999999996E-2</v>
      </c>
      <c r="O22" s="9">
        <v>9.2200000000000008E-3</v>
      </c>
      <c r="P22" s="9">
        <v>10.8</v>
      </c>
      <c r="Q22" s="9">
        <v>9.7799999999999994</v>
      </c>
      <c r="R22" s="9">
        <v>3.89</v>
      </c>
      <c r="S22" s="9">
        <v>2.04</v>
      </c>
      <c r="T22" s="9">
        <v>1.08</v>
      </c>
      <c r="U22" s="9">
        <v>7.11E-3</v>
      </c>
      <c r="V22" s="9">
        <v>0.27600000000000002</v>
      </c>
      <c r="W22" s="9">
        <v>31.6</v>
      </c>
      <c r="X22" s="9">
        <v>8.89</v>
      </c>
    </row>
    <row r="23" spans="1:25" x14ac:dyDescent="0.3">
      <c r="A23" s="8">
        <v>14</v>
      </c>
      <c r="B23" s="9" t="s">
        <v>109</v>
      </c>
      <c r="C23" s="9" t="s">
        <v>78</v>
      </c>
      <c r="D23" s="9" t="s">
        <v>110</v>
      </c>
      <c r="E23" s="8">
        <v>1</v>
      </c>
      <c r="F23" s="8" t="s">
        <v>61</v>
      </c>
      <c r="G23" s="9">
        <v>2.86</v>
      </c>
      <c r="H23" s="9">
        <f>1.29*10^-7</f>
        <v>1.29E-7</v>
      </c>
      <c r="I23" s="9">
        <v>9.8499999999999994E-3</v>
      </c>
      <c r="J23" s="9">
        <v>7.1100000000000004E-4</v>
      </c>
      <c r="K23" s="9">
        <v>5.9800000000000001E-4</v>
      </c>
      <c r="L23" s="9">
        <v>0.68100000000000005</v>
      </c>
      <c r="M23" s="9">
        <v>9.9799999999999993E-3</v>
      </c>
      <c r="N23" s="9">
        <v>4.3499999999999997E-3</v>
      </c>
      <c r="O23" s="9">
        <v>2.4299999999999999E-3</v>
      </c>
      <c r="P23" s="9">
        <v>5.04E-2</v>
      </c>
      <c r="Q23" s="9">
        <v>4.5400000000000003E-2</v>
      </c>
      <c r="R23" s="9">
        <v>0.25900000000000001</v>
      </c>
      <c r="S23" s="9">
        <v>0.24299999999999999</v>
      </c>
      <c r="T23" s="9">
        <v>2.76E-2</v>
      </c>
      <c r="U23" s="9">
        <v>3.5799999999999997E-4</v>
      </c>
      <c r="V23" s="9">
        <v>6.08E-2</v>
      </c>
      <c r="W23" s="9">
        <v>0.11700000000000001</v>
      </c>
      <c r="X23" s="9">
        <v>1.87</v>
      </c>
    </row>
    <row r="24" spans="1:25" x14ac:dyDescent="0.3">
      <c r="A24" s="8">
        <v>15</v>
      </c>
      <c r="B24" s="9" t="s">
        <v>111</v>
      </c>
      <c r="C24" s="9" t="s">
        <v>90</v>
      </c>
      <c r="D24" s="9" t="s">
        <v>112</v>
      </c>
      <c r="E24" s="8">
        <v>1</v>
      </c>
      <c r="F24" s="8" t="s">
        <v>61</v>
      </c>
      <c r="G24" s="9">
        <v>1.81</v>
      </c>
      <c r="H24" s="9">
        <f>1.15*10^-7</f>
        <v>1.1499999999999998E-7</v>
      </c>
      <c r="I24" s="9">
        <v>1.0500000000000001E-2</v>
      </c>
      <c r="J24" s="9">
        <v>9.1100000000000003E-4</v>
      </c>
      <c r="K24" s="9">
        <v>1.6299999999999999E-3</v>
      </c>
      <c r="L24" s="9">
        <v>2.57</v>
      </c>
      <c r="M24" s="9">
        <v>8.3700000000000007E-3</v>
      </c>
      <c r="N24" s="9">
        <v>5.1399999999999996E-3</v>
      </c>
      <c r="O24" s="9">
        <v>1.5900000000000001E-3</v>
      </c>
      <c r="P24" s="9">
        <v>0.14899999999999999</v>
      </c>
      <c r="Q24" s="9">
        <v>0.13600000000000001</v>
      </c>
      <c r="R24" s="9">
        <v>14.8</v>
      </c>
      <c r="S24" s="9">
        <v>2.74</v>
      </c>
      <c r="T24" s="9">
        <v>5.7700000000000001E-2</v>
      </c>
      <c r="U24" s="9">
        <v>3.9599999999999998E-4</v>
      </c>
      <c r="V24" s="9">
        <v>0.439</v>
      </c>
      <c r="W24" s="9">
        <v>0.755</v>
      </c>
      <c r="X24" s="9">
        <v>0.64400000000000002</v>
      </c>
    </row>
    <row r="25" spans="1:25" x14ac:dyDescent="0.3">
      <c r="A25" s="8">
        <v>16</v>
      </c>
      <c r="B25" s="9" t="s">
        <v>113</v>
      </c>
      <c r="C25" s="9" t="s">
        <v>78</v>
      </c>
      <c r="D25" s="9" t="s">
        <v>114</v>
      </c>
      <c r="E25" s="8">
        <v>1</v>
      </c>
      <c r="F25" s="8" t="s">
        <v>61</v>
      </c>
      <c r="G25" s="9">
        <v>8.7200000000000006</v>
      </c>
      <c r="H25" s="9">
        <v>1.4099999999999998E-7</v>
      </c>
      <c r="I25" s="9">
        <v>2.93E-2</v>
      </c>
      <c r="J25" s="9">
        <v>7.6300000000000001E-4</v>
      </c>
      <c r="K25" s="9">
        <v>7.0299999999999998E-3</v>
      </c>
      <c r="L25" s="9">
        <v>0.56899999999999995</v>
      </c>
      <c r="M25" s="9">
        <v>2.23E-2</v>
      </c>
      <c r="N25" s="9">
        <v>1.12E-2</v>
      </c>
      <c r="O25" s="9">
        <v>1.83E-4</v>
      </c>
      <c r="P25" s="9">
        <v>3.2800000000000003E-2</v>
      </c>
      <c r="Q25" s="9">
        <v>2.9399999999999999E-2</v>
      </c>
      <c r="R25" s="9">
        <v>0.27</v>
      </c>
      <c r="S25" s="9">
        <v>0.19</v>
      </c>
      <c r="T25" s="9">
        <v>2.1899999999999999E-2</v>
      </c>
      <c r="U25" s="9">
        <v>3.0400000000000002E-4</v>
      </c>
      <c r="V25" s="9">
        <v>0.20899999999999999</v>
      </c>
      <c r="W25" s="9">
        <v>4.87E-2</v>
      </c>
      <c r="X25" s="9">
        <v>2.78</v>
      </c>
    </row>
    <row r="26" spans="1:25" x14ac:dyDescent="0.3">
      <c r="A26" s="8">
        <v>17</v>
      </c>
      <c r="B26" s="9" t="s">
        <v>115</v>
      </c>
      <c r="C26" s="9" t="s">
        <v>116</v>
      </c>
      <c r="D26" s="9" t="s">
        <v>117</v>
      </c>
      <c r="E26" s="8">
        <v>1</v>
      </c>
      <c r="F26" s="8" t="s">
        <v>61</v>
      </c>
      <c r="G26" s="9">
        <v>1</v>
      </c>
      <c r="H26" s="9">
        <v>7.6399999999999996E-8</v>
      </c>
      <c r="I26" s="9">
        <v>8.1499999999999993E-3</v>
      </c>
      <c r="J26" s="9">
        <v>1.13E-4</v>
      </c>
      <c r="K26" s="9">
        <v>2.32E-4</v>
      </c>
      <c r="L26" s="9">
        <v>0.16500000000000001</v>
      </c>
      <c r="M26" s="9">
        <v>5.0400000000000002E-3</v>
      </c>
      <c r="N26" s="9">
        <v>2.64E-3</v>
      </c>
      <c r="O26" s="9">
        <v>7.4500000000000008E-5</v>
      </c>
      <c r="P26" s="9">
        <v>1.4500000000000001E-2</v>
      </c>
      <c r="Q26" s="9">
        <v>1.23E-2</v>
      </c>
      <c r="R26" s="9">
        <v>3.3500000000000002E-2</v>
      </c>
      <c r="S26" s="9">
        <v>3.7999999999999999E-2</v>
      </c>
      <c r="T26" s="9">
        <v>2.46E-2</v>
      </c>
      <c r="U26" s="9">
        <v>2.1800000000000001E-4</v>
      </c>
      <c r="V26" s="9">
        <v>5.1900000000000002E-3</v>
      </c>
      <c r="W26" s="9">
        <v>0.155</v>
      </c>
      <c r="X26" s="9">
        <v>0.248</v>
      </c>
    </row>
    <row r="27" spans="1:25" x14ac:dyDescent="0.3">
      <c r="A27" s="8">
        <v>18</v>
      </c>
      <c r="B27" s="9" t="s">
        <v>118</v>
      </c>
      <c r="C27" s="9" t="s">
        <v>78</v>
      </c>
      <c r="D27" s="9" t="s">
        <v>119</v>
      </c>
      <c r="E27" s="8">
        <v>1</v>
      </c>
      <c r="F27" s="8" t="s">
        <v>61</v>
      </c>
      <c r="G27" s="9">
        <v>1.04</v>
      </c>
      <c r="H27" s="9">
        <v>7.1200000000000002E-8</v>
      </c>
      <c r="I27" s="9">
        <v>5.7299999999999999E-3</v>
      </c>
      <c r="J27" s="9">
        <v>4.5600000000000003E-4</v>
      </c>
      <c r="K27" s="9">
        <v>8.0400000000000003E-4</v>
      </c>
      <c r="L27" s="9">
        <v>1.1000000000000001</v>
      </c>
      <c r="M27" s="9">
        <v>5.0000000000000001E-3</v>
      </c>
      <c r="N27" s="9">
        <v>2.7599999999999999E-3</v>
      </c>
      <c r="O27" s="9">
        <v>8.0699999999999999E-4</v>
      </c>
      <c r="P27" s="9">
        <v>6.2600000000000003E-2</v>
      </c>
      <c r="Q27" s="9">
        <v>5.7299999999999997E-2</v>
      </c>
      <c r="R27" s="9">
        <v>5.0599999999999996</v>
      </c>
      <c r="S27" s="9">
        <v>1.6</v>
      </c>
      <c r="T27" s="9">
        <v>0.03</v>
      </c>
      <c r="U27" s="9">
        <v>1.83E-4</v>
      </c>
      <c r="V27" s="9">
        <v>0.16200000000000001</v>
      </c>
      <c r="W27" s="9">
        <v>0.3</v>
      </c>
      <c r="X27" s="9">
        <v>0.379</v>
      </c>
    </row>
    <row r="28" spans="1:25" x14ac:dyDescent="0.3">
      <c r="A28" s="8">
        <v>19</v>
      </c>
      <c r="B28" s="9" t="s">
        <v>120</v>
      </c>
      <c r="C28" s="9" t="s">
        <v>116</v>
      </c>
      <c r="D28" s="9" t="s">
        <v>121</v>
      </c>
      <c r="E28" s="8">
        <v>1</v>
      </c>
      <c r="F28" s="8" t="s">
        <v>61</v>
      </c>
      <c r="G28" s="9">
        <v>2.2400000000000002</v>
      </c>
      <c r="H28" s="9">
        <f>1.34*10^-7</f>
        <v>1.3400000000000001E-7</v>
      </c>
      <c r="I28" s="9">
        <v>1.5100000000000001E-2</v>
      </c>
      <c r="J28" s="9">
        <v>7.1599999999999995E-4</v>
      </c>
      <c r="K28" s="9">
        <v>8.0900000000000004E-4</v>
      </c>
      <c r="L28" s="9">
        <v>0.78400000000000003</v>
      </c>
      <c r="M28" s="9">
        <v>1.38E-2</v>
      </c>
      <c r="N28" s="9">
        <v>7.0000000000000001E-3</v>
      </c>
      <c r="O28" s="9">
        <v>2.4399999999999999E-4</v>
      </c>
      <c r="P28" s="9">
        <v>5.04E-2</v>
      </c>
      <c r="Q28" s="9">
        <v>4.4900000000000002E-2</v>
      </c>
      <c r="R28" s="9">
        <v>0.16400000000000001</v>
      </c>
      <c r="S28" s="9">
        <v>0.19400000000000001</v>
      </c>
      <c r="T28" s="9">
        <v>0.14899999999999999</v>
      </c>
      <c r="U28" s="9">
        <v>1.0399999999999999E-3</v>
      </c>
      <c r="V28" s="9">
        <v>1.37E-2</v>
      </c>
      <c r="W28" s="9">
        <v>0.15</v>
      </c>
      <c r="X28" s="9">
        <v>0.621</v>
      </c>
    </row>
    <row r="29" spans="1:25" x14ac:dyDescent="0.3">
      <c r="A29" s="8">
        <v>20</v>
      </c>
      <c r="B29" s="9" t="s">
        <v>122</v>
      </c>
      <c r="C29" s="9" t="s">
        <v>123</v>
      </c>
      <c r="D29" s="9" t="s">
        <v>124</v>
      </c>
      <c r="E29" s="8">
        <v>1</v>
      </c>
      <c r="F29" s="8" t="s">
        <v>61</v>
      </c>
      <c r="G29" s="9">
        <v>2.94</v>
      </c>
      <c r="H29" s="9">
        <v>2.5299999999999995E-7</v>
      </c>
      <c r="I29" s="9">
        <v>1.5900000000000001E-2</v>
      </c>
      <c r="J29" s="9">
        <v>1.9E-3</v>
      </c>
      <c r="K29" s="9">
        <v>1.3500000000000001E-3</v>
      </c>
      <c r="L29" s="9">
        <v>1.08</v>
      </c>
      <c r="M29" s="9">
        <v>1.09E-2</v>
      </c>
      <c r="N29" s="9">
        <v>7.5799999999999999E-3</v>
      </c>
      <c r="O29" s="9">
        <v>3.3899999999999998E-3</v>
      </c>
      <c r="P29" s="9">
        <v>7.8600000000000003E-2</v>
      </c>
      <c r="Q29" s="9">
        <v>7.0199999999999999E-2</v>
      </c>
      <c r="R29" s="9">
        <v>0.309</v>
      </c>
      <c r="S29" s="9">
        <v>0.21299999999999999</v>
      </c>
      <c r="T29" s="9">
        <v>3.2300000000000002E-2</v>
      </c>
      <c r="U29" s="9">
        <v>6.9800000000000005E-4</v>
      </c>
      <c r="V29" s="9">
        <v>4.4400000000000002E-2</v>
      </c>
      <c r="W29" s="9">
        <v>0.82699999999999996</v>
      </c>
      <c r="X29" s="9">
        <v>0.90100000000000002</v>
      </c>
    </row>
    <row r="30" spans="1:25" x14ac:dyDescent="0.3">
      <c r="A30" s="8">
        <v>21</v>
      </c>
      <c r="B30" s="9" t="s">
        <v>125</v>
      </c>
      <c r="C30" s="9" t="s">
        <v>126</v>
      </c>
      <c r="D30" s="9" t="s">
        <v>127</v>
      </c>
      <c r="E30" s="8">
        <v>1</v>
      </c>
      <c r="F30" s="8" t="s">
        <v>61</v>
      </c>
      <c r="G30" s="9">
        <v>2.29</v>
      </c>
      <c r="H30" s="9">
        <v>1.4499999999999999E-7</v>
      </c>
      <c r="I30" s="9">
        <v>1.2500000000000001E-2</v>
      </c>
      <c r="J30" s="9">
        <v>1.0499999999999999E-3</v>
      </c>
      <c r="K30" s="9">
        <v>1.83E-3</v>
      </c>
      <c r="L30" s="9">
        <v>2.52</v>
      </c>
      <c r="M30" s="9">
        <v>1.0500000000000001E-2</v>
      </c>
      <c r="N30" s="9">
        <v>5.9899999999999997E-3</v>
      </c>
      <c r="O30" s="9">
        <v>1.83E-3</v>
      </c>
      <c r="P30" s="9">
        <v>0.14499999999999999</v>
      </c>
      <c r="Q30" s="9">
        <v>0.13200000000000001</v>
      </c>
      <c r="R30" s="9">
        <v>11.8</v>
      </c>
      <c r="S30" s="9">
        <v>3.72</v>
      </c>
      <c r="T30" s="9">
        <v>6.0900000000000003E-2</v>
      </c>
      <c r="U30" s="9">
        <v>3.7800000000000003E-4</v>
      </c>
      <c r="V30" s="9">
        <v>0.377</v>
      </c>
      <c r="W30" s="9">
        <v>0.69</v>
      </c>
      <c r="X30" s="9">
        <v>0.83499999999999996</v>
      </c>
    </row>
    <row r="31" spans="1:25" x14ac:dyDescent="0.3">
      <c r="A31" s="8">
        <v>22</v>
      </c>
      <c r="B31" s="9" t="s">
        <v>128</v>
      </c>
      <c r="C31" s="9" t="s">
        <v>78</v>
      </c>
      <c r="D31" s="9" t="s">
        <v>129</v>
      </c>
      <c r="E31" s="8">
        <v>1</v>
      </c>
      <c r="F31" s="8" t="s">
        <v>61</v>
      </c>
      <c r="G31" s="9">
        <v>2.48</v>
      </c>
      <c r="H31" s="9">
        <v>6.34E-12</v>
      </c>
      <c r="I31" s="9">
        <v>8.7399999999999995E-3</v>
      </c>
      <c r="J31" s="9">
        <v>4.7699999999999994E-7</v>
      </c>
      <c r="K31" s="9">
        <v>1.8000000000000001E-4</v>
      </c>
      <c r="L31" s="9">
        <v>3.3599999999999998E-2</v>
      </c>
      <c r="M31" s="9">
        <v>5.9800000000000001E-3</v>
      </c>
      <c r="N31" s="9">
        <v>3.0300000000000001E-3</v>
      </c>
      <c r="O31" s="9">
        <v>4.3099999999999993E-7</v>
      </c>
      <c r="P31" s="9">
        <v>3.3600000000000004E-5</v>
      </c>
      <c r="Q31" s="9">
        <v>1.9300000000000002E-5</v>
      </c>
      <c r="R31" s="9">
        <v>0</v>
      </c>
      <c r="S31" s="9">
        <v>0</v>
      </c>
      <c r="T31" s="9">
        <v>0</v>
      </c>
      <c r="U31" s="9">
        <v>0</v>
      </c>
      <c r="V31" s="9">
        <v>4.65E-2</v>
      </c>
      <c r="W31" s="9">
        <v>1.6999999999999999E-3</v>
      </c>
      <c r="X31" s="9">
        <v>1.78</v>
      </c>
    </row>
    <row r="32" spans="1:25" x14ac:dyDescent="0.3">
      <c r="A32" s="8">
        <v>23</v>
      </c>
      <c r="B32" s="9" t="s">
        <v>130</v>
      </c>
      <c r="C32" s="9" t="s">
        <v>130</v>
      </c>
      <c r="D32" s="9" t="s">
        <v>131</v>
      </c>
      <c r="E32" s="8">
        <v>1</v>
      </c>
      <c r="F32" s="8" t="s">
        <v>61</v>
      </c>
      <c r="G32" s="9">
        <v>2.08</v>
      </c>
      <c r="H32" s="9">
        <f>1.31*10^-7</f>
        <v>1.31E-7</v>
      </c>
      <c r="I32" s="9">
        <v>1.7899999999999999E-2</v>
      </c>
      <c r="J32" s="9">
        <v>1.5E-3</v>
      </c>
      <c r="K32" s="9">
        <v>6.7699999999999998E-4</v>
      </c>
      <c r="L32" s="9">
        <v>8.56</v>
      </c>
      <c r="M32" s="9">
        <v>8.8900000000000003E-3</v>
      </c>
      <c r="N32" s="9">
        <v>8.0400000000000003E-3</v>
      </c>
      <c r="O32" s="9">
        <v>1.0499999999999999E-3</v>
      </c>
      <c r="P32" s="9">
        <v>0.317</v>
      </c>
      <c r="Q32" s="9">
        <v>0.28399999999999997</v>
      </c>
      <c r="R32" s="9">
        <v>0.19400000000000001</v>
      </c>
      <c r="S32" s="9">
        <v>8.5599999999999996E-2</v>
      </c>
      <c r="T32" s="9">
        <v>7.8899999999999998E-2</v>
      </c>
      <c r="U32" s="9">
        <v>4.17E-4</v>
      </c>
      <c r="V32" s="9">
        <v>2.7699999999999999E-2</v>
      </c>
      <c r="W32" s="9">
        <v>1.81</v>
      </c>
      <c r="X32" s="9">
        <v>0.55000000000000004</v>
      </c>
    </row>
    <row r="33" spans="1:25" x14ac:dyDescent="0.3">
      <c r="A33" s="8">
        <v>24</v>
      </c>
      <c r="B33" s="9" t="s">
        <v>132</v>
      </c>
      <c r="C33" s="9" t="s">
        <v>99</v>
      </c>
      <c r="D33" s="9" t="s">
        <v>133</v>
      </c>
      <c r="E33" s="8">
        <v>1</v>
      </c>
      <c r="F33" s="8" t="s">
        <v>61</v>
      </c>
      <c r="G33" s="9">
        <f>G34/$C$2</f>
        <v>6.4799999999999996E-2</v>
      </c>
      <c r="H33" s="9">
        <f>H34/$C$2</f>
        <v>4.3600000000000007E-9</v>
      </c>
      <c r="I33" s="9">
        <f>I34/$C$2</f>
        <v>2.064E-4</v>
      </c>
      <c r="J33" s="9">
        <f>J34/$C$2</f>
        <v>8.7999999999999988E-6</v>
      </c>
      <c r="K33" s="9">
        <f>K34/$C$2</f>
        <v>1.084E-5</v>
      </c>
      <c r="L33" s="9">
        <f>L34/$C$2</f>
        <v>1.264E-2</v>
      </c>
      <c r="M33" s="9">
        <f>M34/$C$2</f>
        <v>2.4159999999999999E-4</v>
      </c>
      <c r="N33" s="9">
        <f>N34/$C$2</f>
        <v>1.008E-4</v>
      </c>
      <c r="O33" s="9">
        <f>O34/$C$2</f>
        <v>8.5199999999999997E-6</v>
      </c>
      <c r="P33" s="9">
        <f>P34/$C$2</f>
        <v>8.0000000000000004E-4</v>
      </c>
      <c r="Q33" s="9">
        <f>Q34/$C$2</f>
        <v>7.6399999999999992E-4</v>
      </c>
      <c r="R33" s="9">
        <f>R34/$C$2</f>
        <v>2.9399999999999999E-3</v>
      </c>
      <c r="S33" s="9">
        <f>S34/$C$2</f>
        <v>1.0039999999999999E-3</v>
      </c>
      <c r="T33" s="9">
        <f>T34/$C$2</f>
        <v>3.5960000000000002E-3</v>
      </c>
      <c r="U33" s="9">
        <f>U34/$C$2</f>
        <v>2.1360000000000002E-5</v>
      </c>
      <c r="V33" s="9">
        <f>V34/$C$2</f>
        <v>1.1839999999999999E-3</v>
      </c>
      <c r="W33" s="9">
        <f>W34/$C$2</f>
        <v>2.928E-3</v>
      </c>
      <c r="X33" s="9">
        <f>X34/$C$2</f>
        <v>1.172E-2</v>
      </c>
      <c r="Y33" s="6" t="s">
        <v>101</v>
      </c>
    </row>
    <row r="34" spans="1:25" hidden="1" x14ac:dyDescent="0.3">
      <c r="A34" s="8"/>
      <c r="B34" s="9"/>
      <c r="C34" s="9" t="s">
        <v>99</v>
      </c>
      <c r="D34" s="9" t="s">
        <v>133</v>
      </c>
      <c r="E34" s="8">
        <v>1</v>
      </c>
      <c r="F34" s="8" t="s">
        <v>75</v>
      </c>
      <c r="G34" s="9">
        <v>162</v>
      </c>
      <c r="H34" s="10">
        <f>1.09*10^-5</f>
        <v>1.0900000000000002E-5</v>
      </c>
      <c r="I34" s="9">
        <v>0.51600000000000001</v>
      </c>
      <c r="J34" s="9">
        <v>2.1999999999999999E-2</v>
      </c>
      <c r="K34" s="9">
        <v>2.7099999999999999E-2</v>
      </c>
      <c r="L34" s="9">
        <v>31.6</v>
      </c>
      <c r="M34" s="9">
        <v>0.60399999999999998</v>
      </c>
      <c r="N34" s="9">
        <v>0.252</v>
      </c>
      <c r="O34" s="9">
        <v>2.1299999999999999E-2</v>
      </c>
      <c r="P34" s="9">
        <v>2</v>
      </c>
      <c r="Q34" s="9">
        <v>1.91</v>
      </c>
      <c r="R34" s="9">
        <v>7.35</v>
      </c>
      <c r="S34" s="9">
        <v>2.5099999999999998</v>
      </c>
      <c r="T34" s="9">
        <v>8.99</v>
      </c>
      <c r="U34" s="9">
        <v>5.3400000000000003E-2</v>
      </c>
      <c r="V34" s="9">
        <v>2.96</v>
      </c>
      <c r="W34" s="9">
        <v>7.32</v>
      </c>
      <c r="X34" s="9">
        <v>29.3</v>
      </c>
    </row>
    <row r="35" spans="1:25" x14ac:dyDescent="0.3">
      <c r="A35" s="8">
        <v>25</v>
      </c>
      <c r="B35" s="9" t="s">
        <v>134</v>
      </c>
      <c r="C35" s="9" t="s">
        <v>78</v>
      </c>
      <c r="D35" s="9" t="s">
        <v>135</v>
      </c>
      <c r="E35" s="8">
        <v>1</v>
      </c>
      <c r="F35" s="8" t="s">
        <v>61</v>
      </c>
      <c r="G35" s="9">
        <v>3.23</v>
      </c>
      <c r="H35" s="9">
        <v>6.3700000000000008E-8</v>
      </c>
      <c r="I35" s="9">
        <v>1.3100000000000001E-2</v>
      </c>
      <c r="J35" s="9">
        <v>3.1800000000000007E-5</v>
      </c>
      <c r="K35" s="9">
        <v>2.6499999999999999E-4</v>
      </c>
      <c r="L35" s="9">
        <v>0.432</v>
      </c>
      <c r="M35" s="9">
        <v>7.2700000000000004E-3</v>
      </c>
      <c r="N35" s="9">
        <v>4.62E-3</v>
      </c>
      <c r="O35" s="9">
        <v>9.1400000000000013E-5</v>
      </c>
      <c r="P35" s="9">
        <v>4.5199999999999998E-4</v>
      </c>
      <c r="Q35" s="9">
        <v>9.3499999999999996E-4</v>
      </c>
      <c r="R35" s="9">
        <v>0</v>
      </c>
      <c r="S35" s="9">
        <v>0</v>
      </c>
      <c r="T35" s="9">
        <v>0</v>
      </c>
      <c r="U35" s="9">
        <v>0</v>
      </c>
      <c r="V35" s="9">
        <v>7.4300000000000005E-2</v>
      </c>
      <c r="W35" s="9">
        <v>5.8199999999999997E-3</v>
      </c>
      <c r="X35" s="9">
        <v>1.31</v>
      </c>
    </row>
    <row r="36" spans="1:25" x14ac:dyDescent="0.3">
      <c r="A36" s="8">
        <v>26</v>
      </c>
      <c r="B36" s="9" t="s">
        <v>136</v>
      </c>
      <c r="C36" s="9" t="s">
        <v>78</v>
      </c>
      <c r="D36" s="9" t="s">
        <v>137</v>
      </c>
      <c r="E36" s="8">
        <v>1</v>
      </c>
      <c r="F36" s="8" t="s">
        <v>61</v>
      </c>
      <c r="G36" s="9">
        <v>2.4</v>
      </c>
      <c r="H36" s="9">
        <f>4.68*10^-8</f>
        <v>4.6799999999999996E-8</v>
      </c>
      <c r="I36" s="9">
        <v>8.2100000000000003E-3</v>
      </c>
      <c r="J36" s="9">
        <v>5.4799999999999998E-4</v>
      </c>
      <c r="K36" s="9">
        <v>3.9500000000000001E-4</v>
      </c>
      <c r="L36" s="9">
        <v>0.495</v>
      </c>
      <c r="M36" s="9">
        <v>1.0800000000000001E-2</v>
      </c>
      <c r="N36" s="9">
        <v>3.7000000000000002E-3</v>
      </c>
      <c r="O36" s="9">
        <v>1.18E-4</v>
      </c>
      <c r="P36" s="9">
        <v>3.4700000000000002E-2</v>
      </c>
      <c r="Q36" s="9">
        <v>3.1399999999999997E-2</v>
      </c>
      <c r="R36" s="9">
        <v>0.121</v>
      </c>
      <c r="S36" s="9">
        <v>3.6600000000000001E-2</v>
      </c>
      <c r="T36" s="9">
        <v>1.66E-2</v>
      </c>
      <c r="U36" s="9">
        <v>1.6100000000000001E-4</v>
      </c>
      <c r="V36" s="9">
        <v>3.1300000000000001E-2</v>
      </c>
      <c r="W36" s="9">
        <v>7.4399999999999994E-2</v>
      </c>
      <c r="X36" s="9">
        <v>1.74</v>
      </c>
    </row>
    <row r="37" spans="1:25" x14ac:dyDescent="0.3">
      <c r="A37" s="8">
        <v>27</v>
      </c>
      <c r="B37" s="9" t="s">
        <v>138</v>
      </c>
      <c r="C37" s="9" t="s">
        <v>78</v>
      </c>
      <c r="D37" s="9" t="s">
        <v>139</v>
      </c>
      <c r="E37" s="8">
        <v>1</v>
      </c>
      <c r="F37" s="8" t="s">
        <v>61</v>
      </c>
      <c r="G37" s="9">
        <v>2.81</v>
      </c>
      <c r="H37" s="9">
        <f>1*10^-5</f>
        <v>1.0000000000000001E-5</v>
      </c>
      <c r="I37" s="9">
        <v>9.6200000000000001E-3</v>
      </c>
      <c r="J37" s="9">
        <v>6.0499999999999996E-4</v>
      </c>
      <c r="K37" s="9">
        <v>5.22E-4</v>
      </c>
      <c r="L37" s="9">
        <v>0.93200000000000005</v>
      </c>
      <c r="M37" s="9">
        <v>9.4299999999999991E-3</v>
      </c>
      <c r="N37" s="9">
        <v>4.4200000000000003E-3</v>
      </c>
      <c r="O37" s="9">
        <v>2.7700000000000001E-4</v>
      </c>
      <c r="P37" s="9">
        <v>7.6799999999999993E-2</v>
      </c>
      <c r="Q37" s="9">
        <v>6.9099999999999995E-2</v>
      </c>
      <c r="R37" s="9">
        <v>0.15</v>
      </c>
      <c r="S37" s="9">
        <v>5.8500000000000003E-2</v>
      </c>
      <c r="T37" s="9">
        <v>2.7400000000000001E-2</v>
      </c>
      <c r="U37" s="9">
        <v>3.2299999999999999E-4</v>
      </c>
      <c r="V37" s="9">
        <v>3.49E-2</v>
      </c>
      <c r="W37" s="9">
        <v>0.23400000000000001</v>
      </c>
      <c r="X37" s="9">
        <v>1.58</v>
      </c>
    </row>
    <row r="38" spans="1:25" x14ac:dyDescent="0.3">
      <c r="A38" s="8">
        <v>28</v>
      </c>
      <c r="B38" s="9" t="s">
        <v>140</v>
      </c>
      <c r="C38" s="9" t="s">
        <v>78</v>
      </c>
      <c r="D38" s="9" t="s">
        <v>141</v>
      </c>
      <c r="E38" s="8">
        <v>1</v>
      </c>
      <c r="F38" s="8" t="s">
        <v>61</v>
      </c>
      <c r="G38" s="9">
        <v>3.59</v>
      </c>
      <c r="H38" s="9">
        <v>1.81E-8</v>
      </c>
      <c r="I38" s="9">
        <v>1.0800000000000001E-2</v>
      </c>
      <c r="J38" s="9">
        <v>5.2200000000000002E-5</v>
      </c>
      <c r="K38" s="9">
        <v>3.0600000000000001E-4</v>
      </c>
      <c r="L38" s="9">
        <v>6.7799999999999999E-2</v>
      </c>
      <c r="M38" s="9">
        <v>1.03E-2</v>
      </c>
      <c r="N38" s="9">
        <v>3.5400000000000002E-3</v>
      </c>
      <c r="O38" s="9">
        <v>1.4300000000000001E-4</v>
      </c>
      <c r="P38" s="9">
        <v>7.5799999999999999E-3</v>
      </c>
      <c r="Q38" s="9">
        <v>7.0499999999999998E-3</v>
      </c>
      <c r="R38" s="9">
        <v>6.4099999999999999E-3</v>
      </c>
      <c r="S38" s="9">
        <v>9.5200000000000005E-4</v>
      </c>
      <c r="T38" s="9">
        <v>5.4299999999999999E-3</v>
      </c>
      <c r="U38" s="9">
        <v>2.8500000000000002E-5</v>
      </c>
      <c r="V38" s="9">
        <v>5.2499999999999998E-2</v>
      </c>
      <c r="W38" s="9">
        <v>1.5100000000000001E-2</v>
      </c>
      <c r="X38" s="9">
        <v>1.9</v>
      </c>
    </row>
    <row r="39" spans="1:25" x14ac:dyDescent="0.3">
      <c r="A39" s="8">
        <v>29</v>
      </c>
      <c r="B39" s="9" t="s">
        <v>142</v>
      </c>
      <c r="C39" s="9" t="s">
        <v>78</v>
      </c>
      <c r="D39" s="9" t="s">
        <v>143</v>
      </c>
      <c r="E39" s="8">
        <v>1</v>
      </c>
      <c r="F39" s="8" t="s">
        <v>61</v>
      </c>
      <c r="G39" s="9">
        <v>2.2200000000000002</v>
      </c>
      <c r="H39" s="9">
        <v>3.92E-8</v>
      </c>
      <c r="I39" s="9">
        <v>7.2500000000000004E-3</v>
      </c>
      <c r="J39" s="9">
        <v>3.9199999999999999E-4</v>
      </c>
      <c r="K39" s="9">
        <v>2.9399999999999999E-4</v>
      </c>
      <c r="L39" s="9">
        <v>0.38400000000000001</v>
      </c>
      <c r="M39" s="9">
        <v>7.7499999999999999E-3</v>
      </c>
      <c r="N39" s="9">
        <v>2.8800000000000002E-3</v>
      </c>
      <c r="O39" s="9">
        <v>9.8900000000000019E-5</v>
      </c>
      <c r="P39" s="9">
        <v>2.9700000000000001E-2</v>
      </c>
      <c r="Q39" s="9">
        <v>2.7E-2</v>
      </c>
      <c r="R39" s="9">
        <v>6.1899999999999997E-2</v>
      </c>
      <c r="S39" s="9">
        <v>2.5499999999999998E-2</v>
      </c>
      <c r="T39" s="9">
        <v>1.44E-2</v>
      </c>
      <c r="U39" s="9">
        <v>1.1400000000000001E-4</v>
      </c>
      <c r="V39" s="9">
        <v>2.0299999999999999E-2</v>
      </c>
      <c r="W39" s="9">
        <v>6.9199999999999998E-2</v>
      </c>
      <c r="X39" s="9">
        <v>1.75</v>
      </c>
    </row>
    <row r="40" spans="1:25" x14ac:dyDescent="0.3">
      <c r="A40" s="8">
        <v>30</v>
      </c>
      <c r="B40" s="9" t="s">
        <v>144</v>
      </c>
      <c r="C40" s="9" t="s">
        <v>78</v>
      </c>
      <c r="D40" s="9" t="s">
        <v>145</v>
      </c>
      <c r="E40" s="8">
        <v>1</v>
      </c>
      <c r="F40" s="8" t="s">
        <v>61</v>
      </c>
      <c r="G40" s="9">
        <v>6.26</v>
      </c>
      <c r="H40" s="9">
        <v>8.3699999999999988E-7</v>
      </c>
      <c r="I40" s="9">
        <v>2.8199999999999999E-2</v>
      </c>
      <c r="J40" s="9">
        <v>1.75E-3</v>
      </c>
      <c r="K40" s="9">
        <v>6.45E-3</v>
      </c>
      <c r="L40" s="9">
        <v>3.59</v>
      </c>
      <c r="M40" s="9">
        <v>2.6499999999999999E-2</v>
      </c>
      <c r="N40" s="9">
        <v>1.3899999999999999E-2</v>
      </c>
      <c r="O40" s="9">
        <v>2.6199999999999999E-3</v>
      </c>
      <c r="P40" s="9">
        <v>0.20499999999999999</v>
      </c>
      <c r="Q40" s="9">
        <v>0.19400000000000001</v>
      </c>
      <c r="R40" s="9">
        <v>0.32900000000000001</v>
      </c>
      <c r="S40" s="9">
        <v>0.13400000000000001</v>
      </c>
      <c r="T40" s="9">
        <v>6.1600000000000002E-2</v>
      </c>
      <c r="U40" s="9">
        <v>8.1099999999999998E-4</v>
      </c>
      <c r="V40" s="9">
        <v>0.112</v>
      </c>
      <c r="W40" s="9">
        <v>0.46100000000000002</v>
      </c>
      <c r="X40" s="9">
        <v>2.48</v>
      </c>
    </row>
    <row r="41" spans="1:25" x14ac:dyDescent="0.3">
      <c r="A41" s="8">
        <v>31</v>
      </c>
      <c r="B41" s="9" t="s">
        <v>146</v>
      </c>
      <c r="C41" s="9" t="s">
        <v>146</v>
      </c>
      <c r="D41" s="9" t="s">
        <v>147</v>
      </c>
      <c r="E41" s="8">
        <v>1</v>
      </c>
      <c r="F41" s="8" t="s">
        <v>61</v>
      </c>
      <c r="G41" s="9">
        <f>G42/$C$4</f>
        <v>13.77</v>
      </c>
      <c r="H41" s="9">
        <f>H42/$C$4</f>
        <v>1.9124999999999999E-6</v>
      </c>
      <c r="I41" s="9">
        <f>I42/$C$4</f>
        <v>5.3719999999999997E-2</v>
      </c>
      <c r="J41" s="9">
        <f>J42/$C$4</f>
        <v>7.2164999999999998E-3</v>
      </c>
      <c r="K41" s="9">
        <f>K42/$C$4</f>
        <v>5.3464999999999997E-3</v>
      </c>
      <c r="L41" s="9">
        <f>L42/$C$4</f>
        <v>10.285</v>
      </c>
      <c r="M41" s="9">
        <f>M42/$C$4</f>
        <v>5.6355000000000002E-2</v>
      </c>
      <c r="N41" s="9">
        <f>N42/$C$4</f>
        <v>3.1959999999999995E-2</v>
      </c>
      <c r="O41" s="9">
        <f>O42/$C$4</f>
        <v>4.4115000000000001E-2</v>
      </c>
      <c r="P41" s="9">
        <f>P42/$C$4</f>
        <v>0.57799999999999996</v>
      </c>
      <c r="Q41" s="9">
        <f>Q42/$C$4</f>
        <v>0.6613</v>
      </c>
      <c r="R41" s="9">
        <f>R42/$C$4</f>
        <v>1.5894999999999999</v>
      </c>
      <c r="S41" s="9">
        <f>S42/$C$4</f>
        <v>0.69189999999999996</v>
      </c>
      <c r="T41" s="9">
        <f>T42/$C$4</f>
        <v>0.15895000000000001</v>
      </c>
      <c r="U41" s="9">
        <f>U42/$C$4</f>
        <v>2.2269999999999998E-3</v>
      </c>
      <c r="V41" s="9">
        <f>V42/$C$4</f>
        <v>0.71399999999999997</v>
      </c>
      <c r="W41" s="9">
        <f>W42/$C$4</f>
        <v>1.3174999999999999</v>
      </c>
      <c r="X41" s="9">
        <f>X42/$C$4</f>
        <v>3.9184999999999999</v>
      </c>
    </row>
    <row r="42" spans="1:25" hidden="1" x14ac:dyDescent="0.3">
      <c r="A42" s="8"/>
      <c r="B42" s="9"/>
      <c r="C42" s="9" t="s">
        <v>146</v>
      </c>
      <c r="D42" s="9" t="s">
        <v>147</v>
      </c>
      <c r="E42" s="8">
        <v>1</v>
      </c>
      <c r="F42" s="8" t="s">
        <v>74</v>
      </c>
      <c r="G42" s="9">
        <v>162</v>
      </c>
      <c r="H42" s="9">
        <f>2.25*10^-5</f>
        <v>2.2500000000000001E-5</v>
      </c>
      <c r="I42" s="9">
        <v>0.63200000000000001</v>
      </c>
      <c r="J42" s="9">
        <v>8.4900000000000003E-2</v>
      </c>
      <c r="K42" s="9">
        <v>6.2899999999999998E-2</v>
      </c>
      <c r="L42" s="9">
        <v>121</v>
      </c>
      <c r="M42" s="9">
        <v>0.66300000000000003</v>
      </c>
      <c r="N42" s="9">
        <v>0.376</v>
      </c>
      <c r="O42" s="9">
        <v>0.51900000000000002</v>
      </c>
      <c r="P42" s="9">
        <v>6.8</v>
      </c>
      <c r="Q42" s="9">
        <v>7.78</v>
      </c>
      <c r="R42" s="9">
        <v>18.7</v>
      </c>
      <c r="S42" s="9">
        <v>8.14</v>
      </c>
      <c r="T42" s="9">
        <v>1.87</v>
      </c>
      <c r="U42" s="9">
        <v>2.6200000000000001E-2</v>
      </c>
      <c r="V42" s="9">
        <v>8.4</v>
      </c>
      <c r="W42" s="9">
        <v>15.5</v>
      </c>
      <c r="X42" s="9">
        <v>46.1</v>
      </c>
    </row>
    <row r="43" spans="1:25" x14ac:dyDescent="0.3">
      <c r="A43" s="8">
        <v>32</v>
      </c>
      <c r="B43" s="9" t="s">
        <v>148</v>
      </c>
      <c r="C43" s="9" t="s">
        <v>88</v>
      </c>
      <c r="D43" s="9" t="s">
        <v>149</v>
      </c>
      <c r="E43" s="8">
        <v>1</v>
      </c>
      <c r="F43" s="8" t="s">
        <v>61</v>
      </c>
      <c r="G43" s="9">
        <v>2.14</v>
      </c>
      <c r="H43" s="9">
        <v>1.03E-7</v>
      </c>
      <c r="I43" s="9">
        <v>6.9300000000000004E-3</v>
      </c>
      <c r="J43" s="9">
        <v>8.8099999999999995E-4</v>
      </c>
      <c r="K43" s="9">
        <v>4.4299999999999998E-4</v>
      </c>
      <c r="L43" s="9">
        <v>0.84599999999999997</v>
      </c>
      <c r="M43" s="9">
        <v>9.3299999999999998E-3</v>
      </c>
      <c r="N43" s="9">
        <v>7.0499999999999998E-3</v>
      </c>
      <c r="O43" s="9">
        <v>1.9000000000000001E-4</v>
      </c>
      <c r="P43" s="9">
        <v>8.6999999999999994E-2</v>
      </c>
      <c r="Q43" s="9">
        <v>8.3599999999999994E-2</v>
      </c>
      <c r="R43" s="9">
        <v>9.11E-2</v>
      </c>
      <c r="S43" s="9">
        <v>4.4400000000000002E-2</v>
      </c>
      <c r="T43" s="9">
        <v>3.3300000000000003E-2</v>
      </c>
      <c r="U43" s="9">
        <v>2.2499999999999999E-4</v>
      </c>
      <c r="V43" s="9">
        <v>1.7999999999999999E-2</v>
      </c>
      <c r="W43" s="9">
        <v>2.0699999999999998</v>
      </c>
      <c r="X43" s="9">
        <v>0.46800000000000003</v>
      </c>
    </row>
    <row r="44" spans="1:25" x14ac:dyDescent="0.3">
      <c r="A44" s="8">
        <v>33</v>
      </c>
      <c r="B44" s="9" t="s">
        <v>150</v>
      </c>
      <c r="C44" s="9" t="s">
        <v>150</v>
      </c>
      <c r="D44" s="9" t="s">
        <v>151</v>
      </c>
      <c r="E44" s="8">
        <v>1</v>
      </c>
      <c r="F44" s="8" t="s">
        <v>61</v>
      </c>
      <c r="G44" s="9">
        <v>1.17E-2</v>
      </c>
      <c r="H44" s="9">
        <v>1.69E-9</v>
      </c>
      <c r="I44" s="9">
        <v>6.900000000000001E-5</v>
      </c>
      <c r="J44" s="9">
        <v>1.75E-6</v>
      </c>
      <c r="K44" s="9">
        <v>3.49E-6</v>
      </c>
      <c r="L44" s="9">
        <v>2.8400000000000001E-3</v>
      </c>
      <c r="M44" s="9">
        <v>9.3000000000000011E-5</v>
      </c>
      <c r="N44" s="9">
        <v>3.4400000000000003E-5</v>
      </c>
      <c r="O44" s="9">
        <v>2.7799999999999996E-6</v>
      </c>
      <c r="P44" s="9">
        <v>1.66E-4</v>
      </c>
      <c r="Q44" s="9">
        <v>1.65E-4</v>
      </c>
      <c r="R44" s="9">
        <v>9.1799999999999998E-4</v>
      </c>
      <c r="S44" s="9">
        <v>1.5899999999999999E-4</v>
      </c>
      <c r="T44" s="9">
        <v>5.2599999999999999E-3</v>
      </c>
      <c r="U44" s="9">
        <v>3.1100000000000004E-5</v>
      </c>
      <c r="V44" s="9">
        <v>1.07E-3</v>
      </c>
      <c r="W44" s="9">
        <v>8.6600000000000002E-4</v>
      </c>
      <c r="X44" s="9">
        <v>3.8E-3</v>
      </c>
    </row>
    <row r="45" spans="1:25" x14ac:dyDescent="0.3">
      <c r="A45" s="8">
        <v>34</v>
      </c>
      <c r="B45" s="9" t="s">
        <v>152</v>
      </c>
      <c r="C45" s="9" t="s">
        <v>93</v>
      </c>
      <c r="D45" s="9" t="s">
        <v>153</v>
      </c>
      <c r="E45" s="8">
        <v>1</v>
      </c>
      <c r="F45" s="8" t="s">
        <v>61</v>
      </c>
      <c r="G45" s="9">
        <v>1.85</v>
      </c>
      <c r="H45" s="9">
        <v>1.55E-7</v>
      </c>
      <c r="I45" s="9">
        <v>5.13E-3</v>
      </c>
      <c r="J45" s="9">
        <v>4.2000000000000002E-4</v>
      </c>
      <c r="K45" s="9">
        <v>3.3500000000000001E-4</v>
      </c>
      <c r="L45" s="9">
        <v>0.46100000000000002</v>
      </c>
      <c r="M45" s="9">
        <v>4.2300000000000003E-3</v>
      </c>
      <c r="N45" s="9">
        <v>1.15E-2</v>
      </c>
      <c r="O45" s="9">
        <v>2.63E-4</v>
      </c>
      <c r="P45" s="9">
        <v>4.2299999999999997E-2</v>
      </c>
      <c r="Q45" s="9">
        <v>3.73E-2</v>
      </c>
      <c r="R45" s="9">
        <v>0.122</v>
      </c>
      <c r="S45" s="9">
        <v>5.96E-2</v>
      </c>
      <c r="T45" s="9">
        <v>3.5200000000000002E-2</v>
      </c>
      <c r="U45" s="9">
        <v>4.95E-4</v>
      </c>
      <c r="V45" s="9">
        <v>9.75E-3</v>
      </c>
      <c r="W45" s="9">
        <v>7.8899999999999998E-2</v>
      </c>
      <c r="X45" s="9">
        <v>0.61199999999999999</v>
      </c>
    </row>
    <row r="46" spans="1:25" x14ac:dyDescent="0.3">
      <c r="A46" s="8">
        <v>35</v>
      </c>
      <c r="B46" s="9" t="s">
        <v>154</v>
      </c>
      <c r="C46" s="9" t="s">
        <v>88</v>
      </c>
      <c r="D46" s="9" t="s">
        <v>155</v>
      </c>
      <c r="E46" s="8">
        <v>1</v>
      </c>
      <c r="F46" s="8" t="s">
        <v>61</v>
      </c>
      <c r="G46" s="9">
        <v>3.0699999999999998E-6</v>
      </c>
      <c r="H46" s="9">
        <v>2.0299999999999999E-15</v>
      </c>
      <c r="I46" s="9">
        <v>1.4599999999999998E-7</v>
      </c>
      <c r="J46" s="9">
        <v>0</v>
      </c>
      <c r="K46" s="9">
        <v>1.8699999999999999E-4</v>
      </c>
      <c r="L46" s="9">
        <v>1.92E-4</v>
      </c>
      <c r="M46" s="9">
        <v>2.44E-5</v>
      </c>
      <c r="N46" s="9">
        <v>5.7199999999999996E-8</v>
      </c>
      <c r="O46" s="9">
        <v>1.11E-7</v>
      </c>
      <c r="P46" s="9">
        <v>8.1199999999999985E-6</v>
      </c>
      <c r="Q46" s="9">
        <v>7.2799999999999998E-6</v>
      </c>
      <c r="R46" s="9">
        <v>8.6099999999999996E-3</v>
      </c>
      <c r="S46" s="9">
        <v>0</v>
      </c>
      <c r="T46" s="9">
        <v>0</v>
      </c>
      <c r="U46" s="9">
        <v>0</v>
      </c>
      <c r="V46" s="9">
        <v>11</v>
      </c>
      <c r="W46" s="9">
        <v>12.3</v>
      </c>
      <c r="X46" s="9">
        <v>1.64</v>
      </c>
    </row>
    <row r="47" spans="1:25" x14ac:dyDescent="0.3">
      <c r="A47" s="8">
        <v>36</v>
      </c>
      <c r="B47" s="9" t="s">
        <v>156</v>
      </c>
      <c r="C47" s="9" t="s">
        <v>88</v>
      </c>
      <c r="D47" s="9" t="s">
        <v>157</v>
      </c>
      <c r="E47" s="8">
        <v>1</v>
      </c>
      <c r="F47" s="8" t="s">
        <v>61</v>
      </c>
      <c r="G47" s="9">
        <v>2.57</v>
      </c>
      <c r="H47" s="9">
        <v>2.3100000000000001E-15</v>
      </c>
      <c r="I47" s="9">
        <v>5.3099999999999996E-3</v>
      </c>
      <c r="J47" s="9">
        <v>1.61E-6</v>
      </c>
      <c r="K47" s="9">
        <v>2.2599999999999999E-4</v>
      </c>
      <c r="L47" s="9">
        <v>4.4999999999999998E-2</v>
      </c>
      <c r="M47" s="9">
        <v>5.11E-3</v>
      </c>
      <c r="N47" s="9">
        <v>2.5999999999999999E-3</v>
      </c>
      <c r="O47" s="9">
        <v>1.9200000000000003E-5</v>
      </c>
      <c r="P47" s="9">
        <v>6.4800000000000003E-5</v>
      </c>
      <c r="Q47" s="9">
        <v>2.12E-4</v>
      </c>
      <c r="R47" s="9">
        <v>1.18E-2</v>
      </c>
      <c r="S47" s="9">
        <v>3.7299999999999998E-3</v>
      </c>
      <c r="T47" s="9">
        <v>3.1900000000000001E-3</v>
      </c>
      <c r="U47" s="9">
        <v>3.4000000000000002E-4</v>
      </c>
      <c r="V47" s="9">
        <v>5.8999999999999999E-3</v>
      </c>
      <c r="W47" s="9">
        <v>1.73</v>
      </c>
      <c r="X47" s="9">
        <v>0.59099999999999997</v>
      </c>
    </row>
    <row r="48" spans="1:25" x14ac:dyDescent="0.3">
      <c r="A48" s="8">
        <v>37</v>
      </c>
      <c r="B48" s="9" t="s">
        <v>158</v>
      </c>
      <c r="C48" s="9" t="s">
        <v>88</v>
      </c>
      <c r="D48" s="9" t="s">
        <v>159</v>
      </c>
      <c r="E48" s="8">
        <v>1</v>
      </c>
      <c r="F48" s="8" t="s">
        <v>61</v>
      </c>
      <c r="G48" s="9">
        <v>2.31</v>
      </c>
      <c r="H48" s="9">
        <f>1.43*10^-15</f>
        <v>1.43E-15</v>
      </c>
      <c r="I48" s="9">
        <v>4.79E-3</v>
      </c>
      <c r="J48" s="9">
        <f>1.35*10^-6</f>
        <v>1.35E-6</v>
      </c>
      <c r="K48" s="9">
        <v>1.93E-4</v>
      </c>
      <c r="L48" s="9">
        <v>3.5000000000000003E-2</v>
      </c>
      <c r="M48" s="9">
        <v>4.62E-3</v>
      </c>
      <c r="N48" s="9">
        <v>2.4099999999999998E-3</v>
      </c>
      <c r="O48" s="9">
        <f>1.68*10^-5</f>
        <v>1.6800000000000002E-5</v>
      </c>
      <c r="P48" s="9">
        <f>4.28*10^-5</f>
        <v>4.2800000000000004E-5</v>
      </c>
      <c r="Q48" s="9">
        <v>1.8900000000000001E-4</v>
      </c>
      <c r="R48" s="9">
        <v>5.8299999999999997E-4</v>
      </c>
      <c r="S48" s="9">
        <v>2.9099999999999998E-3</v>
      </c>
      <c r="T48" s="9">
        <v>2.9099999999999998E-3</v>
      </c>
      <c r="U48" s="9">
        <v>3.19E-4</v>
      </c>
      <c r="V48" s="9">
        <v>3.16E-3</v>
      </c>
      <c r="W48" s="9">
        <v>1.58</v>
      </c>
      <c r="X48" s="9">
        <v>0.52700000000000002</v>
      </c>
    </row>
    <row r="49" spans="1:25" x14ac:dyDescent="0.3">
      <c r="A49" s="8">
        <v>38</v>
      </c>
      <c r="B49" s="9" t="s">
        <v>160</v>
      </c>
      <c r="C49" s="9" t="s">
        <v>88</v>
      </c>
      <c r="D49" s="9" t="s">
        <v>161</v>
      </c>
      <c r="E49" s="8">
        <v>1</v>
      </c>
      <c r="F49" s="8" t="s">
        <v>61</v>
      </c>
      <c r="G49" s="9">
        <v>2.79</v>
      </c>
      <c r="H49" s="9">
        <v>3.3599999999999997E-14</v>
      </c>
      <c r="I49" s="9">
        <v>5.7400000000000003E-3</v>
      </c>
      <c r="J49" s="9">
        <v>1.75E-6</v>
      </c>
      <c r="K49" s="9">
        <v>2.52E-4</v>
      </c>
      <c r="L49" s="9">
        <v>0.10100000000000001</v>
      </c>
      <c r="M49" s="9">
        <v>5.7400000000000003E-3</v>
      </c>
      <c r="N49" s="9">
        <v>2.7399999999999998E-3</v>
      </c>
      <c r="O49" s="9">
        <v>1.2799999999999999E-4</v>
      </c>
      <c r="P49" s="9">
        <v>1.75E-4</v>
      </c>
      <c r="Q49" s="9">
        <v>1.09E-3</v>
      </c>
      <c r="R49" s="9">
        <v>2.8199999999999999E-2</v>
      </c>
      <c r="S49" s="9">
        <v>4.5599999999999998E-3</v>
      </c>
      <c r="T49" s="9">
        <v>3.2399999999999998E-3</v>
      </c>
      <c r="U49" s="9">
        <v>3.4099999999999999E-4</v>
      </c>
      <c r="V49" s="9">
        <v>8.4899999999999993E-3</v>
      </c>
      <c r="W49" s="9">
        <v>1.81</v>
      </c>
      <c r="X49" s="9">
        <v>0.64100000000000001</v>
      </c>
    </row>
    <row r="50" spans="1:25" x14ac:dyDescent="0.3">
      <c r="A50" s="8">
        <v>39</v>
      </c>
      <c r="B50" s="9" t="s">
        <v>162</v>
      </c>
      <c r="C50" s="9" t="s">
        <v>88</v>
      </c>
      <c r="D50" s="9" t="s">
        <v>163</v>
      </c>
      <c r="E50" s="8">
        <v>1</v>
      </c>
      <c r="F50" s="8" t="s">
        <v>61</v>
      </c>
      <c r="G50" s="9">
        <v>1.98</v>
      </c>
      <c r="H50" s="9">
        <v>8.8699999999999994E-8</v>
      </c>
      <c r="I50" s="9">
        <v>6.8599999999999998E-3</v>
      </c>
      <c r="J50" s="9">
        <v>8.7299999999999997E-4</v>
      </c>
      <c r="K50" s="9">
        <v>5.3499999999999999E-4</v>
      </c>
      <c r="L50" s="9">
        <v>0.96699999999999997</v>
      </c>
      <c r="M50" s="9">
        <v>8.0999999999999996E-3</v>
      </c>
      <c r="N50" s="9">
        <v>6.6E-3</v>
      </c>
      <c r="O50" s="9">
        <v>2.23E-4</v>
      </c>
      <c r="P50" s="9">
        <v>0.114</v>
      </c>
      <c r="Q50" s="9">
        <v>0.109</v>
      </c>
      <c r="R50" s="9">
        <v>8.9800000000000005E-2</v>
      </c>
      <c r="S50" s="9">
        <v>5.3499999999999999E-2</v>
      </c>
      <c r="T50" s="9">
        <v>3.3399999999999999E-2</v>
      </c>
      <c r="U50" s="9">
        <v>2.03E-4</v>
      </c>
      <c r="V50" s="9">
        <v>1.52E-2</v>
      </c>
      <c r="W50" s="9">
        <v>2.57</v>
      </c>
      <c r="X50" s="9">
        <v>0.42899999999999999</v>
      </c>
    </row>
    <row r="51" spans="1:25" x14ac:dyDescent="0.3">
      <c r="A51" s="8">
        <v>40</v>
      </c>
      <c r="B51" s="9" t="s">
        <v>164</v>
      </c>
      <c r="C51" s="9" t="s">
        <v>88</v>
      </c>
      <c r="D51" s="9" t="s">
        <v>165</v>
      </c>
      <c r="E51" s="8">
        <v>1</v>
      </c>
      <c r="F51" s="8" t="s">
        <v>61</v>
      </c>
      <c r="G51" s="9">
        <v>2.23</v>
      </c>
      <c r="H51" s="9">
        <v>1.04E-7</v>
      </c>
      <c r="I51" s="9">
        <v>7.6299999999999996E-3</v>
      </c>
      <c r="J51" s="9">
        <v>9.6900000000000003E-4</v>
      </c>
      <c r="K51" s="9">
        <v>5.7700000000000004E-4</v>
      </c>
      <c r="L51" s="9">
        <v>1.05</v>
      </c>
      <c r="M51" s="9">
        <v>9.2499999999999995E-3</v>
      </c>
      <c r="N51" s="9">
        <v>7.2399999999999999E-3</v>
      </c>
      <c r="O51" s="9">
        <v>2.41E-4</v>
      </c>
      <c r="P51" s="9">
        <v>0.122</v>
      </c>
      <c r="Q51" s="9">
        <v>0.11700000000000001</v>
      </c>
      <c r="R51" s="9">
        <v>0.112</v>
      </c>
      <c r="S51" s="9">
        <v>5.8599999999999999E-2</v>
      </c>
      <c r="T51" s="9">
        <v>3.5799999999999998E-2</v>
      </c>
      <c r="U51" s="9">
        <v>2.4000000000000001E-4</v>
      </c>
      <c r="V51" s="9">
        <v>2.1700000000000001E-2</v>
      </c>
      <c r="W51" s="9">
        <v>2.65</v>
      </c>
      <c r="X51" s="9">
        <v>0.5</v>
      </c>
    </row>
    <row r="52" spans="1:25" x14ac:dyDescent="0.3">
      <c r="A52" s="8">
        <v>41</v>
      </c>
      <c r="B52" s="9" t="s">
        <v>166</v>
      </c>
      <c r="C52" s="9" t="s">
        <v>88</v>
      </c>
      <c r="D52" s="9" t="s">
        <v>167</v>
      </c>
      <c r="E52" s="8">
        <v>1</v>
      </c>
      <c r="F52" s="8" t="s">
        <v>61</v>
      </c>
      <c r="G52" s="9">
        <v>2.81</v>
      </c>
      <c r="H52" s="9">
        <v>4.3100000000000002E-15</v>
      </c>
      <c r="I52" s="9">
        <v>5.8900000000000003E-3</v>
      </c>
      <c r="J52" s="9">
        <v>2.5499999999999997E-6</v>
      </c>
      <c r="K52" s="9">
        <v>4.0099999999999999E-4</v>
      </c>
      <c r="L52" s="9">
        <v>4.5499999999999999E-2</v>
      </c>
      <c r="M52" s="9">
        <v>6.1399999999999996E-3</v>
      </c>
      <c r="N52" s="9">
        <v>2.7599999999999999E-3</v>
      </c>
      <c r="O52" s="9">
        <v>2.0700000000000002E-5</v>
      </c>
      <c r="P52" s="9">
        <v>2.31E-4</v>
      </c>
      <c r="Q52" s="9">
        <v>3.6600000000000001E-4</v>
      </c>
      <c r="R52" s="9">
        <v>5.3600000000000002E-2</v>
      </c>
      <c r="S52" s="9">
        <v>5.8399999999999997E-3</v>
      </c>
      <c r="T52" s="9">
        <v>3.3E-3</v>
      </c>
      <c r="U52" s="9">
        <v>3.5799999999999997E-4</v>
      </c>
      <c r="V52" s="9">
        <v>-1.47E-2</v>
      </c>
      <c r="W52" s="9">
        <v>1.68</v>
      </c>
      <c r="X52" s="9">
        <v>0.68600000000000005</v>
      </c>
    </row>
    <row r="53" spans="1:25" x14ac:dyDescent="0.3">
      <c r="A53" s="8">
        <v>42</v>
      </c>
      <c r="B53" s="9" t="s">
        <v>168</v>
      </c>
      <c r="C53" s="9" t="s">
        <v>88</v>
      </c>
      <c r="D53" s="9" t="s">
        <v>169</v>
      </c>
      <c r="E53" s="8">
        <v>1</v>
      </c>
      <c r="F53" s="8" t="s">
        <v>61</v>
      </c>
      <c r="G53" s="9">
        <v>2.5099999999999998</v>
      </c>
      <c r="H53" s="9">
        <f>3.03*10^-15</f>
        <v>3.0299999999999999E-15</v>
      </c>
      <c r="I53" s="9">
        <v>4.8599999999999997E-3</v>
      </c>
      <c r="J53" s="9">
        <f>1.47*10^-6</f>
        <v>1.4699999999999999E-6</v>
      </c>
      <c r="K53" s="9">
        <v>2.3499999999999999E-4</v>
      </c>
      <c r="L53" s="9">
        <v>3.09E-2</v>
      </c>
      <c r="M53" s="9">
        <v>5.1200000000000004E-3</v>
      </c>
      <c r="N53" s="9">
        <v>2.1900000000000001E-3</v>
      </c>
      <c r="O53" s="9">
        <f>1.48*10^-5</f>
        <v>1.4800000000000001E-5</v>
      </c>
      <c r="P53" s="9" t="s">
        <v>170</v>
      </c>
      <c r="Q53" s="9">
        <v>1.5799999999999999E-4</v>
      </c>
      <c r="R53" s="9">
        <v>8.1499999999999993E-3</v>
      </c>
      <c r="S53" s="9">
        <v>3.82E-3</v>
      </c>
      <c r="T53" s="9">
        <v>3.8E-3</v>
      </c>
      <c r="U53" s="9">
        <v>3.1599999999999998E-4</v>
      </c>
      <c r="V53" s="9">
        <v>1.66E-3</v>
      </c>
      <c r="W53" s="9">
        <v>2.09</v>
      </c>
      <c r="X53" s="9">
        <v>0.58099999999999996</v>
      </c>
    </row>
    <row r="54" spans="1:25" x14ac:dyDescent="0.3">
      <c r="A54" s="8">
        <v>43</v>
      </c>
      <c r="B54" s="9" t="s">
        <v>171</v>
      </c>
      <c r="C54" s="9" t="s">
        <v>88</v>
      </c>
      <c r="D54" s="9" t="s">
        <v>172</v>
      </c>
      <c r="E54" s="8">
        <v>1</v>
      </c>
      <c r="F54" s="8" t="s">
        <v>61</v>
      </c>
      <c r="G54" s="9">
        <v>2.0299999999999998</v>
      </c>
      <c r="H54" s="9">
        <f>-1.75*10^-15</f>
        <v>-1.75E-15</v>
      </c>
      <c r="I54" s="9">
        <v>6.6E-3</v>
      </c>
      <c r="J54" s="9">
        <f>1.01*10^-6</f>
        <v>1.0099999999999999E-6</v>
      </c>
      <c r="K54" s="9">
        <v>1.84E-4</v>
      </c>
      <c r="L54" s="9">
        <v>5.7500000000000002E-2</v>
      </c>
      <c r="M54" s="9">
        <v>4.9699999999999996E-3</v>
      </c>
      <c r="N54" s="9">
        <v>2.99E-3</v>
      </c>
      <c r="O54" s="9">
        <f>4.79*10^-5</f>
        <v>4.7900000000000006E-5</v>
      </c>
      <c r="P54" s="9">
        <f>4.43*10^-5</f>
        <v>4.4299999999999999E-5</v>
      </c>
      <c r="Q54" s="9">
        <v>5.4100000000000003E-4</v>
      </c>
      <c r="R54" s="9">
        <v>2.8900000000000002E-3</v>
      </c>
      <c r="S54" s="9">
        <v>4.7400000000000003E-3</v>
      </c>
      <c r="T54" s="9">
        <v>2.5000000000000001E-3</v>
      </c>
      <c r="U54" s="9">
        <v>2.5799999999999998E-4</v>
      </c>
      <c r="V54" s="9">
        <v>-2.07E-2</v>
      </c>
      <c r="W54" s="9">
        <v>1.41</v>
      </c>
      <c r="X54" s="9">
        <v>0.50800000000000001</v>
      </c>
    </row>
    <row r="55" spans="1:25" x14ac:dyDescent="0.3">
      <c r="A55" s="8">
        <v>44</v>
      </c>
      <c r="B55" s="9" t="s">
        <v>173</v>
      </c>
      <c r="C55" s="9" t="s">
        <v>88</v>
      </c>
      <c r="D55" s="9" t="s">
        <v>174</v>
      </c>
      <c r="E55" s="8">
        <v>1</v>
      </c>
      <c r="F55" s="8" t="s">
        <v>61</v>
      </c>
      <c r="G55" s="9">
        <v>2.27</v>
      </c>
      <c r="H55" s="9">
        <f>3.11*10^-15</f>
        <v>3.11E-15</v>
      </c>
      <c r="I55" s="9">
        <v>5.6699999999999997E-3</v>
      </c>
      <c r="J55" s="9">
        <f>1.27*10^-6</f>
        <v>1.2699999999999999E-6</v>
      </c>
      <c r="K55" s="9">
        <v>1.8100000000000001E-4</v>
      </c>
      <c r="L55" s="9">
        <v>6.3E-2</v>
      </c>
      <c r="M55" s="9">
        <v>4.9300000000000004E-3</v>
      </c>
      <c r="N55" s="9">
        <v>2.7499999999999998E-3</v>
      </c>
      <c r="O55" s="9">
        <f>2.9*10^-5</f>
        <v>2.9E-5</v>
      </c>
      <c r="P55" s="9">
        <f>-5.42*10^-5</f>
        <v>-5.4200000000000003E-5</v>
      </c>
      <c r="Q55" s="9">
        <v>2.2000000000000001E-4</v>
      </c>
      <c r="R55" s="9">
        <v>4.6800000000000001E-3</v>
      </c>
      <c r="S55" s="9">
        <v>5.4299999999999999E-3</v>
      </c>
      <c r="T55" s="9">
        <v>3.0100000000000001E-3</v>
      </c>
      <c r="U55" s="9">
        <v>3.0699999999999998E-4</v>
      </c>
      <c r="V55" s="9">
        <v>2.3300000000000001E-2</v>
      </c>
      <c r="W55" s="9">
        <v>1.53</v>
      </c>
      <c r="X55" s="9">
        <v>0.56000000000000005</v>
      </c>
    </row>
    <row r="56" spans="1:25" x14ac:dyDescent="0.3">
      <c r="A56" s="8">
        <v>45</v>
      </c>
      <c r="B56" s="9" t="s">
        <v>175</v>
      </c>
      <c r="C56" s="9" t="s">
        <v>175</v>
      </c>
      <c r="D56" s="9" t="s">
        <v>176</v>
      </c>
      <c r="E56" s="8">
        <v>1</v>
      </c>
      <c r="F56" s="8" t="s">
        <v>61</v>
      </c>
      <c r="G56" s="9">
        <v>48</v>
      </c>
      <c r="H56" s="9">
        <f>2.84*10^-6</f>
        <v>2.8399999999999999E-6</v>
      </c>
      <c r="I56" s="9">
        <v>0.17599999999999999</v>
      </c>
      <c r="J56" s="9">
        <v>1.8800000000000001E-2</v>
      </c>
      <c r="K56" s="9">
        <v>8.9800000000000001E-3</v>
      </c>
      <c r="L56" s="9">
        <v>14.4</v>
      </c>
      <c r="M56" s="9">
        <v>0.13300000000000001</v>
      </c>
      <c r="N56" s="9">
        <v>0.107</v>
      </c>
      <c r="O56" s="9">
        <v>3.2499999999999999E-3</v>
      </c>
      <c r="P56" s="9">
        <v>0.55600000000000005</v>
      </c>
      <c r="Q56" s="9">
        <v>0.502</v>
      </c>
      <c r="R56" s="9">
        <v>4.8</v>
      </c>
      <c r="S56" s="9">
        <v>3.19</v>
      </c>
      <c r="T56" s="9">
        <v>0.38500000000000001</v>
      </c>
      <c r="U56" s="9">
        <v>6.4000000000000003E-3</v>
      </c>
      <c r="V56" s="9">
        <v>1.05</v>
      </c>
      <c r="W56" s="9">
        <v>0.78300000000000003</v>
      </c>
      <c r="X56" s="9">
        <v>13.2</v>
      </c>
    </row>
    <row r="57" spans="1:25" x14ac:dyDescent="0.3">
      <c r="A57" s="8">
        <v>46</v>
      </c>
      <c r="B57" s="9" t="s">
        <v>177</v>
      </c>
      <c r="C57" s="9" t="s">
        <v>78</v>
      </c>
      <c r="D57" s="9" t="s">
        <v>178</v>
      </c>
      <c r="E57" s="8">
        <v>1</v>
      </c>
      <c r="F57" s="8" t="s">
        <v>61</v>
      </c>
      <c r="G57" s="9">
        <v>3.15</v>
      </c>
      <c r="H57" s="9">
        <f>2.74*10^-6</f>
        <v>2.74E-6</v>
      </c>
      <c r="I57" s="9">
        <v>1.3100000000000001E-2</v>
      </c>
      <c r="J57" s="9">
        <v>7.9600000000000005E-4</v>
      </c>
      <c r="K57" s="9">
        <v>5.8500000000000002E-4</v>
      </c>
      <c r="L57" s="9">
        <v>0.83799999999999997</v>
      </c>
      <c r="M57" s="9">
        <v>1.0999999999999999E-2</v>
      </c>
      <c r="N57" s="9">
        <v>6.6400000000000001E-3</v>
      </c>
      <c r="O57" s="9">
        <v>3.0499999999999999E-4</v>
      </c>
      <c r="P57" s="9">
        <v>6.3600000000000004E-2</v>
      </c>
      <c r="Q57" s="9">
        <v>5.6500000000000002E-2</v>
      </c>
      <c r="R57" s="9">
        <v>0.183</v>
      </c>
      <c r="S57" s="9">
        <v>0.22800000000000001</v>
      </c>
      <c r="T57" s="9">
        <v>3.6900000000000002E-2</v>
      </c>
      <c r="U57" s="9">
        <v>3.4600000000000001E-4</v>
      </c>
      <c r="V57" s="9">
        <v>0.114</v>
      </c>
      <c r="W57" s="9">
        <v>0.26</v>
      </c>
      <c r="X57" s="9">
        <v>1.1100000000000001</v>
      </c>
    </row>
    <row r="58" spans="1:25" x14ac:dyDescent="0.3">
      <c r="A58" s="8">
        <v>47</v>
      </c>
      <c r="B58" s="9" t="s">
        <v>179</v>
      </c>
      <c r="C58" s="9" t="s">
        <v>179</v>
      </c>
      <c r="D58" s="9" t="s">
        <v>180</v>
      </c>
      <c r="E58" s="8">
        <v>1</v>
      </c>
      <c r="F58" s="8" t="s">
        <v>61</v>
      </c>
      <c r="G58" s="9">
        <v>498</v>
      </c>
      <c r="H58" s="9">
        <f>5.71*10^-5</f>
        <v>5.7100000000000006E-5</v>
      </c>
      <c r="I58" s="9">
        <v>4.97</v>
      </c>
      <c r="J58" s="9">
        <v>1.36</v>
      </c>
      <c r="K58" s="9">
        <v>0.38200000000000001</v>
      </c>
      <c r="L58" s="9">
        <f>2.58*10^3</f>
        <v>2580</v>
      </c>
      <c r="M58" s="9">
        <v>4.67</v>
      </c>
      <c r="N58" s="9">
        <v>2.17</v>
      </c>
      <c r="O58" s="9">
        <v>0.154</v>
      </c>
      <c r="P58" s="9">
        <v>439</v>
      </c>
      <c r="Q58" s="9">
        <v>474</v>
      </c>
      <c r="R58" s="9">
        <v>63.1</v>
      </c>
      <c r="S58" s="9">
        <v>17.3</v>
      </c>
      <c r="T58" s="9">
        <v>51.3</v>
      </c>
      <c r="U58" s="9">
        <v>0.2</v>
      </c>
      <c r="V58" s="9">
        <v>4.6500000000000004</v>
      </c>
      <c r="W58" s="9">
        <v>798</v>
      </c>
      <c r="X58" s="9">
        <v>141</v>
      </c>
    </row>
    <row r="59" spans="1:25" x14ac:dyDescent="0.3">
      <c r="A59" s="8">
        <v>48</v>
      </c>
      <c r="B59" s="9" t="s">
        <v>181</v>
      </c>
      <c r="C59" s="9" t="s">
        <v>78</v>
      </c>
      <c r="D59" s="9" t="s">
        <v>182</v>
      </c>
      <c r="E59" s="8">
        <v>1</v>
      </c>
      <c r="F59" s="8" t="s">
        <v>61</v>
      </c>
      <c r="G59" s="9">
        <v>2.68</v>
      </c>
      <c r="H59" s="9">
        <v>5.3399999999999999E-7</v>
      </c>
      <c r="I59" s="9">
        <v>1.1900000000000001E-2</v>
      </c>
      <c r="J59" s="9">
        <v>7.8899999999999999E-4</v>
      </c>
      <c r="K59" s="9">
        <v>4.75E-4</v>
      </c>
      <c r="L59" s="9">
        <v>0.88400000000000001</v>
      </c>
      <c r="M59" s="9">
        <v>1.26E-2</v>
      </c>
      <c r="N59" s="9">
        <v>5.4000000000000003E-3</v>
      </c>
      <c r="O59" s="9">
        <v>2.5399999999999999E-4</v>
      </c>
      <c r="P59" s="9">
        <v>6.6299999999999998E-2</v>
      </c>
      <c r="Q59" s="9">
        <v>5.9700000000000003E-2</v>
      </c>
      <c r="R59" s="9">
        <v>0.38800000000000001</v>
      </c>
      <c r="S59" s="9">
        <v>0.192</v>
      </c>
      <c r="T59" s="9">
        <v>3.2399999999999998E-2</v>
      </c>
      <c r="U59" s="9">
        <v>1.1800000000000001E-3</v>
      </c>
      <c r="V59" s="9">
        <v>4.4999999999999998E-2</v>
      </c>
      <c r="W59" s="9">
        <v>0.187</v>
      </c>
      <c r="X59" s="9">
        <v>1.78</v>
      </c>
    </row>
    <row r="60" spans="1:25" x14ac:dyDescent="0.3">
      <c r="A60" s="8">
        <v>49</v>
      </c>
      <c r="B60" s="9" t="s">
        <v>183</v>
      </c>
      <c r="C60" s="9" t="s">
        <v>78</v>
      </c>
      <c r="D60" s="9" t="s">
        <v>184</v>
      </c>
      <c r="E60" s="8">
        <v>1</v>
      </c>
      <c r="F60" s="8" t="s">
        <v>61</v>
      </c>
      <c r="G60" s="9">
        <v>4.54</v>
      </c>
      <c r="H60" s="9">
        <v>7.1299999999999999E-7</v>
      </c>
      <c r="I60" s="9">
        <v>3.0700000000000002E-2</v>
      </c>
      <c r="J60" s="9">
        <v>1.4499999999999999E-3</v>
      </c>
      <c r="K60" s="9">
        <v>1.49E-3</v>
      </c>
      <c r="L60" s="9">
        <v>1.54</v>
      </c>
      <c r="M60" s="9">
        <v>1.9099999999999999E-2</v>
      </c>
      <c r="N60" s="9">
        <v>1.18E-2</v>
      </c>
      <c r="O60" s="9">
        <v>7.2099999999999996E-4</v>
      </c>
      <c r="P60" s="9">
        <v>0.10199999999999999</v>
      </c>
      <c r="Q60" s="9">
        <v>9.1899999999999996E-2</v>
      </c>
      <c r="R60" s="9">
        <v>0.55700000000000005</v>
      </c>
      <c r="S60" s="9">
        <v>0.24199999999999999</v>
      </c>
      <c r="T60" s="9">
        <v>4.9299999999999997E-2</v>
      </c>
      <c r="U60" s="9">
        <v>1.39E-3</v>
      </c>
      <c r="V60" s="9">
        <v>5.9499999999999997E-2</v>
      </c>
      <c r="W60" s="9">
        <v>0.24399999999999999</v>
      </c>
      <c r="X60" s="9">
        <v>2.37</v>
      </c>
    </row>
    <row r="61" spans="1:25" x14ac:dyDescent="0.3">
      <c r="A61" s="8">
        <v>50</v>
      </c>
      <c r="B61" s="9" t="s">
        <v>185</v>
      </c>
      <c r="C61" s="9" t="s">
        <v>185</v>
      </c>
      <c r="D61" s="9" t="s">
        <v>186</v>
      </c>
      <c r="E61" s="8">
        <v>1</v>
      </c>
      <c r="F61" s="8" t="s">
        <v>75</v>
      </c>
      <c r="G61" s="9">
        <v>0</v>
      </c>
      <c r="H61" s="9">
        <v>0</v>
      </c>
      <c r="I61" s="9">
        <v>0</v>
      </c>
      <c r="J61" s="9">
        <v>0</v>
      </c>
      <c r="K61" s="9">
        <v>0</v>
      </c>
      <c r="L61" s="9">
        <v>0</v>
      </c>
      <c r="M61" s="9">
        <v>0</v>
      </c>
      <c r="N61" s="9">
        <v>0</v>
      </c>
      <c r="O61" s="9">
        <v>0</v>
      </c>
      <c r="P61" s="9">
        <v>0</v>
      </c>
      <c r="Q61" s="9">
        <v>0</v>
      </c>
      <c r="R61" s="9">
        <v>0</v>
      </c>
      <c r="S61" s="9">
        <v>0</v>
      </c>
      <c r="T61" s="9">
        <v>0</v>
      </c>
      <c r="U61" s="9">
        <v>0</v>
      </c>
      <c r="V61" s="9">
        <v>0</v>
      </c>
      <c r="W61" s="9">
        <v>0</v>
      </c>
      <c r="X61" s="9">
        <v>0</v>
      </c>
    </row>
    <row r="62" spans="1:25" x14ac:dyDescent="0.3">
      <c r="A62" s="8">
        <v>51</v>
      </c>
      <c r="B62" s="9" t="s">
        <v>187</v>
      </c>
      <c r="C62" s="9" t="s">
        <v>188</v>
      </c>
      <c r="D62" s="9" t="s">
        <v>189</v>
      </c>
      <c r="E62" s="8">
        <v>1</v>
      </c>
      <c r="F62" s="8" t="s">
        <v>61</v>
      </c>
      <c r="G62" s="9">
        <f>G63/$C$3</f>
        <v>7.9000000000000001E-2</v>
      </c>
      <c r="H62" s="9">
        <f>H63/$C$3</f>
        <v>9.1400000000000011E-9</v>
      </c>
      <c r="I62" s="9">
        <f>I63/$C$3</f>
        <v>3.86E-4</v>
      </c>
      <c r="J62" s="9">
        <f>J63/$C$3</f>
        <v>2.5399999999999997E-5</v>
      </c>
      <c r="K62" s="9">
        <f>K63/$C$3</f>
        <v>2.76E-5</v>
      </c>
      <c r="L62" s="9">
        <f>L63/$C$3</f>
        <v>1.9019999999999999E-2</v>
      </c>
      <c r="M62" s="9">
        <f>M63/$C$3</f>
        <v>6.8000000000000005E-4</v>
      </c>
      <c r="N62" s="9">
        <f>N63/$C$3</f>
        <v>2.0799999999999999E-4</v>
      </c>
      <c r="O62" s="9">
        <f>O63/$C$3</f>
        <v>4.0599999999999998E-5</v>
      </c>
      <c r="P62" s="9">
        <f>P63/$C$3</f>
        <v>9.6999999999999994E-4</v>
      </c>
      <c r="Q62" s="9">
        <f>Q63/$C$3</f>
        <v>9.1800000000000009E-4</v>
      </c>
      <c r="R62" s="9">
        <f>R63/$C$3</f>
        <v>8.8400000000000006E-3</v>
      </c>
      <c r="S62" s="9">
        <f>S63/$C$3</f>
        <v>5.28</v>
      </c>
      <c r="T62" s="9">
        <f>T63/$C$3</f>
        <v>8.1200000000000008E-2</v>
      </c>
      <c r="U62" s="9">
        <f>U63/$C$3</f>
        <v>7.7999999999999999E-4</v>
      </c>
      <c r="V62" s="9">
        <f>V63/$C$3</f>
        <v>4.3599999999999997E-4</v>
      </c>
      <c r="W62" s="9">
        <f>W63/$C$3</f>
        <v>5.8200000000000005E-3</v>
      </c>
      <c r="X62" s="9">
        <f>X63/$C$3</f>
        <v>2.4199999999999999E-2</v>
      </c>
      <c r="Y62" s="6" t="s">
        <v>190</v>
      </c>
    </row>
    <row r="63" spans="1:25" hidden="1" x14ac:dyDescent="0.3">
      <c r="A63" s="8"/>
      <c r="B63" s="9"/>
      <c r="C63" s="9" t="s">
        <v>188</v>
      </c>
      <c r="D63" s="9" t="s">
        <v>189</v>
      </c>
      <c r="E63" s="8">
        <v>1</v>
      </c>
      <c r="F63" s="8" t="s">
        <v>75</v>
      </c>
      <c r="G63" s="9">
        <v>39.5</v>
      </c>
      <c r="H63" s="9">
        <v>4.5700000000000003E-6</v>
      </c>
      <c r="I63" s="9">
        <v>0.193</v>
      </c>
      <c r="J63" s="9">
        <v>1.2699999999999999E-2</v>
      </c>
      <c r="K63" s="9">
        <v>1.38E-2</v>
      </c>
      <c r="L63" s="9">
        <v>9.51</v>
      </c>
      <c r="M63" s="9">
        <v>0.34</v>
      </c>
      <c r="N63" s="9">
        <v>0.104</v>
      </c>
      <c r="O63" s="9">
        <v>2.0299999999999999E-2</v>
      </c>
      <c r="P63" s="9">
        <v>0.48499999999999999</v>
      </c>
      <c r="Q63" s="9">
        <v>0.45900000000000002</v>
      </c>
      <c r="R63" s="9">
        <v>4.42</v>
      </c>
      <c r="S63" s="9">
        <v>2640</v>
      </c>
      <c r="T63" s="9">
        <v>40.6</v>
      </c>
      <c r="U63" s="9">
        <v>0.39</v>
      </c>
      <c r="V63" s="9">
        <v>0.218</v>
      </c>
      <c r="W63" s="9">
        <v>2.91</v>
      </c>
      <c r="X63" s="9">
        <v>12.1</v>
      </c>
    </row>
    <row r="64" spans="1:25" x14ac:dyDescent="0.3">
      <c r="A64" s="8">
        <v>52</v>
      </c>
      <c r="B64" s="9" t="s">
        <v>191</v>
      </c>
      <c r="C64" s="9" t="s">
        <v>191</v>
      </c>
      <c r="D64" s="9" t="s">
        <v>192</v>
      </c>
      <c r="E64" s="8">
        <v>1</v>
      </c>
      <c r="F64" s="8" t="s">
        <v>61</v>
      </c>
      <c r="G64" s="9">
        <v>2.69</v>
      </c>
      <c r="H64" s="9">
        <f>1.7*10^-7</f>
        <v>1.6999999999999999E-7</v>
      </c>
      <c r="I64" s="9">
        <v>2.1899999999999999E-2</v>
      </c>
      <c r="J64" s="9">
        <v>3.32E-3</v>
      </c>
      <c r="K64" s="9">
        <v>1.2700000000000001E-3</v>
      </c>
      <c r="L64" s="9">
        <v>10.4</v>
      </c>
      <c r="M64" s="9">
        <v>1.7100000000000001E-2</v>
      </c>
      <c r="N64" s="9">
        <v>8.09E-3</v>
      </c>
      <c r="O64" s="9">
        <v>2.8300000000000001E-3</v>
      </c>
      <c r="P64" s="9">
        <v>0.54500000000000004</v>
      </c>
      <c r="Q64" s="9">
        <v>0.496</v>
      </c>
      <c r="R64" s="9">
        <v>0.64900000000000002</v>
      </c>
      <c r="S64" s="9">
        <v>0.126</v>
      </c>
      <c r="T64" s="9">
        <v>0.13400000000000001</v>
      </c>
      <c r="U64" s="9">
        <v>8.9099999999999997E-4</v>
      </c>
      <c r="V64" s="9">
        <v>7.0800000000000002E-2</v>
      </c>
      <c r="W64" s="9">
        <v>2.69</v>
      </c>
      <c r="X64" s="9">
        <v>0.746</v>
      </c>
    </row>
    <row r="65" spans="1:24" x14ac:dyDescent="0.3">
      <c r="A65" s="8">
        <v>53</v>
      </c>
      <c r="B65" s="9" t="s">
        <v>193</v>
      </c>
      <c r="C65" s="9" t="s">
        <v>193</v>
      </c>
      <c r="D65" s="9" t="s">
        <v>194</v>
      </c>
      <c r="E65" s="8">
        <v>1</v>
      </c>
      <c r="F65" s="8" t="s">
        <v>61</v>
      </c>
      <c r="G65" s="9">
        <v>1.35</v>
      </c>
      <c r="H65" s="9">
        <v>5.9500000000000002E-7</v>
      </c>
      <c r="I65" s="9">
        <v>7.7099999999999998E-3</v>
      </c>
      <c r="J65" s="9">
        <v>3.4499999999999998E-4</v>
      </c>
      <c r="K65" s="9">
        <v>2.43E-4</v>
      </c>
      <c r="L65" s="9">
        <v>0.43</v>
      </c>
      <c r="M65" s="9">
        <v>2.7199999999999998E-2</v>
      </c>
      <c r="N65" s="9">
        <v>3.14E-3</v>
      </c>
      <c r="O65" s="9">
        <v>1.7000000000000001E-4</v>
      </c>
      <c r="P65" s="9">
        <v>3.6499999999999998E-2</v>
      </c>
      <c r="Q65" s="9">
        <v>3.27E-2</v>
      </c>
      <c r="R65" s="9">
        <v>0.26100000000000001</v>
      </c>
      <c r="S65" s="9">
        <v>4.36E-2</v>
      </c>
      <c r="T65" s="9">
        <v>1.6299999999999999E-2</v>
      </c>
      <c r="U65" s="9">
        <v>1.2700000000000001E-3</v>
      </c>
      <c r="V65" s="9">
        <v>1.0200000000000001E-2</v>
      </c>
      <c r="W65" s="9">
        <v>9.8400000000000001E-2</v>
      </c>
      <c r="X65" s="9">
        <v>1.45</v>
      </c>
    </row>
    <row r="66" spans="1:24" x14ac:dyDescent="0.3">
      <c r="A66" s="8">
        <v>54</v>
      </c>
      <c r="B66" s="9" t="s">
        <v>195</v>
      </c>
      <c r="C66" s="9" t="s">
        <v>196</v>
      </c>
      <c r="D66" s="9" t="s">
        <v>197</v>
      </c>
      <c r="E66" s="8">
        <v>1</v>
      </c>
      <c r="F66" s="8" t="s">
        <v>61</v>
      </c>
      <c r="G66" s="9">
        <v>2106</v>
      </c>
      <c r="H66" s="9">
        <v>4.4999999999999998E-2</v>
      </c>
      <c r="I66" s="9">
        <v>0</v>
      </c>
      <c r="J66" s="9">
        <v>0</v>
      </c>
      <c r="K66" s="9">
        <v>0</v>
      </c>
      <c r="L66" s="9">
        <v>0</v>
      </c>
      <c r="M66" s="9">
        <v>0</v>
      </c>
      <c r="N66" s="9">
        <v>0</v>
      </c>
      <c r="O66" s="9">
        <v>0</v>
      </c>
      <c r="P66" s="9">
        <v>0</v>
      </c>
      <c r="Q66" s="9">
        <v>0</v>
      </c>
      <c r="R66" s="9">
        <v>0</v>
      </c>
      <c r="S66" s="9">
        <v>0</v>
      </c>
      <c r="T66" s="9">
        <v>0</v>
      </c>
      <c r="U66" s="9">
        <v>0</v>
      </c>
      <c r="V66" s="9">
        <v>0</v>
      </c>
      <c r="W66" s="9">
        <v>0</v>
      </c>
      <c r="X66" s="9">
        <v>0</v>
      </c>
    </row>
    <row r="67" spans="1:24" x14ac:dyDescent="0.3">
      <c r="A67" s="8">
        <v>55</v>
      </c>
      <c r="B67" s="9" t="s">
        <v>198</v>
      </c>
      <c r="C67" s="9" t="s">
        <v>196</v>
      </c>
      <c r="D67" s="9" t="s">
        <v>199</v>
      </c>
      <c r="E67" s="8">
        <v>1</v>
      </c>
      <c r="F67" s="8" t="s">
        <v>61</v>
      </c>
      <c r="G67" s="9">
        <v>96</v>
      </c>
      <c r="H67" s="9">
        <v>1.0999999999999999E-2</v>
      </c>
      <c r="I67" s="9">
        <v>0</v>
      </c>
      <c r="J67" s="9">
        <v>0</v>
      </c>
      <c r="K67" s="9">
        <v>0</v>
      </c>
      <c r="L67" s="9">
        <v>0</v>
      </c>
      <c r="M67" s="9">
        <v>0</v>
      </c>
      <c r="N67" s="9">
        <v>0</v>
      </c>
      <c r="O67" s="9">
        <v>0</v>
      </c>
      <c r="P67" s="9">
        <v>0</v>
      </c>
      <c r="Q67" s="9">
        <v>0</v>
      </c>
      <c r="R67" s="9">
        <v>0</v>
      </c>
      <c r="S67" s="9">
        <v>0</v>
      </c>
      <c r="T67" s="9">
        <v>0</v>
      </c>
      <c r="U67" s="9">
        <v>0</v>
      </c>
      <c r="V67" s="9">
        <v>0</v>
      </c>
      <c r="W67" s="9">
        <v>0</v>
      </c>
      <c r="X67" s="9">
        <v>0</v>
      </c>
    </row>
    <row r="68" spans="1:24" x14ac:dyDescent="0.3">
      <c r="A68" s="8">
        <v>56</v>
      </c>
      <c r="B68" s="9" t="s">
        <v>200</v>
      </c>
      <c r="C68" s="9" t="s">
        <v>196</v>
      </c>
      <c r="D68" s="9" t="s">
        <v>201</v>
      </c>
      <c r="E68" s="8">
        <v>1</v>
      </c>
      <c r="F68" s="8" t="s">
        <v>61</v>
      </c>
      <c r="G68" s="9">
        <v>447</v>
      </c>
      <c r="H68" s="9">
        <v>0</v>
      </c>
      <c r="I68" s="9">
        <v>0</v>
      </c>
      <c r="J68" s="9">
        <v>0</v>
      </c>
      <c r="K68" s="9">
        <v>0</v>
      </c>
      <c r="L68" s="9">
        <v>0</v>
      </c>
      <c r="M68" s="9">
        <v>0</v>
      </c>
      <c r="N68" s="9">
        <v>0</v>
      </c>
      <c r="O68" s="9">
        <v>0</v>
      </c>
      <c r="P68" s="9">
        <v>0</v>
      </c>
      <c r="Q68" s="9">
        <v>0</v>
      </c>
      <c r="R68" s="9">
        <v>0</v>
      </c>
      <c r="S68" s="9">
        <v>0</v>
      </c>
      <c r="T68" s="9">
        <v>0</v>
      </c>
      <c r="U68" s="9">
        <v>0</v>
      </c>
      <c r="V68" s="9">
        <v>0</v>
      </c>
      <c r="W68" s="9">
        <v>0</v>
      </c>
      <c r="X68" s="9">
        <v>0</v>
      </c>
    </row>
    <row r="69" spans="1:24" x14ac:dyDescent="0.3">
      <c r="A69" s="8">
        <v>57</v>
      </c>
      <c r="B69" s="9" t="s">
        <v>202</v>
      </c>
      <c r="C69" s="9" t="s">
        <v>196</v>
      </c>
      <c r="D69" s="9" t="s">
        <v>203</v>
      </c>
      <c r="E69" s="8">
        <v>1</v>
      </c>
      <c r="F69" s="8" t="s">
        <v>61</v>
      </c>
      <c r="G69" s="9">
        <v>938</v>
      </c>
      <c r="H69" s="9">
        <v>0.13400000000000001</v>
      </c>
      <c r="I69" s="9">
        <v>0</v>
      </c>
      <c r="J69" s="9">
        <v>0</v>
      </c>
      <c r="K69" s="9">
        <v>0</v>
      </c>
      <c r="L69" s="9">
        <v>0</v>
      </c>
      <c r="M69" s="9">
        <v>0</v>
      </c>
      <c r="N69" s="9">
        <v>0</v>
      </c>
      <c r="O69" s="9">
        <v>0</v>
      </c>
      <c r="P69" s="9">
        <v>0</v>
      </c>
      <c r="Q69" s="9">
        <v>0</v>
      </c>
      <c r="R69" s="9">
        <v>0</v>
      </c>
      <c r="S69" s="9">
        <v>0</v>
      </c>
      <c r="T69" s="9">
        <v>0</v>
      </c>
      <c r="U69" s="9">
        <v>0</v>
      </c>
      <c r="V69" s="9">
        <v>0</v>
      </c>
      <c r="W69" s="9">
        <v>0</v>
      </c>
      <c r="X69" s="9">
        <v>0</v>
      </c>
    </row>
    <row r="70" spans="1:24" x14ac:dyDescent="0.3">
      <c r="A70" s="8">
        <v>58</v>
      </c>
      <c r="B70" s="9" t="s">
        <v>204</v>
      </c>
      <c r="C70" s="9" t="s">
        <v>196</v>
      </c>
      <c r="D70" s="9" t="s">
        <v>205</v>
      </c>
      <c r="E70" s="8">
        <v>1</v>
      </c>
      <c r="F70" s="8" t="s">
        <v>61</v>
      </c>
      <c r="G70" s="9">
        <v>2345</v>
      </c>
      <c r="H70" s="9">
        <v>6.7000000000000004E-2</v>
      </c>
      <c r="I70" s="9">
        <v>0</v>
      </c>
      <c r="J70" s="9">
        <v>0</v>
      </c>
      <c r="K70" s="9">
        <v>0</v>
      </c>
      <c r="L70" s="9">
        <v>0</v>
      </c>
      <c r="M70" s="9">
        <v>0</v>
      </c>
      <c r="N70" s="9">
        <v>0</v>
      </c>
      <c r="O70" s="9">
        <v>0</v>
      </c>
      <c r="P70" s="9">
        <v>0</v>
      </c>
      <c r="Q70" s="9">
        <v>0</v>
      </c>
      <c r="R70" s="9">
        <v>0</v>
      </c>
      <c r="S70" s="9">
        <v>0</v>
      </c>
      <c r="T70" s="9">
        <v>0</v>
      </c>
      <c r="U70" s="9">
        <v>0</v>
      </c>
      <c r="V70" s="9">
        <v>0</v>
      </c>
      <c r="W70" s="9">
        <v>0</v>
      </c>
      <c r="X70" s="9">
        <v>0</v>
      </c>
    </row>
    <row r="71" spans="1:24" x14ac:dyDescent="0.3">
      <c r="A71" s="8">
        <v>59</v>
      </c>
      <c r="B71" s="9" t="s">
        <v>206</v>
      </c>
      <c r="C71" s="9" t="s">
        <v>196</v>
      </c>
      <c r="D71" s="9" t="s">
        <v>207</v>
      </c>
      <c r="E71" s="8">
        <v>1</v>
      </c>
      <c r="F71" s="8" t="s">
        <v>61</v>
      </c>
      <c r="G71" s="9">
        <v>817</v>
      </c>
      <c r="H71" s="9">
        <v>0</v>
      </c>
      <c r="I71" s="9">
        <v>0</v>
      </c>
      <c r="J71" s="9">
        <v>0</v>
      </c>
      <c r="K71" s="9">
        <v>0</v>
      </c>
      <c r="L71" s="9">
        <v>0</v>
      </c>
      <c r="M71" s="9">
        <v>0</v>
      </c>
      <c r="N71" s="9">
        <v>0</v>
      </c>
      <c r="O71" s="9">
        <v>0</v>
      </c>
      <c r="P71" s="9">
        <v>0</v>
      </c>
      <c r="Q71" s="9">
        <v>0</v>
      </c>
      <c r="R71" s="9">
        <v>0</v>
      </c>
      <c r="S71" s="9">
        <v>0</v>
      </c>
      <c r="T71" s="9">
        <v>0</v>
      </c>
      <c r="U71" s="9">
        <v>0</v>
      </c>
      <c r="V71" s="9">
        <v>0</v>
      </c>
      <c r="W71" s="9">
        <v>0</v>
      </c>
      <c r="X71" s="9">
        <v>0</v>
      </c>
    </row>
    <row r="72" spans="1:24" x14ac:dyDescent="0.3">
      <c r="A72" s="8">
        <v>60</v>
      </c>
      <c r="B72" s="9" t="s">
        <v>208</v>
      </c>
      <c r="C72" s="9" t="s">
        <v>196</v>
      </c>
      <c r="D72" s="9" t="s">
        <v>209</v>
      </c>
      <c r="E72" s="8">
        <v>1</v>
      </c>
      <c r="F72" s="8" t="s">
        <v>61</v>
      </c>
      <c r="G72" s="9">
        <v>1549</v>
      </c>
      <c r="H72" s="9">
        <v>0</v>
      </c>
      <c r="I72" s="9">
        <v>0</v>
      </c>
      <c r="J72" s="9">
        <v>0</v>
      </c>
      <c r="K72" s="9">
        <v>0</v>
      </c>
      <c r="L72" s="9">
        <v>0</v>
      </c>
      <c r="M72" s="9">
        <v>0</v>
      </c>
      <c r="N72" s="9">
        <v>0</v>
      </c>
      <c r="O72" s="9">
        <v>0</v>
      </c>
      <c r="P72" s="9">
        <v>0</v>
      </c>
      <c r="Q72" s="9">
        <v>0</v>
      </c>
      <c r="R72" s="9">
        <v>0</v>
      </c>
      <c r="S72" s="9">
        <v>0</v>
      </c>
      <c r="T72" s="9">
        <v>0</v>
      </c>
      <c r="U72" s="9">
        <v>0</v>
      </c>
      <c r="V72" s="9">
        <v>0</v>
      </c>
      <c r="W72" s="9">
        <v>0</v>
      </c>
      <c r="X72" s="9">
        <v>0</v>
      </c>
    </row>
    <row r="73" spans="1:24" x14ac:dyDescent="0.3">
      <c r="A73" s="8">
        <v>61</v>
      </c>
      <c r="B73" s="9" t="s">
        <v>210</v>
      </c>
      <c r="C73" s="9" t="s">
        <v>196</v>
      </c>
      <c r="D73" s="9" t="s">
        <v>211</v>
      </c>
      <c r="E73" s="8">
        <v>1</v>
      </c>
      <c r="F73" s="8" t="s">
        <v>61</v>
      </c>
      <c r="G73" s="9">
        <v>167</v>
      </c>
      <c r="H73" s="9">
        <v>0</v>
      </c>
      <c r="I73" s="9">
        <v>0</v>
      </c>
      <c r="J73" s="9">
        <v>0</v>
      </c>
      <c r="K73" s="9">
        <v>0</v>
      </c>
      <c r="L73" s="9">
        <v>0</v>
      </c>
      <c r="M73" s="9">
        <v>0</v>
      </c>
      <c r="N73" s="9">
        <v>0</v>
      </c>
      <c r="O73" s="9">
        <v>0</v>
      </c>
      <c r="P73" s="9">
        <v>0</v>
      </c>
      <c r="Q73" s="9">
        <v>0</v>
      </c>
      <c r="R73" s="9">
        <v>0</v>
      </c>
      <c r="S73" s="9">
        <v>0</v>
      </c>
      <c r="T73" s="9">
        <v>0</v>
      </c>
      <c r="U73" s="9">
        <v>0</v>
      </c>
      <c r="V73" s="9">
        <v>0</v>
      </c>
      <c r="W73" s="9">
        <v>0</v>
      </c>
      <c r="X73" s="9">
        <v>0</v>
      </c>
    </row>
    <row r="74" spans="1:24" x14ac:dyDescent="0.3">
      <c r="A74" s="8">
        <v>62</v>
      </c>
      <c r="B74" s="9" t="s">
        <v>212</v>
      </c>
      <c r="C74" s="9" t="s">
        <v>196</v>
      </c>
      <c r="D74" s="9" t="s">
        <v>213</v>
      </c>
      <c r="E74" s="8">
        <v>1</v>
      </c>
      <c r="F74" s="8" t="s">
        <v>61</v>
      </c>
      <c r="G74" s="9">
        <v>1032</v>
      </c>
      <c r="H74" s="9">
        <v>0</v>
      </c>
      <c r="I74" s="9">
        <v>0</v>
      </c>
      <c r="J74" s="9">
        <v>0</v>
      </c>
      <c r="K74" s="9">
        <v>0</v>
      </c>
      <c r="L74" s="9">
        <v>0</v>
      </c>
      <c r="M74" s="9">
        <v>0</v>
      </c>
      <c r="N74" s="9">
        <v>0</v>
      </c>
      <c r="O74" s="9">
        <v>0</v>
      </c>
      <c r="P74" s="9">
        <v>0</v>
      </c>
      <c r="Q74" s="9">
        <v>0</v>
      </c>
      <c r="R74" s="9">
        <v>0</v>
      </c>
      <c r="S74" s="9">
        <v>0</v>
      </c>
      <c r="T74" s="9">
        <v>0</v>
      </c>
      <c r="U74" s="9">
        <v>0</v>
      </c>
      <c r="V74" s="9">
        <v>0</v>
      </c>
      <c r="W74" s="9">
        <v>0</v>
      </c>
      <c r="X74" s="9">
        <v>0</v>
      </c>
    </row>
    <row r="75" spans="1:24" x14ac:dyDescent="0.3">
      <c r="A75" s="8">
        <v>63</v>
      </c>
      <c r="B75" s="9" t="s">
        <v>214</v>
      </c>
      <c r="C75" s="9" t="s">
        <v>196</v>
      </c>
      <c r="D75" s="9" t="s">
        <v>215</v>
      </c>
      <c r="E75" s="8">
        <v>1</v>
      </c>
      <c r="F75" s="8" t="s">
        <v>61</v>
      </c>
      <c r="G75" s="9">
        <v>1</v>
      </c>
      <c r="H75" s="9">
        <v>0</v>
      </c>
      <c r="I75" s="9">
        <v>0</v>
      </c>
      <c r="J75" s="9">
        <v>0</v>
      </c>
      <c r="K75" s="9">
        <v>0</v>
      </c>
      <c r="L75" s="9">
        <v>0</v>
      </c>
      <c r="M75" s="9">
        <v>0</v>
      </c>
      <c r="N75" s="9">
        <v>0</v>
      </c>
      <c r="O75" s="9">
        <v>0</v>
      </c>
      <c r="P75" s="9">
        <v>0</v>
      </c>
      <c r="Q75" s="9">
        <v>0</v>
      </c>
      <c r="R75" s="9">
        <v>0</v>
      </c>
      <c r="S75" s="9">
        <v>0</v>
      </c>
      <c r="T75" s="9">
        <v>0</v>
      </c>
      <c r="U75" s="9">
        <v>0</v>
      </c>
      <c r="V75" s="9">
        <v>0</v>
      </c>
      <c r="W75" s="9">
        <v>0</v>
      </c>
      <c r="X75" s="9">
        <v>0</v>
      </c>
    </row>
    <row r="76" spans="1:24" x14ac:dyDescent="0.3">
      <c r="A76" s="8">
        <v>64</v>
      </c>
      <c r="B76" s="9" t="s">
        <v>216</v>
      </c>
      <c r="C76" s="9" t="s">
        <v>217</v>
      </c>
      <c r="D76" s="9" t="s">
        <v>218</v>
      </c>
      <c r="E76" s="8">
        <f>SUM(E77:E79)</f>
        <v>1</v>
      </c>
      <c r="F76" s="8" t="s">
        <v>61</v>
      </c>
      <c r="G76" s="9">
        <f>SUM(G77:G79)</f>
        <v>6.6001209999999997</v>
      </c>
      <c r="H76" s="9">
        <f t="shared" ref="H76:X76" si="0">SUM(H77:H79)</f>
        <v>7.8306459999999998E-7</v>
      </c>
      <c r="I76" s="9">
        <f t="shared" si="0"/>
        <v>3.0900842999999997E-2</v>
      </c>
      <c r="J76" s="9">
        <f t="shared" si="0"/>
        <v>2.5210546000000002E-3</v>
      </c>
      <c r="K76" s="9">
        <f t="shared" si="0"/>
        <v>7.0260308999999998E-3</v>
      </c>
      <c r="L76" s="9">
        <f t="shared" si="0"/>
        <v>2.2780963000000001</v>
      </c>
      <c r="M76" s="9">
        <f t="shared" si="0"/>
        <v>1.9220400000000002E-2</v>
      </c>
      <c r="N76" s="9">
        <f t="shared" si="0"/>
        <v>1.5250354000000001E-2</v>
      </c>
      <c r="O76" s="9">
        <f t="shared" si="0"/>
        <v>8.2402560000000003E-4</v>
      </c>
      <c r="P76" s="9">
        <f t="shared" si="0"/>
        <v>0.17771049999999999</v>
      </c>
      <c r="Q76" s="9">
        <f t="shared" si="0"/>
        <v>0.16230949</v>
      </c>
      <c r="R76" s="9">
        <f t="shared" si="0"/>
        <v>0.46401109999999995</v>
      </c>
      <c r="S76" s="9">
        <f t="shared" si="0"/>
        <v>0.17730406000000001</v>
      </c>
      <c r="T76" s="9">
        <f t="shared" si="0"/>
        <v>8.7002460000000004E-2</v>
      </c>
      <c r="U76" s="9">
        <f t="shared" si="0"/>
        <v>1.0950222E-3</v>
      </c>
      <c r="V76" s="9">
        <f t="shared" si="0"/>
        <v>6.4679E-2</v>
      </c>
      <c r="W76" s="9">
        <f t="shared" si="0"/>
        <v>0.38872590000000001</v>
      </c>
      <c r="X76" s="9">
        <f t="shared" si="0"/>
        <v>1.8770328000000001</v>
      </c>
    </row>
    <row r="77" spans="1:24" hidden="1" x14ac:dyDescent="0.3">
      <c r="A77" s="8"/>
      <c r="B77" s="9"/>
      <c r="C77" s="9"/>
      <c r="D77" s="9" t="s">
        <v>219</v>
      </c>
      <c r="E77" s="8">
        <v>0.05</v>
      </c>
      <c r="F77" s="8" t="s">
        <v>61</v>
      </c>
      <c r="G77" s="9">
        <v>3.74</v>
      </c>
      <c r="H77" s="9">
        <v>3.6399999999999998E-7</v>
      </c>
      <c r="I77" s="9">
        <v>2.1999999999999999E-2</v>
      </c>
      <c r="J77" s="9">
        <v>2.0400000000000001E-3</v>
      </c>
      <c r="K77" s="9">
        <v>6.7299999999999999E-3</v>
      </c>
      <c r="L77" s="9">
        <v>1.73</v>
      </c>
      <c r="M77" s="9">
        <v>1.37E-2</v>
      </c>
      <c r="N77" s="9">
        <v>1.1900000000000001E-2</v>
      </c>
      <c r="O77" s="9">
        <v>5.0900000000000001E-4</v>
      </c>
      <c r="P77" s="9">
        <v>0.14299999999999999</v>
      </c>
      <c r="Q77" s="9">
        <v>0.13100000000000001</v>
      </c>
      <c r="R77" s="9">
        <v>0.32300000000000001</v>
      </c>
      <c r="S77" s="9">
        <v>0.128</v>
      </c>
      <c r="T77" s="9">
        <v>7.3400000000000007E-2</v>
      </c>
      <c r="U77" s="9">
        <v>5.5199999999999997E-4</v>
      </c>
      <c r="V77" s="9">
        <v>4.8899999999999999E-2</v>
      </c>
      <c r="W77" s="9">
        <v>0.317</v>
      </c>
      <c r="X77" s="9">
        <v>0.98199999999999998</v>
      </c>
    </row>
    <row r="78" spans="1:24" hidden="1" x14ac:dyDescent="0.3">
      <c r="A78" s="8"/>
      <c r="B78" s="9"/>
      <c r="C78" s="9"/>
      <c r="D78" s="9" t="s">
        <v>220</v>
      </c>
      <c r="E78" s="8">
        <v>0.55000000000000004</v>
      </c>
      <c r="F78" s="8" t="s">
        <v>61</v>
      </c>
      <c r="G78" s="9">
        <v>2.86</v>
      </c>
      <c r="H78" s="9">
        <v>4.1900000000000003E-7</v>
      </c>
      <c r="I78" s="9">
        <v>8.8999999999999999E-3</v>
      </c>
      <c r="J78" s="9">
        <v>4.8099999999999998E-4</v>
      </c>
      <c r="K78" s="9">
        <v>2.9599999999999998E-4</v>
      </c>
      <c r="L78" s="9">
        <v>0.54800000000000004</v>
      </c>
      <c r="M78" s="9">
        <v>5.5199999999999997E-3</v>
      </c>
      <c r="N78" s="9">
        <v>3.3500000000000001E-3</v>
      </c>
      <c r="O78" s="9">
        <v>3.1500000000000001E-4</v>
      </c>
      <c r="P78" s="9">
        <v>3.4700000000000002E-2</v>
      </c>
      <c r="Q78" s="9">
        <v>3.1300000000000001E-2</v>
      </c>
      <c r="R78" s="9">
        <v>0.14099999999999999</v>
      </c>
      <c r="S78" s="9">
        <v>4.9299999999999997E-2</v>
      </c>
      <c r="T78" s="9">
        <v>1.3599999999999999E-2</v>
      </c>
      <c r="U78" s="9">
        <v>5.4299999999999997E-4</v>
      </c>
      <c r="V78" s="9">
        <v>1.55E-2</v>
      </c>
      <c r="W78" s="9">
        <v>7.17E-2</v>
      </c>
      <c r="X78" s="9">
        <v>0.89500000000000002</v>
      </c>
    </row>
    <row r="79" spans="1:24" hidden="1" x14ac:dyDescent="0.3">
      <c r="A79" s="8"/>
      <c r="B79" s="9"/>
      <c r="C79" s="9"/>
      <c r="D79" s="9" t="s">
        <v>221</v>
      </c>
      <c r="E79" s="8">
        <v>0.4</v>
      </c>
      <c r="F79" s="8" t="s">
        <v>61</v>
      </c>
      <c r="G79" s="9">
        <v>1.21E-4</v>
      </c>
      <c r="H79" s="9">
        <v>6.4600000000000002E-11</v>
      </c>
      <c r="I79" s="9">
        <v>8.4299999999999991E-7</v>
      </c>
      <c r="J79" s="9">
        <v>5.4599999999999999E-8</v>
      </c>
      <c r="K79" s="9">
        <v>3.0899999999999999E-8</v>
      </c>
      <c r="L79" s="9">
        <v>9.630000000000001E-5</v>
      </c>
      <c r="M79" s="9">
        <v>3.9999999999999998E-7</v>
      </c>
      <c r="N79" s="9">
        <v>3.5399999999999997E-7</v>
      </c>
      <c r="O79" s="9">
        <v>2.5600000000000001E-8</v>
      </c>
      <c r="P79" s="9">
        <v>1.0500000000000001E-5</v>
      </c>
      <c r="Q79" s="9">
        <v>9.4900000000000006E-6</v>
      </c>
      <c r="R79" s="9">
        <v>1.1100000000000002E-5</v>
      </c>
      <c r="S79" s="9">
        <v>4.0599999999999992E-6</v>
      </c>
      <c r="T79" s="9">
        <v>2.4599999999999997E-6</v>
      </c>
      <c r="U79" s="9">
        <v>2.2200000000000004E-8</v>
      </c>
      <c r="V79" s="9">
        <v>2.7900000000000001E-4</v>
      </c>
      <c r="W79" s="9">
        <v>2.5899999999999999E-5</v>
      </c>
      <c r="X79" s="9">
        <v>3.2799999999999998E-5</v>
      </c>
    </row>
    <row r="80" spans="1:24" x14ac:dyDescent="0.3">
      <c r="A80" s="8">
        <v>65</v>
      </c>
      <c r="B80" s="9" t="s">
        <v>222</v>
      </c>
      <c r="C80" s="9" t="s">
        <v>217</v>
      </c>
      <c r="D80" s="9" t="s">
        <v>223</v>
      </c>
      <c r="E80" s="8">
        <f>SUM(E81:E82)</f>
        <v>1</v>
      </c>
      <c r="F80" s="8" t="s">
        <v>61</v>
      </c>
      <c r="G80" s="9">
        <f>SUM(G81:G82)</f>
        <v>1.320136</v>
      </c>
      <c r="H80" s="9">
        <f t="shared" ref="H80:X80" si="1">SUM(H81:H82)</f>
        <v>7.2679199999999992E-11</v>
      </c>
      <c r="I80" s="9">
        <f t="shared" si="1"/>
        <v>1.680948E-3</v>
      </c>
      <c r="J80" s="9">
        <f t="shared" si="1"/>
        <v>1.7739999999999999E-7</v>
      </c>
      <c r="K80" s="9">
        <f t="shared" si="1"/>
        <v>2.500348E-4</v>
      </c>
      <c r="L80" s="9">
        <f t="shared" si="1"/>
        <v>3.7600000000000003E-4</v>
      </c>
      <c r="M80" s="9">
        <f t="shared" si="1"/>
        <v>1.36045E-3</v>
      </c>
      <c r="N80" s="9">
        <f t="shared" si="1"/>
        <v>6.2639800000000002E-4</v>
      </c>
      <c r="O80" s="9">
        <f t="shared" si="1"/>
        <v>5.8599999999999995E-8</v>
      </c>
      <c r="P80" s="9">
        <f t="shared" si="1"/>
        <v>1.3311800000000002E-5</v>
      </c>
      <c r="Q80" s="9">
        <f t="shared" si="1"/>
        <v>2.2800000000000002E-5</v>
      </c>
      <c r="R80" s="9">
        <f t="shared" si="1"/>
        <v>1.2500000000000001E-5</v>
      </c>
      <c r="S80" s="9">
        <f t="shared" si="1"/>
        <v>4.5700000000000003E-6</v>
      </c>
      <c r="T80" s="9">
        <f t="shared" si="1"/>
        <v>2.7699999999999997E-6</v>
      </c>
      <c r="U80" s="9">
        <f t="shared" si="1"/>
        <v>2.4900000000000001E-8</v>
      </c>
      <c r="V80" s="9">
        <f t="shared" si="1"/>
        <v>4.2814000000000005E-2</v>
      </c>
      <c r="W80" s="9">
        <f t="shared" si="1"/>
        <v>4.2400000000000001E-5</v>
      </c>
      <c r="X80" s="9">
        <f t="shared" si="1"/>
        <v>0.45803690000000002</v>
      </c>
    </row>
    <row r="81" spans="1:24" hidden="1" x14ac:dyDescent="0.3">
      <c r="A81" s="9"/>
      <c r="B81" s="9"/>
      <c r="C81" s="9"/>
      <c r="D81" s="9" t="s">
        <v>224</v>
      </c>
      <c r="E81" s="8">
        <v>0.55000000000000004</v>
      </c>
      <c r="F81" s="8" t="s">
        <v>61</v>
      </c>
      <c r="G81" s="9">
        <v>1.32</v>
      </c>
      <c r="H81" s="9">
        <v>7.9199999999999993E-14</v>
      </c>
      <c r="I81" s="9">
        <v>1.6800000000000001E-3</v>
      </c>
      <c r="J81" s="9">
        <v>1.1599999999999999E-7</v>
      </c>
      <c r="K81" s="9">
        <v>2.5000000000000001E-4</v>
      </c>
      <c r="L81" s="9">
        <v>2.6800000000000001E-4</v>
      </c>
      <c r="M81" s="9">
        <v>1.3600000000000001E-3</v>
      </c>
      <c r="N81" s="9">
        <v>6.2600000000000004E-4</v>
      </c>
      <c r="O81" s="9">
        <v>2.9799999999999999E-8</v>
      </c>
      <c r="P81" s="9">
        <v>1.3300000000000001E-5</v>
      </c>
      <c r="Q81" s="9">
        <v>1.2100000000000001E-5</v>
      </c>
      <c r="R81" s="9">
        <v>0</v>
      </c>
      <c r="S81" s="9">
        <v>0</v>
      </c>
      <c r="T81" s="9">
        <v>0</v>
      </c>
      <c r="U81" s="9">
        <v>0</v>
      </c>
      <c r="V81" s="9">
        <v>4.2500000000000003E-2</v>
      </c>
      <c r="W81" s="9">
        <v>1.3300000000000001E-5</v>
      </c>
      <c r="X81" s="9">
        <v>0.45800000000000002</v>
      </c>
    </row>
    <row r="82" spans="1:24" hidden="1" x14ac:dyDescent="0.3">
      <c r="A82" s="8"/>
      <c r="B82" s="9"/>
      <c r="C82" s="9"/>
      <c r="D82" s="9" t="s">
        <v>221</v>
      </c>
      <c r="E82" s="8">
        <v>0.44999999999999996</v>
      </c>
      <c r="F82" s="8" t="s">
        <v>61</v>
      </c>
      <c r="G82" s="9">
        <v>1.36E-4</v>
      </c>
      <c r="H82" s="9">
        <v>7.2599999999999987E-11</v>
      </c>
      <c r="I82" s="9">
        <v>9.4799999999999997E-7</v>
      </c>
      <c r="J82" s="9">
        <v>6.1399999999999994E-8</v>
      </c>
      <c r="K82" s="9">
        <v>3.4800000000000001E-8</v>
      </c>
      <c r="L82" s="9">
        <v>1.08E-4</v>
      </c>
      <c r="M82" s="9">
        <v>4.4999999999999998E-7</v>
      </c>
      <c r="N82" s="9">
        <v>3.9799999999999999E-7</v>
      </c>
      <c r="O82" s="9">
        <v>2.88E-8</v>
      </c>
      <c r="P82" s="9">
        <v>1.18E-8</v>
      </c>
      <c r="Q82" s="9">
        <v>1.0700000000000001E-5</v>
      </c>
      <c r="R82" s="9">
        <v>1.2500000000000001E-5</v>
      </c>
      <c r="S82" s="9">
        <v>4.5700000000000003E-6</v>
      </c>
      <c r="T82" s="9">
        <v>2.7699999999999997E-6</v>
      </c>
      <c r="U82" s="9">
        <v>2.4900000000000001E-8</v>
      </c>
      <c r="V82" s="9">
        <v>3.1399999999999999E-4</v>
      </c>
      <c r="W82" s="9">
        <v>2.9100000000000003E-5</v>
      </c>
      <c r="X82" s="9">
        <v>3.6900000000000002E-5</v>
      </c>
    </row>
    <row r="83" spans="1:24" x14ac:dyDescent="0.3">
      <c r="A83" s="14" t="s">
        <v>225</v>
      </c>
      <c r="B83" s="17"/>
      <c r="C83" s="17"/>
      <c r="D83" s="17"/>
      <c r="E83" s="18"/>
      <c r="F83" s="18"/>
      <c r="G83" s="17"/>
      <c r="H83" s="17"/>
      <c r="I83" s="17"/>
      <c r="J83" s="17"/>
      <c r="K83" s="17"/>
      <c r="L83" s="17"/>
      <c r="M83" s="17"/>
      <c r="N83" s="17"/>
      <c r="O83" s="17"/>
      <c r="P83" s="17"/>
      <c r="Q83" s="17"/>
      <c r="R83" s="17"/>
      <c r="S83" s="17"/>
      <c r="T83" s="17"/>
      <c r="U83" s="17"/>
      <c r="V83" s="17"/>
      <c r="W83" s="17"/>
      <c r="X83" s="17"/>
    </row>
    <row r="84" spans="1:24" x14ac:dyDescent="0.3">
      <c r="A84" s="8">
        <v>1</v>
      </c>
      <c r="B84" s="9" t="s">
        <v>226</v>
      </c>
      <c r="C84" s="9" t="s">
        <v>226</v>
      </c>
      <c r="D84" s="9" t="s">
        <v>227</v>
      </c>
      <c r="E84" s="8">
        <v>1</v>
      </c>
      <c r="F84" s="8" t="s">
        <v>228</v>
      </c>
      <c r="G84" s="9">
        <v>0.77900000000000003</v>
      </c>
      <c r="H84" s="9">
        <v>6.6199999999999997E-12</v>
      </c>
      <c r="I84" s="9">
        <v>6.2700000000000004E-3</v>
      </c>
      <c r="J84" s="9">
        <v>0</v>
      </c>
      <c r="K84" s="9">
        <v>7.9500000000000008E-5</v>
      </c>
      <c r="L84" s="9">
        <v>6.8000000000000005E-2</v>
      </c>
      <c r="M84" s="9">
        <v>3.0899999999999999E-3</v>
      </c>
      <c r="N84" s="9">
        <v>1.5E-3</v>
      </c>
      <c r="O84" s="9">
        <v>7.0299999999999996E-6</v>
      </c>
      <c r="P84" s="9">
        <v>5.3399999999999997E-4</v>
      </c>
      <c r="Q84" s="9">
        <v>5.2800000000000004E-4</v>
      </c>
      <c r="R84" s="9">
        <v>0</v>
      </c>
      <c r="S84" s="9">
        <v>0</v>
      </c>
      <c r="T84" s="9">
        <v>0</v>
      </c>
      <c r="U84" s="9">
        <v>0</v>
      </c>
      <c r="V84" s="9">
        <v>0</v>
      </c>
      <c r="W84" s="9">
        <v>0</v>
      </c>
      <c r="X84" s="9">
        <v>0.245</v>
      </c>
    </row>
    <row r="85" spans="1:24" x14ac:dyDescent="0.3">
      <c r="A85" s="8">
        <v>2</v>
      </c>
      <c r="B85" s="9" t="s">
        <v>229</v>
      </c>
      <c r="C85" s="9" t="s">
        <v>229</v>
      </c>
      <c r="D85" s="9" t="s">
        <v>230</v>
      </c>
      <c r="E85" s="8">
        <v>1</v>
      </c>
      <c r="F85" s="8" t="s">
        <v>231</v>
      </c>
      <c r="G85" s="9">
        <v>3.17</v>
      </c>
      <c r="H85" s="9">
        <v>1.2900000000000002E-10</v>
      </c>
      <c r="I85" s="9">
        <v>3.85E-2</v>
      </c>
      <c r="J85" s="9">
        <v>0</v>
      </c>
      <c r="K85" s="9">
        <v>2.2200000000000002E-3</v>
      </c>
      <c r="L85" s="9">
        <v>1.75</v>
      </c>
      <c r="M85" s="9">
        <v>5.9299999999999999E-2</v>
      </c>
      <c r="N85" s="9">
        <v>1.49E-2</v>
      </c>
      <c r="O85" s="9">
        <v>7.2099999999999996E-6</v>
      </c>
      <c r="P85" s="9">
        <v>1.4500000000000001E-2</v>
      </c>
      <c r="Q85" s="9">
        <v>1.4200000000000001E-2</v>
      </c>
      <c r="R85" s="9">
        <v>0</v>
      </c>
      <c r="S85" s="9">
        <v>0</v>
      </c>
      <c r="T85" s="9">
        <v>0</v>
      </c>
      <c r="U85" s="9">
        <v>0</v>
      </c>
      <c r="V85" s="9">
        <v>0</v>
      </c>
      <c r="W85" s="9">
        <v>0</v>
      </c>
      <c r="X85" s="9">
        <v>1.05</v>
      </c>
    </row>
    <row r="86" spans="1:24" x14ac:dyDescent="0.3">
      <c r="A86" s="8">
        <v>3</v>
      </c>
      <c r="B86" s="9" t="s">
        <v>232</v>
      </c>
      <c r="C86" s="9" t="s">
        <v>232</v>
      </c>
      <c r="D86" s="9" t="s">
        <v>233</v>
      </c>
      <c r="E86" s="8">
        <v>1</v>
      </c>
      <c r="F86" s="8" t="s">
        <v>231</v>
      </c>
      <c r="G86" s="9">
        <v>2.5299999999999998</v>
      </c>
      <c r="H86" s="9">
        <v>1.1499999999999999E-10</v>
      </c>
      <c r="I86" s="9">
        <v>2.4299999999999999E-2</v>
      </c>
      <c r="J86" s="9">
        <v>0</v>
      </c>
      <c r="K86" s="9">
        <v>1.4499999999999999E-3</v>
      </c>
      <c r="L86" s="9">
        <v>1.57</v>
      </c>
      <c r="M86" s="9">
        <v>4.4900000000000002E-2</v>
      </c>
      <c r="N86" s="9">
        <v>9.0500000000000008E-3</v>
      </c>
      <c r="O86" s="9">
        <v>6.46E-6</v>
      </c>
      <c r="P86" s="9">
        <v>1.29E-2</v>
      </c>
      <c r="Q86" s="9">
        <v>1.2699999999999999E-2</v>
      </c>
      <c r="R86" s="9">
        <v>0</v>
      </c>
      <c r="S86" s="9">
        <v>0</v>
      </c>
      <c r="T86" s="9">
        <v>0</v>
      </c>
      <c r="U86" s="9">
        <v>0</v>
      </c>
      <c r="V86" s="9">
        <v>0</v>
      </c>
      <c r="W86" s="9">
        <v>0</v>
      </c>
      <c r="X86" s="9">
        <v>0.94099999999999995</v>
      </c>
    </row>
    <row r="87" spans="1:24" x14ac:dyDescent="0.3">
      <c r="A87" s="8">
        <v>4</v>
      </c>
      <c r="B87" s="9" t="s">
        <v>234</v>
      </c>
      <c r="C87" s="9" t="s">
        <v>234</v>
      </c>
      <c r="D87" s="9" t="s">
        <v>235</v>
      </c>
      <c r="E87" s="8">
        <v>1</v>
      </c>
      <c r="F87" s="8" t="s">
        <v>61</v>
      </c>
      <c r="G87" s="9">
        <v>0.63500000000000001</v>
      </c>
      <c r="H87" s="9">
        <f>7.17*10^-7</f>
        <v>7.1699999999999997E-7</v>
      </c>
      <c r="I87" s="9">
        <v>6.0600000000000003E-3</v>
      </c>
      <c r="J87" s="9">
        <f>3.77*10^-5</f>
        <v>3.7700000000000002E-5</v>
      </c>
      <c r="K87" s="9">
        <v>1.17E-4</v>
      </c>
      <c r="L87" s="9">
        <v>9.8599999999999993E-2</v>
      </c>
      <c r="M87" s="9">
        <v>4.6699999999999997E-3</v>
      </c>
      <c r="N87" s="9">
        <v>1.8400000000000001E-3</v>
      </c>
      <c r="O87" s="9">
        <v>1.18E-4</v>
      </c>
      <c r="P87" s="9">
        <v>4.1399999999999996E-3</v>
      </c>
      <c r="Q87" s="9">
        <v>3.8600000000000001E-3</v>
      </c>
      <c r="R87" s="9">
        <v>0.246</v>
      </c>
      <c r="S87" s="9">
        <v>3.9500000000000004E-3</v>
      </c>
      <c r="T87" s="9">
        <v>6.5399999999999998E-3</v>
      </c>
      <c r="U87" s="9">
        <v>1.4499999999999999E-3</v>
      </c>
      <c r="V87" s="9">
        <v>9.8799999999999995E-4</v>
      </c>
      <c r="W87" s="9">
        <v>1.9099999999999999E-2</v>
      </c>
      <c r="X87" s="9">
        <v>1.33</v>
      </c>
    </row>
    <row r="88" spans="1:24" x14ac:dyDescent="0.3">
      <c r="A88" s="19" t="s">
        <v>236</v>
      </c>
      <c r="B88" s="17"/>
      <c r="C88" s="17"/>
      <c r="D88" s="17"/>
      <c r="E88" s="18"/>
      <c r="F88" s="18"/>
      <c r="G88" s="17"/>
      <c r="H88" s="17"/>
      <c r="I88" s="17"/>
      <c r="J88" s="17"/>
      <c r="K88" s="17"/>
      <c r="L88" s="17"/>
      <c r="M88" s="17"/>
      <c r="N88" s="17"/>
      <c r="O88" s="17"/>
      <c r="P88" s="17"/>
      <c r="Q88" s="17"/>
      <c r="R88" s="17"/>
      <c r="S88" s="17"/>
      <c r="T88" s="17"/>
      <c r="U88" s="17"/>
      <c r="V88" s="17"/>
      <c r="W88" s="17"/>
      <c r="X88" s="17"/>
    </row>
    <row r="89" spans="1:24" x14ac:dyDescent="0.3">
      <c r="A89" s="8">
        <v>1</v>
      </c>
      <c r="B89" s="9" t="s">
        <v>237</v>
      </c>
      <c r="C89" s="9" t="s">
        <v>236</v>
      </c>
      <c r="D89" s="9" t="s">
        <v>238</v>
      </c>
      <c r="E89" s="8">
        <v>1</v>
      </c>
      <c r="F89" s="8" t="s">
        <v>239</v>
      </c>
      <c r="G89" s="9">
        <v>0.875</v>
      </c>
      <c r="H89" s="9">
        <v>3.6499999999999997E-11</v>
      </c>
      <c r="I89" s="9">
        <v>4.7699999999999999E-3</v>
      </c>
      <c r="J89" s="9">
        <v>0</v>
      </c>
      <c r="K89" s="9">
        <v>5.1000000000000004E-4</v>
      </c>
      <c r="L89" s="9">
        <v>0.49399999999999999</v>
      </c>
      <c r="M89" s="9">
        <v>7.1399999999999996E-3</v>
      </c>
      <c r="N89" s="9">
        <v>2.2300000000000002E-3</v>
      </c>
      <c r="O89" s="9">
        <v>1.2099999999999998E-6</v>
      </c>
      <c r="P89" s="9">
        <v>4.1000000000000003E-3</v>
      </c>
      <c r="Q89" s="9">
        <v>4.0299999999999997E-3</v>
      </c>
      <c r="R89" s="9">
        <v>0</v>
      </c>
      <c r="S89" s="9">
        <v>0</v>
      </c>
      <c r="T89" s="9">
        <v>0</v>
      </c>
      <c r="U89" s="9">
        <v>0</v>
      </c>
      <c r="V89" s="9">
        <v>0</v>
      </c>
      <c r="W89" s="9">
        <v>0</v>
      </c>
      <c r="X89" s="9">
        <v>0.30099999999999999</v>
      </c>
    </row>
    <row r="90" spans="1:24" x14ac:dyDescent="0.3">
      <c r="A90" s="8">
        <v>2</v>
      </c>
      <c r="B90" s="9" t="s">
        <v>240</v>
      </c>
      <c r="C90" s="9" t="s">
        <v>236</v>
      </c>
      <c r="D90" s="9" t="s">
        <v>241</v>
      </c>
      <c r="E90" s="8">
        <v>1</v>
      </c>
      <c r="F90" s="8" t="s">
        <v>239</v>
      </c>
      <c r="G90" s="9">
        <v>0.66400000000000003</v>
      </c>
      <c r="H90" s="9">
        <v>2.74E-11</v>
      </c>
      <c r="I90" s="9">
        <v>2.65E-3</v>
      </c>
      <c r="J90" s="9">
        <v>0</v>
      </c>
      <c r="K90" s="9">
        <v>2.2000000000000001E-4</v>
      </c>
      <c r="L90" s="9">
        <v>0.371</v>
      </c>
      <c r="M90" s="9">
        <v>4.1799999999999997E-3</v>
      </c>
      <c r="N90" s="9">
        <v>9.5100000000000002E-4</v>
      </c>
      <c r="O90" s="9">
        <v>9.0399999999999984E-7</v>
      </c>
      <c r="P90" s="9">
        <v>3.0799999999999998E-3</v>
      </c>
      <c r="Q90" s="9">
        <v>3.0300000000000001E-3</v>
      </c>
      <c r="R90" s="9">
        <v>0</v>
      </c>
      <c r="S90" s="9">
        <v>0</v>
      </c>
      <c r="T90" s="9">
        <v>0</v>
      </c>
      <c r="U90" s="9">
        <v>0</v>
      </c>
      <c r="V90" s="9">
        <v>0</v>
      </c>
      <c r="W90" s="9">
        <v>0</v>
      </c>
      <c r="X90" s="9">
        <v>0.22600000000000001</v>
      </c>
    </row>
    <row r="91" spans="1:24" x14ac:dyDescent="0.3">
      <c r="A91" s="8">
        <v>3</v>
      </c>
      <c r="B91" s="9" t="s">
        <v>242</v>
      </c>
      <c r="C91" s="9" t="s">
        <v>236</v>
      </c>
      <c r="D91" s="9" t="s">
        <v>243</v>
      </c>
      <c r="E91" s="8">
        <v>1</v>
      </c>
      <c r="F91" s="8" t="s">
        <v>239</v>
      </c>
      <c r="G91" s="9">
        <v>0.19900000000000001</v>
      </c>
      <c r="H91" s="9">
        <v>7.5100000000000001E-12</v>
      </c>
      <c r="I91" s="9">
        <v>1.0499999999999999E-3</v>
      </c>
      <c r="J91" s="9">
        <v>0</v>
      </c>
      <c r="K91" s="9">
        <v>5.7000000000000003E-5</v>
      </c>
      <c r="L91" s="9">
        <v>0.10199999999999999</v>
      </c>
      <c r="M91" s="9">
        <v>1.56E-3</v>
      </c>
      <c r="N91" s="9">
        <v>3.8499999999999998E-4</v>
      </c>
      <c r="O91" s="9">
        <v>2.3300000000000001E-7</v>
      </c>
      <c r="P91" s="9">
        <v>8.4400000000000002E-4</v>
      </c>
      <c r="Q91" s="9">
        <v>8.2899999999999998E-4</v>
      </c>
      <c r="R91" s="9">
        <v>0</v>
      </c>
      <c r="S91" s="9">
        <v>0</v>
      </c>
      <c r="T91" s="9">
        <v>0</v>
      </c>
      <c r="U91" s="9">
        <v>0</v>
      </c>
      <c r="V91" s="9">
        <v>0</v>
      </c>
      <c r="W91" s="9">
        <v>0</v>
      </c>
      <c r="X91" s="9">
        <v>6.1400000000000003E-2</v>
      </c>
    </row>
    <row r="92" spans="1:24" x14ac:dyDescent="0.3">
      <c r="A92" s="8">
        <v>4</v>
      </c>
      <c r="B92" s="9" t="s">
        <v>244</v>
      </c>
      <c r="C92" s="9" t="s">
        <v>236</v>
      </c>
      <c r="D92" s="9" t="s">
        <v>245</v>
      </c>
      <c r="E92" s="8">
        <v>1</v>
      </c>
      <c r="F92" s="8" t="s">
        <v>239</v>
      </c>
      <c r="G92" s="9">
        <v>0.158</v>
      </c>
      <c r="H92" s="9">
        <v>6.7099999999999995E-12</v>
      </c>
      <c r="I92" s="9">
        <v>7.5699999999999997E-4</v>
      </c>
      <c r="J92" s="9">
        <v>0</v>
      </c>
      <c r="K92" s="9">
        <v>3.8700000000000006E-5</v>
      </c>
      <c r="L92" s="9">
        <v>9.0800000000000006E-2</v>
      </c>
      <c r="M92" s="9">
        <v>1.1800000000000001E-3</v>
      </c>
      <c r="N92" s="9">
        <v>2.5700000000000001E-4</v>
      </c>
      <c r="O92" s="9">
        <v>2.0800000000000001E-7</v>
      </c>
      <c r="P92" s="9">
        <v>7.54E-4</v>
      </c>
      <c r="Q92" s="9">
        <v>7.4100000000000001E-4</v>
      </c>
      <c r="R92" s="9">
        <v>0</v>
      </c>
      <c r="S92" s="9">
        <v>0</v>
      </c>
      <c r="T92" s="9">
        <v>0</v>
      </c>
      <c r="U92" s="9">
        <v>0</v>
      </c>
      <c r="V92" s="9">
        <v>0</v>
      </c>
      <c r="W92" s="9">
        <v>0</v>
      </c>
      <c r="X92" s="9">
        <v>5.4899999999999997E-2</v>
      </c>
    </row>
    <row r="93" spans="1:24" x14ac:dyDescent="0.3">
      <c r="A93" s="8">
        <v>5</v>
      </c>
      <c r="B93" s="9" t="s">
        <v>246</v>
      </c>
      <c r="C93" s="9" t="s">
        <v>236</v>
      </c>
      <c r="D93" s="9" t="s">
        <v>247</v>
      </c>
      <c r="E93" s="8">
        <v>1</v>
      </c>
      <c r="F93" s="8" t="s">
        <v>239</v>
      </c>
      <c r="G93" s="9">
        <v>0.121</v>
      </c>
      <c r="H93" s="9">
        <v>5.07E-12</v>
      </c>
      <c r="I93" s="9">
        <v>7.2800000000000002E-4</v>
      </c>
      <c r="J93" s="9">
        <v>0</v>
      </c>
      <c r="K93" s="9">
        <v>8.1899999999999999E-5</v>
      </c>
      <c r="L93" s="9">
        <v>6.8599999999999994E-2</v>
      </c>
      <c r="M93" s="9">
        <v>1.1100000000000001E-3</v>
      </c>
      <c r="N93" s="9">
        <v>3.4099999999999999E-4</v>
      </c>
      <c r="O93" s="9">
        <v>1.6699999999999997E-7</v>
      </c>
      <c r="P93" s="9">
        <v>5.6899999999999995E-4</v>
      </c>
      <c r="Q93" s="9">
        <v>5.5999999999999995E-4</v>
      </c>
      <c r="R93" s="9">
        <v>0</v>
      </c>
      <c r="S93" s="9">
        <v>0</v>
      </c>
      <c r="T93" s="9">
        <v>0</v>
      </c>
      <c r="U93" s="9">
        <v>0</v>
      </c>
      <c r="V93" s="9">
        <v>0</v>
      </c>
      <c r="W93" s="9">
        <v>0</v>
      </c>
      <c r="X93" s="9">
        <v>4.1799999999999997E-2</v>
      </c>
    </row>
    <row r="94" spans="1:24" x14ac:dyDescent="0.3">
      <c r="A94" s="8">
        <v>6</v>
      </c>
      <c r="B94" s="9" t="s">
        <v>248</v>
      </c>
      <c r="C94" s="9" t="s">
        <v>236</v>
      </c>
      <c r="D94" s="9" t="s">
        <v>249</v>
      </c>
      <c r="E94" s="8">
        <v>1</v>
      </c>
      <c r="F94" s="8" t="s">
        <v>239</v>
      </c>
      <c r="G94" s="9">
        <v>0.115</v>
      </c>
      <c r="H94" s="9">
        <v>4.8099999999999999E-12</v>
      </c>
      <c r="I94" s="9">
        <v>4.8000000000000001E-4</v>
      </c>
      <c r="J94" s="9">
        <v>0</v>
      </c>
      <c r="K94" s="9">
        <v>4.3300000000000002E-5</v>
      </c>
      <c r="L94" s="9">
        <v>6.5199999999999994E-2</v>
      </c>
      <c r="M94" s="9">
        <v>8.2100000000000001E-4</v>
      </c>
      <c r="N94" s="9">
        <v>1.65E-4</v>
      </c>
      <c r="O94" s="9">
        <v>1.5900000000000001E-7</v>
      </c>
      <c r="P94" s="9">
        <v>5.4100000000000003E-4</v>
      </c>
      <c r="Q94" s="9">
        <v>5.3200000000000003E-4</v>
      </c>
      <c r="R94" s="9">
        <v>0</v>
      </c>
      <c r="S94" s="9">
        <v>0</v>
      </c>
      <c r="T94" s="9">
        <v>0</v>
      </c>
      <c r="U94" s="9">
        <v>0</v>
      </c>
      <c r="V94" s="9">
        <v>0</v>
      </c>
      <c r="W94" s="9">
        <v>0</v>
      </c>
      <c r="X94" s="9">
        <v>3.9699999999999999E-2</v>
      </c>
    </row>
    <row r="95" spans="1:24" x14ac:dyDescent="0.3">
      <c r="A95" s="19" t="s">
        <v>250</v>
      </c>
      <c r="B95" s="17"/>
      <c r="C95" s="17"/>
      <c r="D95" s="17"/>
      <c r="E95" s="18"/>
      <c r="F95" s="18"/>
      <c r="G95" s="17"/>
      <c r="H95" s="17"/>
      <c r="I95" s="17"/>
      <c r="J95" s="17"/>
      <c r="K95" s="17"/>
      <c r="L95" s="17"/>
      <c r="M95" s="17"/>
      <c r="N95" s="17"/>
      <c r="O95" s="17"/>
      <c r="P95" s="17"/>
      <c r="Q95" s="17"/>
      <c r="R95" s="17"/>
      <c r="S95" s="17"/>
      <c r="T95" s="17"/>
      <c r="U95" s="17"/>
      <c r="V95" s="17"/>
      <c r="W95" s="17"/>
      <c r="X95" s="17"/>
    </row>
    <row r="96" spans="1:24" x14ac:dyDescent="0.3">
      <c r="A96" s="8">
        <v>1</v>
      </c>
      <c r="B96" s="9" t="s">
        <v>251</v>
      </c>
      <c r="C96" s="9" t="s">
        <v>251</v>
      </c>
      <c r="D96" s="9" t="s">
        <v>251</v>
      </c>
      <c r="E96" s="8">
        <v>1</v>
      </c>
      <c r="F96" s="8" t="s">
        <v>61</v>
      </c>
      <c r="G96" s="9">
        <v>0</v>
      </c>
      <c r="H96" s="9">
        <v>0</v>
      </c>
      <c r="I96" s="9">
        <v>0</v>
      </c>
      <c r="J96" s="9">
        <v>0</v>
      </c>
      <c r="K96" s="9">
        <v>0</v>
      </c>
      <c r="L96" s="9">
        <v>0</v>
      </c>
      <c r="M96" s="9">
        <v>0</v>
      </c>
      <c r="N96" s="9">
        <v>0</v>
      </c>
      <c r="O96" s="9">
        <v>0</v>
      </c>
      <c r="P96" s="9">
        <v>0</v>
      </c>
      <c r="Q96" s="9">
        <v>0</v>
      </c>
      <c r="R96" s="9">
        <v>0</v>
      </c>
      <c r="S96" s="9">
        <v>0</v>
      </c>
      <c r="T96" s="9">
        <v>0</v>
      </c>
      <c r="U96" s="9">
        <v>0</v>
      </c>
      <c r="V96" s="9">
        <v>0</v>
      </c>
      <c r="W96" s="9">
        <v>0</v>
      </c>
      <c r="X96" s="9">
        <v>0</v>
      </c>
    </row>
    <row r="97" spans="1:24" x14ac:dyDescent="0.3">
      <c r="A97" s="8">
        <v>2</v>
      </c>
      <c r="B97" s="9" t="s">
        <v>252</v>
      </c>
      <c r="C97" s="9" t="s">
        <v>253</v>
      </c>
      <c r="D97" s="9" t="s">
        <v>252</v>
      </c>
      <c r="E97" s="8">
        <v>1</v>
      </c>
      <c r="F97" s="8" t="s">
        <v>61</v>
      </c>
      <c r="G97" s="9">
        <v>0</v>
      </c>
      <c r="H97" s="9">
        <v>0</v>
      </c>
      <c r="I97" s="9">
        <v>0</v>
      </c>
      <c r="J97" s="9">
        <v>0</v>
      </c>
      <c r="K97" s="9">
        <v>0</v>
      </c>
      <c r="L97" s="9">
        <v>0</v>
      </c>
      <c r="M97" s="9">
        <v>0</v>
      </c>
      <c r="N97" s="9">
        <v>0</v>
      </c>
      <c r="O97" s="9">
        <v>0</v>
      </c>
      <c r="P97" s="9">
        <v>0</v>
      </c>
      <c r="Q97" s="9">
        <v>0</v>
      </c>
      <c r="R97" s="9">
        <v>0</v>
      </c>
      <c r="S97" s="9">
        <v>0</v>
      </c>
      <c r="T97" s="9">
        <v>0</v>
      </c>
      <c r="U97" s="9">
        <v>0</v>
      </c>
      <c r="V97" s="9">
        <v>0</v>
      </c>
      <c r="W97" s="9">
        <v>0</v>
      </c>
      <c r="X97" s="9">
        <v>0</v>
      </c>
    </row>
    <row r="98" spans="1:24" x14ac:dyDescent="0.3">
      <c r="A98" s="8">
        <v>3</v>
      </c>
      <c r="B98" s="9" t="s">
        <v>254</v>
      </c>
      <c r="C98" s="9" t="s">
        <v>253</v>
      </c>
      <c r="D98" s="9" t="s">
        <v>254</v>
      </c>
      <c r="E98" s="8">
        <v>1</v>
      </c>
      <c r="F98" s="8" t="s">
        <v>61</v>
      </c>
      <c r="G98" s="9">
        <v>1</v>
      </c>
      <c r="H98" s="9">
        <v>0</v>
      </c>
      <c r="I98" s="9">
        <v>0</v>
      </c>
      <c r="J98" s="9">
        <v>0</v>
      </c>
      <c r="K98" s="9">
        <v>0</v>
      </c>
      <c r="L98" s="9">
        <v>0</v>
      </c>
      <c r="M98" s="9">
        <v>0</v>
      </c>
      <c r="N98" s="9">
        <v>0</v>
      </c>
      <c r="O98" s="9">
        <v>0</v>
      </c>
      <c r="P98" s="9">
        <v>0</v>
      </c>
      <c r="Q98" s="9">
        <v>0</v>
      </c>
      <c r="R98" s="9">
        <v>0</v>
      </c>
      <c r="S98" s="9">
        <v>0</v>
      </c>
      <c r="T98" s="9">
        <v>0</v>
      </c>
      <c r="U98" s="9">
        <v>0</v>
      </c>
      <c r="V98" s="9">
        <v>0</v>
      </c>
      <c r="W98" s="9">
        <v>0</v>
      </c>
      <c r="X98" s="9">
        <v>0</v>
      </c>
    </row>
    <row r="99" spans="1:24" x14ac:dyDescent="0.3">
      <c r="A99" s="8">
        <v>4</v>
      </c>
      <c r="B99" s="9" t="s">
        <v>255</v>
      </c>
      <c r="C99" s="9" t="s">
        <v>253</v>
      </c>
      <c r="D99" s="9" t="s">
        <v>255</v>
      </c>
      <c r="E99" s="8">
        <v>1</v>
      </c>
      <c r="F99" s="8" t="s">
        <v>61</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row>
    <row r="100" spans="1:24" x14ac:dyDescent="0.3">
      <c r="A100" s="8">
        <v>5</v>
      </c>
      <c r="B100" s="9" t="s">
        <v>256</v>
      </c>
      <c r="C100" s="9" t="s">
        <v>253</v>
      </c>
      <c r="D100" s="9" t="s">
        <v>256</v>
      </c>
      <c r="E100" s="8">
        <v>1</v>
      </c>
      <c r="F100" s="8" t="s">
        <v>61</v>
      </c>
      <c r="G100" s="9">
        <v>0</v>
      </c>
      <c r="H100" s="9">
        <v>0</v>
      </c>
      <c r="I100" s="9">
        <v>0.36</v>
      </c>
      <c r="J100" s="9">
        <v>0</v>
      </c>
      <c r="K100" s="9">
        <v>0</v>
      </c>
      <c r="L100" s="9">
        <v>0</v>
      </c>
      <c r="M100" s="9">
        <v>0.18</v>
      </c>
      <c r="N100" s="9">
        <v>0.11</v>
      </c>
      <c r="O100" s="9">
        <v>0</v>
      </c>
      <c r="P100" s="9">
        <v>0</v>
      </c>
      <c r="Q100" s="9">
        <v>0</v>
      </c>
      <c r="R100" s="9">
        <v>0</v>
      </c>
      <c r="S100" s="9">
        <v>0</v>
      </c>
      <c r="T100" s="9">
        <v>0</v>
      </c>
      <c r="U100" s="9">
        <v>0</v>
      </c>
      <c r="V100" s="9">
        <v>0</v>
      </c>
      <c r="W100" s="9">
        <v>0</v>
      </c>
      <c r="X100" s="9">
        <v>0</v>
      </c>
    </row>
    <row r="101" spans="1:24" x14ac:dyDescent="0.3">
      <c r="A101" s="8">
        <v>6</v>
      </c>
      <c r="B101" s="9" t="s">
        <v>257</v>
      </c>
      <c r="C101" s="9" t="s">
        <v>253</v>
      </c>
      <c r="D101" s="9" t="s">
        <v>257</v>
      </c>
      <c r="E101" s="8">
        <v>1</v>
      </c>
      <c r="F101" s="8" t="s">
        <v>61</v>
      </c>
      <c r="G101" s="9">
        <v>0</v>
      </c>
      <c r="H101" s="9">
        <v>0</v>
      </c>
      <c r="I101" s="9">
        <v>0</v>
      </c>
      <c r="J101" s="9">
        <v>0</v>
      </c>
      <c r="K101" s="9">
        <v>1.42</v>
      </c>
      <c r="L101" s="9">
        <v>0</v>
      </c>
      <c r="M101" s="9">
        <v>0</v>
      </c>
      <c r="N101" s="9">
        <v>0</v>
      </c>
      <c r="O101" s="9">
        <v>0</v>
      </c>
      <c r="P101" s="9">
        <v>0</v>
      </c>
      <c r="Q101" s="9">
        <v>0</v>
      </c>
      <c r="R101" s="9">
        <v>0</v>
      </c>
      <c r="S101" s="9">
        <v>0</v>
      </c>
      <c r="T101" s="9">
        <v>0</v>
      </c>
      <c r="U101" s="9">
        <v>0</v>
      </c>
      <c r="V101" s="9">
        <v>0</v>
      </c>
      <c r="W101" s="9">
        <v>0</v>
      </c>
      <c r="X101" s="9">
        <v>0</v>
      </c>
    </row>
    <row r="102" spans="1:24" x14ac:dyDescent="0.3">
      <c r="A102" s="8">
        <v>7</v>
      </c>
      <c r="B102" s="9" t="s">
        <v>258</v>
      </c>
      <c r="C102" s="9" t="s">
        <v>253</v>
      </c>
      <c r="D102" s="9" t="s">
        <v>258</v>
      </c>
      <c r="E102" s="8">
        <v>1</v>
      </c>
      <c r="F102" s="8" t="s">
        <v>61</v>
      </c>
      <c r="G102" s="9">
        <v>0</v>
      </c>
      <c r="H102" s="9">
        <v>0</v>
      </c>
      <c r="I102" s="9">
        <v>1</v>
      </c>
      <c r="J102" s="9">
        <v>0</v>
      </c>
      <c r="K102" s="9">
        <v>0</v>
      </c>
      <c r="L102" s="9">
        <v>0</v>
      </c>
      <c r="M102" s="9">
        <v>0</v>
      </c>
      <c r="N102" s="9">
        <v>0.28999999999999998</v>
      </c>
      <c r="O102" s="9">
        <v>0</v>
      </c>
      <c r="P102" s="9">
        <v>0</v>
      </c>
      <c r="Q102" s="9">
        <v>0</v>
      </c>
      <c r="R102" s="9">
        <v>0</v>
      </c>
      <c r="S102" s="9">
        <v>0</v>
      </c>
      <c r="T102" s="9">
        <v>0</v>
      </c>
      <c r="U102" s="9">
        <v>0</v>
      </c>
      <c r="V102" s="9">
        <v>0</v>
      </c>
      <c r="W102" s="9">
        <v>0</v>
      </c>
      <c r="X102" s="9">
        <v>0</v>
      </c>
    </row>
    <row r="103" spans="1:24" x14ac:dyDescent="0.3">
      <c r="A103" s="8">
        <v>8</v>
      </c>
      <c r="B103" s="9" t="s">
        <v>259</v>
      </c>
      <c r="C103" s="9" t="s">
        <v>253</v>
      </c>
      <c r="D103" s="9" t="s">
        <v>259</v>
      </c>
      <c r="E103" s="8">
        <v>1</v>
      </c>
      <c r="F103" s="8" t="s">
        <v>61</v>
      </c>
      <c r="G103" s="9">
        <v>0</v>
      </c>
      <c r="H103" s="9">
        <v>0</v>
      </c>
      <c r="I103" s="9">
        <v>0.55200000000000005</v>
      </c>
      <c r="J103" s="9">
        <v>0</v>
      </c>
      <c r="K103" s="9">
        <v>0</v>
      </c>
      <c r="L103" s="9">
        <v>0</v>
      </c>
      <c r="M103" s="9">
        <v>1.53</v>
      </c>
      <c r="N103" s="9">
        <v>0.17</v>
      </c>
      <c r="O103" s="9">
        <v>0</v>
      </c>
      <c r="P103" s="9">
        <v>0</v>
      </c>
      <c r="Q103" s="9">
        <v>0</v>
      </c>
      <c r="R103" s="9">
        <v>0</v>
      </c>
      <c r="S103" s="9">
        <v>0</v>
      </c>
      <c r="T103" s="9">
        <v>0</v>
      </c>
      <c r="U103" s="9">
        <v>0</v>
      </c>
      <c r="V103" s="9">
        <v>0</v>
      </c>
      <c r="W103" s="9">
        <v>0</v>
      </c>
      <c r="X103" s="9">
        <v>0</v>
      </c>
    </row>
    <row r="104" spans="1:24" x14ac:dyDescent="0.3">
      <c r="A104" s="8">
        <v>9</v>
      </c>
      <c r="B104" s="9" t="s">
        <v>260</v>
      </c>
      <c r="C104" s="9" t="s">
        <v>253</v>
      </c>
      <c r="D104" s="9" t="s">
        <v>260</v>
      </c>
      <c r="E104" s="8">
        <v>1</v>
      </c>
      <c r="F104" s="8" t="s">
        <v>61</v>
      </c>
      <c r="G104" s="9">
        <v>34</v>
      </c>
      <c r="H104" s="9">
        <v>0</v>
      </c>
      <c r="I104" s="9">
        <v>0</v>
      </c>
      <c r="J104" s="9">
        <v>0</v>
      </c>
      <c r="K104" s="9">
        <v>0</v>
      </c>
      <c r="L104" s="9">
        <v>0</v>
      </c>
      <c r="M104" s="9">
        <v>0</v>
      </c>
      <c r="N104" s="9">
        <v>0</v>
      </c>
      <c r="O104" s="9">
        <v>0</v>
      </c>
      <c r="P104" s="9">
        <v>0</v>
      </c>
      <c r="Q104" s="9">
        <v>0</v>
      </c>
      <c r="R104" s="9">
        <v>0</v>
      </c>
      <c r="S104" s="9">
        <v>0</v>
      </c>
      <c r="T104" s="9">
        <v>0</v>
      </c>
      <c r="U104" s="9">
        <v>0</v>
      </c>
      <c r="V104" s="9">
        <v>0</v>
      </c>
      <c r="W104" s="9">
        <v>0</v>
      </c>
      <c r="X104" s="9">
        <v>0</v>
      </c>
    </row>
    <row r="105" spans="1:24" x14ac:dyDescent="0.3">
      <c r="A105" s="8">
        <v>10</v>
      </c>
      <c r="B105" s="9" t="s">
        <v>261</v>
      </c>
      <c r="C105" s="9" t="s">
        <v>262</v>
      </c>
      <c r="D105" s="9" t="s">
        <v>261</v>
      </c>
      <c r="E105" s="8">
        <v>1</v>
      </c>
      <c r="F105" s="8" t="s">
        <v>61</v>
      </c>
      <c r="G105" s="9">
        <v>0</v>
      </c>
      <c r="H105" s="9">
        <v>0</v>
      </c>
      <c r="I105" s="9">
        <v>0</v>
      </c>
      <c r="J105" s="9">
        <v>0</v>
      </c>
      <c r="K105" s="9">
        <v>0</v>
      </c>
      <c r="L105" s="9">
        <v>0</v>
      </c>
      <c r="M105" s="9">
        <v>0</v>
      </c>
      <c r="N105" s="9">
        <v>0</v>
      </c>
      <c r="O105" s="9">
        <v>0</v>
      </c>
      <c r="P105" s="9">
        <v>0</v>
      </c>
      <c r="Q105" s="9">
        <v>0</v>
      </c>
      <c r="R105" s="9">
        <v>0</v>
      </c>
      <c r="S105" s="9">
        <v>0</v>
      </c>
      <c r="T105" s="9">
        <v>0</v>
      </c>
      <c r="U105" s="9">
        <v>0</v>
      </c>
      <c r="V105" s="9">
        <v>0</v>
      </c>
      <c r="W105" s="9">
        <v>0</v>
      </c>
      <c r="X105" s="9">
        <v>0</v>
      </c>
    </row>
    <row r="106" spans="1:24" x14ac:dyDescent="0.3">
      <c r="A106" s="8">
        <v>11</v>
      </c>
      <c r="B106" s="9" t="s">
        <v>263</v>
      </c>
      <c r="C106" s="9" t="s">
        <v>262</v>
      </c>
      <c r="D106" s="9" t="s">
        <v>263</v>
      </c>
      <c r="E106" s="8">
        <v>1</v>
      </c>
      <c r="F106" s="8" t="s">
        <v>61</v>
      </c>
      <c r="G106" s="9">
        <v>0</v>
      </c>
      <c r="H106" s="9">
        <v>0</v>
      </c>
      <c r="I106" s="9">
        <v>0</v>
      </c>
      <c r="J106" s="9">
        <v>0</v>
      </c>
      <c r="K106" s="9">
        <v>0</v>
      </c>
      <c r="L106" s="9">
        <v>0</v>
      </c>
      <c r="M106" s="9">
        <v>0</v>
      </c>
      <c r="N106" s="9">
        <v>0</v>
      </c>
      <c r="O106" s="9">
        <v>0</v>
      </c>
      <c r="P106" s="9">
        <v>0</v>
      </c>
      <c r="Q106" s="9">
        <v>0</v>
      </c>
      <c r="R106" s="9">
        <v>0</v>
      </c>
      <c r="S106" s="9">
        <v>0</v>
      </c>
      <c r="T106" s="9">
        <v>0</v>
      </c>
      <c r="U106" s="9">
        <v>0</v>
      </c>
      <c r="V106" s="9">
        <v>0</v>
      </c>
      <c r="W106" s="9">
        <v>0</v>
      </c>
      <c r="X106" s="9">
        <v>0</v>
      </c>
    </row>
    <row r="107" spans="1:24" x14ac:dyDescent="0.3">
      <c r="A107" s="8">
        <v>12</v>
      </c>
      <c r="B107" s="9" t="s">
        <v>264</v>
      </c>
      <c r="C107" s="9" t="s">
        <v>262</v>
      </c>
      <c r="D107" s="9" t="s">
        <v>264</v>
      </c>
      <c r="E107" s="8">
        <v>1</v>
      </c>
      <c r="F107" s="8" t="s">
        <v>61</v>
      </c>
      <c r="G107" s="9">
        <v>0</v>
      </c>
      <c r="H107" s="9">
        <v>0</v>
      </c>
      <c r="I107" s="9">
        <v>0</v>
      </c>
      <c r="J107" s="9">
        <v>0</v>
      </c>
      <c r="K107" s="9">
        <f>0.3+0.13+1</f>
        <v>1.43</v>
      </c>
      <c r="L107" s="9">
        <v>0</v>
      </c>
      <c r="M107" s="9">
        <v>0</v>
      </c>
      <c r="N107" s="9">
        <v>0</v>
      </c>
      <c r="O107" s="9">
        <v>0</v>
      </c>
      <c r="P107" s="9">
        <v>0</v>
      </c>
      <c r="Q107" s="9">
        <v>0</v>
      </c>
      <c r="R107" s="9">
        <v>0</v>
      </c>
      <c r="S107" s="9">
        <v>0</v>
      </c>
      <c r="T107" s="9">
        <v>0</v>
      </c>
      <c r="U107" s="9">
        <v>0</v>
      </c>
      <c r="V107" s="9">
        <v>0</v>
      </c>
      <c r="W107" s="9">
        <v>0</v>
      </c>
      <c r="X107" s="9">
        <v>0</v>
      </c>
    </row>
    <row r="108" spans="1:24" x14ac:dyDescent="0.3">
      <c r="A108" s="8">
        <v>13</v>
      </c>
      <c r="B108" s="9" t="s">
        <v>265</v>
      </c>
      <c r="C108" s="9" t="s">
        <v>262</v>
      </c>
      <c r="D108" s="9" t="s">
        <v>265</v>
      </c>
      <c r="E108" s="8">
        <v>1</v>
      </c>
      <c r="F108" s="8" t="s">
        <v>61</v>
      </c>
      <c r="G108" s="9">
        <v>0</v>
      </c>
      <c r="H108" s="9">
        <v>0</v>
      </c>
      <c r="I108" s="9">
        <v>0</v>
      </c>
      <c r="J108" s="9">
        <f>1+0.1+0</f>
        <v>1.1000000000000001</v>
      </c>
      <c r="K108" s="9">
        <v>0</v>
      </c>
      <c r="L108" s="9">
        <v>0</v>
      </c>
      <c r="M108" s="9">
        <v>0</v>
      </c>
      <c r="N108" s="9">
        <v>0</v>
      </c>
      <c r="O108" s="9">
        <v>0</v>
      </c>
      <c r="P108" s="9">
        <v>0</v>
      </c>
      <c r="Q108" s="9">
        <v>0</v>
      </c>
      <c r="R108" s="9">
        <v>0</v>
      </c>
      <c r="S108" s="9">
        <v>0</v>
      </c>
      <c r="T108" s="9">
        <v>0</v>
      </c>
      <c r="U108" s="9">
        <v>0</v>
      </c>
      <c r="V108" s="9">
        <v>0</v>
      </c>
      <c r="W108" s="9">
        <v>0</v>
      </c>
      <c r="X108" s="9">
        <v>0</v>
      </c>
    </row>
    <row r="109" spans="1:24" x14ac:dyDescent="0.3">
      <c r="A109" s="8">
        <v>14</v>
      </c>
      <c r="B109" s="9" t="s">
        <v>288</v>
      </c>
      <c r="C109" s="9" t="s">
        <v>262</v>
      </c>
      <c r="D109" s="9" t="s">
        <v>289</v>
      </c>
      <c r="E109" s="8">
        <v>1</v>
      </c>
      <c r="F109" s="8" t="s">
        <v>75</v>
      </c>
      <c r="G109" s="9">
        <v>0.54700000000000004</v>
      </c>
      <c r="H109" s="9">
        <f>3.48*10^-8</f>
        <v>3.4800000000000001E-8</v>
      </c>
      <c r="I109" s="9">
        <v>4.64E-3</v>
      </c>
      <c r="J109" s="9">
        <v>1.1000000000000001E-3</v>
      </c>
      <c r="K109" s="9">
        <v>2.0199999999999999E-2</v>
      </c>
      <c r="L109" s="9">
        <v>0.27900000000000003</v>
      </c>
      <c r="M109" s="9">
        <v>2.5400000000000002E-3</v>
      </c>
      <c r="N109" s="9">
        <v>2.0999999999999999E-3</v>
      </c>
      <c r="O109" s="9">
        <v>3.1700000000000001E-4</v>
      </c>
      <c r="P109" s="9">
        <v>2.4400000000000002E-2</v>
      </c>
      <c r="Q109" s="9">
        <v>2.23E-2</v>
      </c>
      <c r="R109" s="9">
        <v>3.39E-2</v>
      </c>
      <c r="S109" s="9">
        <v>1.2800000000000001E-2</v>
      </c>
      <c r="T109" s="9">
        <v>3.3000000000000002E-2</v>
      </c>
      <c r="U109" s="9">
        <v>2.5399999999999999E-4</v>
      </c>
      <c r="V109" s="9">
        <v>-0.89</v>
      </c>
      <c r="W109" s="9">
        <v>0.13600000000000001</v>
      </c>
      <c r="X109" s="9">
        <v>0.127</v>
      </c>
    </row>
    <row r="110" spans="1:24" x14ac:dyDescent="0.3">
      <c r="A110" s="8">
        <v>15</v>
      </c>
      <c r="B110" s="9" t="s">
        <v>266</v>
      </c>
      <c r="C110" s="9" t="s">
        <v>267</v>
      </c>
      <c r="D110" s="9"/>
      <c r="E110" s="8">
        <v>1</v>
      </c>
      <c r="F110" s="8" t="s">
        <v>61</v>
      </c>
      <c r="G110" s="9">
        <v>0</v>
      </c>
      <c r="H110" s="9">
        <v>0</v>
      </c>
      <c r="I110" s="9">
        <v>0</v>
      </c>
      <c r="J110" s="9">
        <v>0</v>
      </c>
      <c r="K110" s="9">
        <v>0</v>
      </c>
      <c r="L110" s="9">
        <v>0</v>
      </c>
      <c r="M110" s="9">
        <v>0</v>
      </c>
      <c r="N110" s="9">
        <v>0</v>
      </c>
      <c r="O110" s="9">
        <v>0</v>
      </c>
      <c r="P110" s="9">
        <v>0</v>
      </c>
      <c r="Q110" s="9">
        <v>0</v>
      </c>
      <c r="R110" s="9">
        <v>0</v>
      </c>
      <c r="S110" s="9">
        <v>0</v>
      </c>
      <c r="T110" s="9">
        <v>0</v>
      </c>
      <c r="U110" s="9">
        <v>0</v>
      </c>
      <c r="V110" s="9">
        <v>0</v>
      </c>
      <c r="W110" s="9">
        <v>0</v>
      </c>
      <c r="X110" s="9">
        <v>0</v>
      </c>
    </row>
    <row r="111" spans="1:24" x14ac:dyDescent="0.3">
      <c r="A111" s="20" t="s">
        <v>269</v>
      </c>
      <c r="B111" s="17"/>
      <c r="C111" s="17"/>
      <c r="D111" s="17"/>
      <c r="E111" s="18"/>
      <c r="F111" s="18"/>
      <c r="G111" s="17"/>
      <c r="H111" s="17"/>
      <c r="I111" s="17"/>
      <c r="J111" s="17"/>
      <c r="K111" s="17"/>
      <c r="L111" s="17"/>
      <c r="M111" s="17"/>
      <c r="N111" s="17"/>
      <c r="O111" s="17"/>
      <c r="P111" s="17"/>
      <c r="Q111" s="17"/>
      <c r="R111" s="17"/>
      <c r="S111" s="17"/>
      <c r="T111" s="17"/>
      <c r="U111" s="17"/>
      <c r="V111" s="17"/>
      <c r="W111" s="17"/>
      <c r="X111" s="17"/>
    </row>
    <row r="112" spans="1:24" x14ac:dyDescent="0.3">
      <c r="A112" s="8">
        <v>1</v>
      </c>
      <c r="B112" s="9" t="s">
        <v>83</v>
      </c>
      <c r="C112" s="9" t="s">
        <v>83</v>
      </c>
      <c r="D112" s="9" t="s">
        <v>271</v>
      </c>
      <c r="E112" s="8">
        <v>1</v>
      </c>
      <c r="F112" s="8" t="s">
        <v>61</v>
      </c>
      <c r="G112" s="9">
        <v>-21.5</v>
      </c>
      <c r="H112" s="9">
        <f>-5.71*10^-7</f>
        <v>-5.7100000000000002E-7</v>
      </c>
      <c r="I112" s="9">
        <v>-0.11</v>
      </c>
      <c r="J112" s="9">
        <v>-6.7200000000000003E-3</v>
      </c>
      <c r="K112" s="9">
        <v>-3.8899999999999998E-3</v>
      </c>
      <c r="L112" s="9">
        <v>-6.83</v>
      </c>
      <c r="M112" s="9">
        <v>-7.22E-2</v>
      </c>
      <c r="N112" s="9">
        <v>-5.2400000000000002E-2</v>
      </c>
      <c r="O112" s="9">
        <v>-5.9100000000000005E-4</v>
      </c>
      <c r="P112" s="9">
        <v>-0.28499999999999998</v>
      </c>
      <c r="Q112" s="9">
        <v>-0.27300000000000002</v>
      </c>
      <c r="R112" s="9">
        <v>-0.27600000000000002</v>
      </c>
      <c r="S112" s="9">
        <v>-0.27700000000000002</v>
      </c>
      <c r="T112" s="9">
        <v>-0.2</v>
      </c>
      <c r="U112" s="9">
        <v>-1.6199999999999999E-3</v>
      </c>
      <c r="V112" s="9">
        <v>-2.4199999999999999E-2</v>
      </c>
      <c r="W112" s="9">
        <v>-0.29899999999999999</v>
      </c>
      <c r="X112" s="9">
        <v>-4.79</v>
      </c>
    </row>
    <row r="113" spans="1:24" x14ac:dyDescent="0.3">
      <c r="A113" s="8">
        <v>2</v>
      </c>
      <c r="B113" s="9" t="s">
        <v>85</v>
      </c>
      <c r="C113" s="9" t="s">
        <v>85</v>
      </c>
      <c r="D113" s="9" t="s">
        <v>287</v>
      </c>
      <c r="E113" s="8">
        <v>1</v>
      </c>
      <c r="F113" s="8" t="s">
        <v>61</v>
      </c>
      <c r="G113" s="9">
        <v>-3.4200000000000001E-2</v>
      </c>
      <c r="H113" s="9">
        <f>-5.28*10^-9</f>
        <v>-5.2800000000000008E-9</v>
      </c>
      <c r="I113" s="9">
        <v>-2.05E-4</v>
      </c>
      <c r="J113" s="9">
        <f>-3.39*10^-6</f>
        <v>-3.3900000000000002E-6</v>
      </c>
      <c r="K113" s="9">
        <f>-1.1*10^-5</f>
        <v>-1.1000000000000001E-5</v>
      </c>
      <c r="L113" s="9">
        <v>-8.8599999999999998E-3</v>
      </c>
      <c r="M113" s="9">
        <v>-2.7599999999999999E-4</v>
      </c>
      <c r="N113" s="9">
        <v>-1E-4</v>
      </c>
      <c r="O113" s="9">
        <f>-1.34*10^-5</f>
        <v>-1.3400000000000002E-5</v>
      </c>
      <c r="P113" s="9">
        <f>-0.000292</f>
        <v>-2.92E-4</v>
      </c>
      <c r="Q113" s="9">
        <v>-3.4900000000000003E-4</v>
      </c>
      <c r="R113" s="9">
        <v>-2.3900000000000002E-3</v>
      </c>
      <c r="S113" s="9">
        <v>-6.02E-4</v>
      </c>
      <c r="T113" s="9">
        <v>-2.2100000000000002E-3</v>
      </c>
      <c r="U113" s="9">
        <f>-1.63*10^-5</f>
        <v>-1.63E-5</v>
      </c>
      <c r="V113" s="9">
        <f>-5.98*10^-5</f>
        <v>-5.980000000000001E-5</v>
      </c>
      <c r="W113" s="9">
        <v>-1.89E-3</v>
      </c>
      <c r="X113" s="9">
        <v>-1.17E-2</v>
      </c>
    </row>
    <row r="114" spans="1:24" x14ac:dyDescent="0.3">
      <c r="A114" s="8">
        <v>3</v>
      </c>
      <c r="B114" s="9" t="s">
        <v>104</v>
      </c>
      <c r="C114" s="9" t="s">
        <v>104</v>
      </c>
      <c r="D114" s="9" t="s">
        <v>290</v>
      </c>
      <c r="E114" s="8">
        <v>1</v>
      </c>
      <c r="F114" s="8" t="s">
        <v>61</v>
      </c>
      <c r="G114" s="9">
        <v>-2</v>
      </c>
      <c r="H114" s="9">
        <v>0</v>
      </c>
      <c r="I114" s="9">
        <v>-3.2599999999999999E-3</v>
      </c>
      <c r="J114" s="9">
        <v>0</v>
      </c>
      <c r="K114" s="9">
        <v>1.7599999999999999E-7</v>
      </c>
      <c r="L114" s="9">
        <v>0</v>
      </c>
      <c r="M114" s="9">
        <v>-1.5399999999999999E-3</v>
      </c>
      <c r="N114" s="9">
        <v>-6.2299999999999996E-4</v>
      </c>
      <c r="O114" s="9">
        <v>0</v>
      </c>
      <c r="P114" s="9">
        <v>0</v>
      </c>
      <c r="Q114" s="9">
        <v>0</v>
      </c>
      <c r="R114" s="9">
        <v>0</v>
      </c>
      <c r="S114" s="9">
        <v>0</v>
      </c>
      <c r="T114" s="9">
        <v>0</v>
      </c>
      <c r="U114" s="9">
        <v>0</v>
      </c>
      <c r="V114" s="9">
        <v>0</v>
      </c>
      <c r="W114" s="9">
        <v>-15.8</v>
      </c>
      <c r="X114" s="9">
        <v>-0.46700000000000003</v>
      </c>
    </row>
    <row r="115" spans="1:24" x14ac:dyDescent="0.3">
      <c r="A115" s="8">
        <v>4</v>
      </c>
      <c r="B115" s="9" t="s">
        <v>193</v>
      </c>
      <c r="C115" s="9" t="s">
        <v>193</v>
      </c>
      <c r="D115" s="9"/>
      <c r="E115" s="8">
        <v>1</v>
      </c>
      <c r="F115" s="8" t="s">
        <v>61</v>
      </c>
      <c r="G115" s="9">
        <f>-G65</f>
        <v>-1.35</v>
      </c>
      <c r="H115" s="9">
        <f t="shared" ref="H115:X115" si="2">-H65</f>
        <v>-5.9500000000000002E-7</v>
      </c>
      <c r="I115" s="9">
        <f t="shared" si="2"/>
        <v>-7.7099999999999998E-3</v>
      </c>
      <c r="J115" s="9">
        <f t="shared" si="2"/>
        <v>-3.4499999999999998E-4</v>
      </c>
      <c r="K115" s="9">
        <f t="shared" si="2"/>
        <v>-2.43E-4</v>
      </c>
      <c r="L115" s="9">
        <f t="shared" si="2"/>
        <v>-0.43</v>
      </c>
      <c r="M115" s="9">
        <f t="shared" si="2"/>
        <v>-2.7199999999999998E-2</v>
      </c>
      <c r="N115" s="9">
        <f t="shared" si="2"/>
        <v>-3.14E-3</v>
      </c>
      <c r="O115" s="9">
        <f t="shared" si="2"/>
        <v>-1.7000000000000001E-4</v>
      </c>
      <c r="P115" s="9">
        <f t="shared" si="2"/>
        <v>-3.6499999999999998E-2</v>
      </c>
      <c r="Q115" s="9">
        <f t="shared" si="2"/>
        <v>-3.27E-2</v>
      </c>
      <c r="R115" s="9">
        <f t="shared" si="2"/>
        <v>-0.26100000000000001</v>
      </c>
      <c r="S115" s="9">
        <f t="shared" si="2"/>
        <v>-4.36E-2</v>
      </c>
      <c r="T115" s="9">
        <f t="shared" si="2"/>
        <v>-1.6299999999999999E-2</v>
      </c>
      <c r="U115" s="9">
        <f t="shared" si="2"/>
        <v>-1.2700000000000001E-3</v>
      </c>
      <c r="V115" s="9">
        <f t="shared" si="2"/>
        <v>-1.0200000000000001E-2</v>
      </c>
      <c r="W115" s="9">
        <f t="shared" si="2"/>
        <v>-9.8400000000000001E-2</v>
      </c>
      <c r="X115" s="9">
        <f t="shared" si="2"/>
        <v>-1.45</v>
      </c>
    </row>
    <row r="116" spans="1:24" x14ac:dyDescent="0.3">
      <c r="A116" s="8">
        <v>5</v>
      </c>
      <c r="B116" s="9" t="s">
        <v>196</v>
      </c>
      <c r="C116" s="9" t="s">
        <v>195</v>
      </c>
      <c r="D116" s="9"/>
      <c r="E116" s="8">
        <v>1</v>
      </c>
      <c r="F116" s="8" t="s">
        <v>61</v>
      </c>
      <c r="G116" s="9">
        <f>-G66</f>
        <v>-2106</v>
      </c>
      <c r="H116" s="9">
        <f t="shared" ref="H116:X125" si="3">-H66</f>
        <v>-4.4999999999999998E-2</v>
      </c>
      <c r="I116" s="9">
        <f t="shared" si="3"/>
        <v>0</v>
      </c>
      <c r="J116" s="9">
        <f t="shared" si="3"/>
        <v>0</v>
      </c>
      <c r="K116" s="9">
        <f t="shared" si="3"/>
        <v>0</v>
      </c>
      <c r="L116" s="9">
        <f t="shared" si="3"/>
        <v>0</v>
      </c>
      <c r="M116" s="9">
        <f t="shared" si="3"/>
        <v>0</v>
      </c>
      <c r="N116" s="9">
        <f t="shared" si="3"/>
        <v>0</v>
      </c>
      <c r="O116" s="9">
        <f t="shared" si="3"/>
        <v>0</v>
      </c>
      <c r="P116" s="9">
        <f t="shared" si="3"/>
        <v>0</v>
      </c>
      <c r="Q116" s="9">
        <f t="shared" si="3"/>
        <v>0</v>
      </c>
      <c r="R116" s="9">
        <f t="shared" si="3"/>
        <v>0</v>
      </c>
      <c r="S116" s="9">
        <f t="shared" si="3"/>
        <v>0</v>
      </c>
      <c r="T116" s="9">
        <f t="shared" si="3"/>
        <v>0</v>
      </c>
      <c r="U116" s="9">
        <f t="shared" si="3"/>
        <v>0</v>
      </c>
      <c r="V116" s="9">
        <f t="shared" si="3"/>
        <v>0</v>
      </c>
      <c r="W116" s="9">
        <f t="shared" si="3"/>
        <v>0</v>
      </c>
      <c r="X116" s="9">
        <f t="shared" si="3"/>
        <v>0</v>
      </c>
    </row>
    <row r="117" spans="1:24" x14ac:dyDescent="0.3">
      <c r="A117" s="8"/>
      <c r="B117" s="9"/>
      <c r="C117" s="9" t="s">
        <v>198</v>
      </c>
      <c r="D117" s="9"/>
      <c r="E117" s="8">
        <v>1</v>
      </c>
      <c r="F117" s="8" t="s">
        <v>61</v>
      </c>
      <c r="G117" s="9">
        <f t="shared" ref="G117:V125" si="4">-G67</f>
        <v>-96</v>
      </c>
      <c r="H117" s="9">
        <f t="shared" si="4"/>
        <v>-1.0999999999999999E-2</v>
      </c>
      <c r="I117" s="9">
        <f t="shared" si="4"/>
        <v>0</v>
      </c>
      <c r="J117" s="9">
        <f t="shared" si="4"/>
        <v>0</v>
      </c>
      <c r="K117" s="9">
        <f t="shared" si="4"/>
        <v>0</v>
      </c>
      <c r="L117" s="9">
        <f t="shared" si="4"/>
        <v>0</v>
      </c>
      <c r="M117" s="9">
        <f t="shared" si="4"/>
        <v>0</v>
      </c>
      <c r="N117" s="9">
        <f t="shared" si="4"/>
        <v>0</v>
      </c>
      <c r="O117" s="9">
        <f t="shared" si="4"/>
        <v>0</v>
      </c>
      <c r="P117" s="9">
        <f t="shared" si="4"/>
        <v>0</v>
      </c>
      <c r="Q117" s="9">
        <f t="shared" si="4"/>
        <v>0</v>
      </c>
      <c r="R117" s="9">
        <f t="shared" si="4"/>
        <v>0</v>
      </c>
      <c r="S117" s="9">
        <f t="shared" si="4"/>
        <v>0</v>
      </c>
      <c r="T117" s="9">
        <f t="shared" si="4"/>
        <v>0</v>
      </c>
      <c r="U117" s="9">
        <f t="shared" si="4"/>
        <v>0</v>
      </c>
      <c r="V117" s="9">
        <f t="shared" si="4"/>
        <v>0</v>
      </c>
      <c r="W117" s="9">
        <f t="shared" si="3"/>
        <v>0</v>
      </c>
      <c r="X117" s="9">
        <f t="shared" si="3"/>
        <v>0</v>
      </c>
    </row>
    <row r="118" spans="1:24" x14ac:dyDescent="0.3">
      <c r="A118" s="8"/>
      <c r="B118" s="9"/>
      <c r="C118" s="9" t="s">
        <v>200</v>
      </c>
      <c r="D118" s="9"/>
      <c r="E118" s="8">
        <v>1</v>
      </c>
      <c r="F118" s="8" t="s">
        <v>61</v>
      </c>
      <c r="G118" s="9">
        <f t="shared" si="4"/>
        <v>-447</v>
      </c>
      <c r="H118" s="9">
        <f t="shared" si="3"/>
        <v>0</v>
      </c>
      <c r="I118" s="9">
        <f t="shared" si="3"/>
        <v>0</v>
      </c>
      <c r="J118" s="9">
        <f t="shared" si="3"/>
        <v>0</v>
      </c>
      <c r="K118" s="9">
        <f t="shared" si="3"/>
        <v>0</v>
      </c>
      <c r="L118" s="9">
        <f t="shared" si="3"/>
        <v>0</v>
      </c>
      <c r="M118" s="9">
        <f t="shared" si="3"/>
        <v>0</v>
      </c>
      <c r="N118" s="9">
        <f t="shared" si="3"/>
        <v>0</v>
      </c>
      <c r="O118" s="9">
        <f t="shared" si="3"/>
        <v>0</v>
      </c>
      <c r="P118" s="9">
        <f t="shared" si="3"/>
        <v>0</v>
      </c>
      <c r="Q118" s="9">
        <f t="shared" si="3"/>
        <v>0</v>
      </c>
      <c r="R118" s="9">
        <f t="shared" si="3"/>
        <v>0</v>
      </c>
      <c r="S118" s="9">
        <f t="shared" si="3"/>
        <v>0</v>
      </c>
      <c r="T118" s="9">
        <f t="shared" si="3"/>
        <v>0</v>
      </c>
      <c r="U118" s="9">
        <f t="shared" si="3"/>
        <v>0</v>
      </c>
      <c r="V118" s="9">
        <f t="shared" si="3"/>
        <v>0</v>
      </c>
      <c r="W118" s="9">
        <f t="shared" si="3"/>
        <v>0</v>
      </c>
      <c r="X118" s="9">
        <f t="shared" si="3"/>
        <v>0</v>
      </c>
    </row>
    <row r="119" spans="1:24" x14ac:dyDescent="0.3">
      <c r="A119" s="8"/>
      <c r="B119" s="9"/>
      <c r="C119" s="9" t="s">
        <v>202</v>
      </c>
      <c r="D119" s="9"/>
      <c r="E119" s="8">
        <v>1</v>
      </c>
      <c r="F119" s="8" t="s">
        <v>61</v>
      </c>
      <c r="G119" s="9">
        <f t="shared" si="4"/>
        <v>-938</v>
      </c>
      <c r="H119" s="9">
        <f t="shared" si="3"/>
        <v>-0.13400000000000001</v>
      </c>
      <c r="I119" s="9">
        <f t="shared" si="3"/>
        <v>0</v>
      </c>
      <c r="J119" s="9">
        <f t="shared" si="3"/>
        <v>0</v>
      </c>
      <c r="K119" s="9">
        <f t="shared" si="3"/>
        <v>0</v>
      </c>
      <c r="L119" s="9">
        <f t="shared" si="3"/>
        <v>0</v>
      </c>
      <c r="M119" s="9">
        <f t="shared" si="3"/>
        <v>0</v>
      </c>
      <c r="N119" s="9">
        <f t="shared" si="3"/>
        <v>0</v>
      </c>
      <c r="O119" s="9">
        <f t="shared" si="3"/>
        <v>0</v>
      </c>
      <c r="P119" s="9">
        <f t="shared" si="3"/>
        <v>0</v>
      </c>
      <c r="Q119" s="9">
        <f t="shared" si="3"/>
        <v>0</v>
      </c>
      <c r="R119" s="9">
        <f t="shared" si="3"/>
        <v>0</v>
      </c>
      <c r="S119" s="9">
        <f t="shared" si="3"/>
        <v>0</v>
      </c>
      <c r="T119" s="9">
        <f t="shared" si="3"/>
        <v>0</v>
      </c>
      <c r="U119" s="9">
        <f t="shared" si="3"/>
        <v>0</v>
      </c>
      <c r="V119" s="9">
        <f t="shared" si="3"/>
        <v>0</v>
      </c>
      <c r="W119" s="9">
        <f t="shared" si="3"/>
        <v>0</v>
      </c>
      <c r="X119" s="9">
        <f t="shared" si="3"/>
        <v>0</v>
      </c>
    </row>
    <row r="120" spans="1:24" x14ac:dyDescent="0.3">
      <c r="A120" s="8"/>
      <c r="B120" s="9"/>
      <c r="C120" s="9" t="s">
        <v>204</v>
      </c>
      <c r="D120" s="9"/>
      <c r="E120" s="8">
        <v>1</v>
      </c>
      <c r="F120" s="8" t="s">
        <v>61</v>
      </c>
      <c r="G120" s="9">
        <f t="shared" si="4"/>
        <v>-2345</v>
      </c>
      <c r="H120" s="9">
        <f t="shared" si="3"/>
        <v>-6.7000000000000004E-2</v>
      </c>
      <c r="I120" s="9">
        <f t="shared" si="3"/>
        <v>0</v>
      </c>
      <c r="J120" s="9">
        <f t="shared" si="3"/>
        <v>0</v>
      </c>
      <c r="K120" s="9">
        <f t="shared" si="3"/>
        <v>0</v>
      </c>
      <c r="L120" s="9">
        <f t="shared" si="3"/>
        <v>0</v>
      </c>
      <c r="M120" s="9">
        <f t="shared" si="3"/>
        <v>0</v>
      </c>
      <c r="N120" s="9">
        <f t="shared" si="3"/>
        <v>0</v>
      </c>
      <c r="O120" s="9">
        <f t="shared" si="3"/>
        <v>0</v>
      </c>
      <c r="P120" s="9">
        <f t="shared" si="3"/>
        <v>0</v>
      </c>
      <c r="Q120" s="9">
        <f t="shared" si="3"/>
        <v>0</v>
      </c>
      <c r="R120" s="9">
        <f t="shared" si="3"/>
        <v>0</v>
      </c>
      <c r="S120" s="9">
        <f t="shared" si="3"/>
        <v>0</v>
      </c>
      <c r="T120" s="9">
        <f t="shared" si="3"/>
        <v>0</v>
      </c>
      <c r="U120" s="9">
        <f t="shared" si="3"/>
        <v>0</v>
      </c>
      <c r="V120" s="9">
        <f t="shared" si="3"/>
        <v>0</v>
      </c>
      <c r="W120" s="9">
        <f t="shared" si="3"/>
        <v>0</v>
      </c>
      <c r="X120" s="9">
        <f t="shared" si="3"/>
        <v>0</v>
      </c>
    </row>
    <row r="121" spans="1:24" x14ac:dyDescent="0.3">
      <c r="A121" s="8"/>
      <c r="B121" s="9"/>
      <c r="C121" s="9" t="s">
        <v>206</v>
      </c>
      <c r="D121" s="9"/>
      <c r="E121" s="8">
        <v>1</v>
      </c>
      <c r="F121" s="8" t="s">
        <v>61</v>
      </c>
      <c r="G121" s="9">
        <f t="shared" si="4"/>
        <v>-817</v>
      </c>
      <c r="H121" s="9">
        <f t="shared" si="3"/>
        <v>0</v>
      </c>
      <c r="I121" s="9">
        <f t="shared" si="3"/>
        <v>0</v>
      </c>
      <c r="J121" s="9">
        <f t="shared" si="3"/>
        <v>0</v>
      </c>
      <c r="K121" s="9">
        <f t="shared" si="3"/>
        <v>0</v>
      </c>
      <c r="L121" s="9">
        <f t="shared" si="3"/>
        <v>0</v>
      </c>
      <c r="M121" s="9">
        <f t="shared" si="3"/>
        <v>0</v>
      </c>
      <c r="N121" s="9">
        <f t="shared" si="3"/>
        <v>0</v>
      </c>
      <c r="O121" s="9">
        <f t="shared" si="3"/>
        <v>0</v>
      </c>
      <c r="P121" s="9">
        <f t="shared" si="3"/>
        <v>0</v>
      </c>
      <c r="Q121" s="9">
        <f t="shared" si="3"/>
        <v>0</v>
      </c>
      <c r="R121" s="9">
        <f t="shared" si="3"/>
        <v>0</v>
      </c>
      <c r="S121" s="9">
        <f t="shared" si="3"/>
        <v>0</v>
      </c>
      <c r="T121" s="9">
        <f t="shared" si="3"/>
        <v>0</v>
      </c>
      <c r="U121" s="9">
        <f t="shared" si="3"/>
        <v>0</v>
      </c>
      <c r="V121" s="9">
        <f t="shared" si="3"/>
        <v>0</v>
      </c>
      <c r="W121" s="9">
        <f t="shared" si="3"/>
        <v>0</v>
      </c>
      <c r="X121" s="9">
        <f t="shared" si="3"/>
        <v>0</v>
      </c>
    </row>
    <row r="122" spans="1:24" x14ac:dyDescent="0.3">
      <c r="A122" s="8"/>
      <c r="B122" s="9"/>
      <c r="C122" s="9" t="s">
        <v>208</v>
      </c>
      <c r="D122" s="9"/>
      <c r="E122" s="8">
        <v>1</v>
      </c>
      <c r="F122" s="8" t="s">
        <v>61</v>
      </c>
      <c r="G122" s="9">
        <f t="shared" si="4"/>
        <v>-1549</v>
      </c>
      <c r="H122" s="9">
        <f t="shared" si="3"/>
        <v>0</v>
      </c>
      <c r="I122" s="9">
        <f t="shared" si="3"/>
        <v>0</v>
      </c>
      <c r="J122" s="9">
        <f t="shared" si="3"/>
        <v>0</v>
      </c>
      <c r="K122" s="9">
        <f t="shared" si="3"/>
        <v>0</v>
      </c>
      <c r="L122" s="9">
        <f t="shared" si="3"/>
        <v>0</v>
      </c>
      <c r="M122" s="9">
        <f t="shared" si="3"/>
        <v>0</v>
      </c>
      <c r="N122" s="9">
        <f t="shared" si="3"/>
        <v>0</v>
      </c>
      <c r="O122" s="9">
        <f t="shared" si="3"/>
        <v>0</v>
      </c>
      <c r="P122" s="9">
        <f t="shared" si="3"/>
        <v>0</v>
      </c>
      <c r="Q122" s="9">
        <f t="shared" si="3"/>
        <v>0</v>
      </c>
      <c r="R122" s="9">
        <f t="shared" si="3"/>
        <v>0</v>
      </c>
      <c r="S122" s="9">
        <f t="shared" si="3"/>
        <v>0</v>
      </c>
      <c r="T122" s="9">
        <f t="shared" si="3"/>
        <v>0</v>
      </c>
      <c r="U122" s="9">
        <f t="shared" si="3"/>
        <v>0</v>
      </c>
      <c r="V122" s="9">
        <f t="shared" si="3"/>
        <v>0</v>
      </c>
      <c r="W122" s="9">
        <f t="shared" si="3"/>
        <v>0</v>
      </c>
      <c r="X122" s="9">
        <f t="shared" si="3"/>
        <v>0</v>
      </c>
    </row>
    <row r="123" spans="1:24" x14ac:dyDescent="0.3">
      <c r="A123" s="8"/>
      <c r="B123" s="9"/>
      <c r="C123" s="9" t="s">
        <v>210</v>
      </c>
      <c r="D123" s="9"/>
      <c r="E123" s="8">
        <v>1</v>
      </c>
      <c r="F123" s="8" t="s">
        <v>61</v>
      </c>
      <c r="G123" s="9">
        <f t="shared" si="4"/>
        <v>-167</v>
      </c>
      <c r="H123" s="9">
        <f t="shared" si="3"/>
        <v>0</v>
      </c>
      <c r="I123" s="9">
        <f t="shared" si="3"/>
        <v>0</v>
      </c>
      <c r="J123" s="9">
        <f t="shared" si="3"/>
        <v>0</v>
      </c>
      <c r="K123" s="9">
        <f t="shared" si="3"/>
        <v>0</v>
      </c>
      <c r="L123" s="9">
        <f t="shared" si="3"/>
        <v>0</v>
      </c>
      <c r="M123" s="9">
        <f t="shared" si="3"/>
        <v>0</v>
      </c>
      <c r="N123" s="9">
        <f t="shared" si="3"/>
        <v>0</v>
      </c>
      <c r="O123" s="9">
        <f t="shared" si="3"/>
        <v>0</v>
      </c>
      <c r="P123" s="9">
        <f t="shared" si="3"/>
        <v>0</v>
      </c>
      <c r="Q123" s="9">
        <f t="shared" si="3"/>
        <v>0</v>
      </c>
      <c r="R123" s="9">
        <f t="shared" si="3"/>
        <v>0</v>
      </c>
      <c r="S123" s="9">
        <f t="shared" si="3"/>
        <v>0</v>
      </c>
      <c r="T123" s="9">
        <f t="shared" si="3"/>
        <v>0</v>
      </c>
      <c r="U123" s="9">
        <f t="shared" si="3"/>
        <v>0</v>
      </c>
      <c r="V123" s="9">
        <f t="shared" si="3"/>
        <v>0</v>
      </c>
      <c r="W123" s="9">
        <f t="shared" si="3"/>
        <v>0</v>
      </c>
      <c r="X123" s="9">
        <f t="shared" si="3"/>
        <v>0</v>
      </c>
    </row>
    <row r="124" spans="1:24" x14ac:dyDescent="0.3">
      <c r="A124" s="8"/>
      <c r="B124" s="9"/>
      <c r="C124" s="9" t="s">
        <v>212</v>
      </c>
      <c r="D124" s="9"/>
      <c r="E124" s="8">
        <v>1</v>
      </c>
      <c r="F124" s="8" t="s">
        <v>61</v>
      </c>
      <c r="G124" s="9">
        <f t="shared" si="4"/>
        <v>-1032</v>
      </c>
      <c r="H124" s="9">
        <f t="shared" si="3"/>
        <v>0</v>
      </c>
      <c r="I124" s="9">
        <f t="shared" si="3"/>
        <v>0</v>
      </c>
      <c r="J124" s="9">
        <f t="shared" si="3"/>
        <v>0</v>
      </c>
      <c r="K124" s="9">
        <f t="shared" si="3"/>
        <v>0</v>
      </c>
      <c r="L124" s="9">
        <f t="shared" si="3"/>
        <v>0</v>
      </c>
      <c r="M124" s="9">
        <f t="shared" si="3"/>
        <v>0</v>
      </c>
      <c r="N124" s="9">
        <f t="shared" si="3"/>
        <v>0</v>
      </c>
      <c r="O124" s="9">
        <f t="shared" si="3"/>
        <v>0</v>
      </c>
      <c r="P124" s="9">
        <f t="shared" si="3"/>
        <v>0</v>
      </c>
      <c r="Q124" s="9">
        <f t="shared" si="3"/>
        <v>0</v>
      </c>
      <c r="R124" s="9">
        <f t="shared" si="3"/>
        <v>0</v>
      </c>
      <c r="S124" s="9">
        <f t="shared" si="3"/>
        <v>0</v>
      </c>
      <c r="T124" s="9">
        <f t="shared" si="3"/>
        <v>0</v>
      </c>
      <c r="U124" s="9">
        <f t="shared" si="3"/>
        <v>0</v>
      </c>
      <c r="V124" s="9">
        <f t="shared" si="3"/>
        <v>0</v>
      </c>
      <c r="W124" s="9">
        <f t="shared" si="3"/>
        <v>0</v>
      </c>
      <c r="X124" s="9">
        <f t="shared" si="3"/>
        <v>0</v>
      </c>
    </row>
    <row r="125" spans="1:24" x14ac:dyDescent="0.3">
      <c r="A125" s="8"/>
      <c r="B125" s="9"/>
      <c r="C125" s="9" t="s">
        <v>214</v>
      </c>
      <c r="D125" s="9"/>
      <c r="E125" s="8">
        <v>1</v>
      </c>
      <c r="F125" s="8" t="s">
        <v>61</v>
      </c>
      <c r="G125" s="9">
        <f t="shared" si="4"/>
        <v>-1</v>
      </c>
      <c r="H125" s="9">
        <f t="shared" si="3"/>
        <v>0</v>
      </c>
      <c r="I125" s="9">
        <f t="shared" si="3"/>
        <v>0</v>
      </c>
      <c r="J125" s="9">
        <f t="shared" si="3"/>
        <v>0</v>
      </c>
      <c r="K125" s="9">
        <f t="shared" si="3"/>
        <v>0</v>
      </c>
      <c r="L125" s="9">
        <f t="shared" si="3"/>
        <v>0</v>
      </c>
      <c r="M125" s="9">
        <f t="shared" si="3"/>
        <v>0</v>
      </c>
      <c r="N125" s="9">
        <f t="shared" si="3"/>
        <v>0</v>
      </c>
      <c r="O125" s="9">
        <f t="shared" si="3"/>
        <v>0</v>
      </c>
      <c r="P125" s="9">
        <f t="shared" si="3"/>
        <v>0</v>
      </c>
      <c r="Q125" s="9">
        <f t="shared" si="3"/>
        <v>0</v>
      </c>
      <c r="R125" s="9">
        <f t="shared" si="3"/>
        <v>0</v>
      </c>
      <c r="S125" s="9">
        <f t="shared" si="3"/>
        <v>0</v>
      </c>
      <c r="T125" s="9">
        <f t="shared" si="3"/>
        <v>0</v>
      </c>
      <c r="U125" s="9">
        <f t="shared" si="3"/>
        <v>0</v>
      </c>
      <c r="V125" s="9">
        <f t="shared" si="3"/>
        <v>0</v>
      </c>
      <c r="W125" s="9">
        <f t="shared" si="3"/>
        <v>0</v>
      </c>
      <c r="X125" s="9">
        <f t="shared" si="3"/>
        <v>0</v>
      </c>
    </row>
    <row r="126" spans="1:24" x14ac:dyDescent="0.3">
      <c r="A126" s="8">
        <v>6</v>
      </c>
      <c r="B126" s="9" t="s">
        <v>217</v>
      </c>
      <c r="C126" s="9" t="s">
        <v>216</v>
      </c>
      <c r="D126" s="9"/>
      <c r="E126" s="8">
        <v>1</v>
      </c>
      <c r="F126" s="8" t="s">
        <v>61</v>
      </c>
      <c r="G126" s="9">
        <f>-G76</f>
        <v>-6.6001209999999997</v>
      </c>
      <c r="H126" s="9">
        <f t="shared" ref="H126:X126" si="5">-H76</f>
        <v>-7.8306459999999998E-7</v>
      </c>
      <c r="I126" s="9">
        <f t="shared" si="5"/>
        <v>-3.0900842999999997E-2</v>
      </c>
      <c r="J126" s="9">
        <f t="shared" si="5"/>
        <v>-2.5210546000000002E-3</v>
      </c>
      <c r="K126" s="9">
        <f t="shared" si="5"/>
        <v>-7.0260308999999998E-3</v>
      </c>
      <c r="L126" s="9">
        <f t="shared" si="5"/>
        <v>-2.2780963000000001</v>
      </c>
      <c r="M126" s="9">
        <f t="shared" si="5"/>
        <v>-1.9220400000000002E-2</v>
      </c>
      <c r="N126" s="9">
        <f t="shared" si="5"/>
        <v>-1.5250354000000001E-2</v>
      </c>
      <c r="O126" s="9">
        <f t="shared" si="5"/>
        <v>-8.2402560000000003E-4</v>
      </c>
      <c r="P126" s="9">
        <f t="shared" si="5"/>
        <v>-0.17771049999999999</v>
      </c>
      <c r="Q126" s="9">
        <f t="shared" si="5"/>
        <v>-0.16230949</v>
      </c>
      <c r="R126" s="9">
        <f t="shared" si="5"/>
        <v>-0.46401109999999995</v>
      </c>
      <c r="S126" s="9">
        <f t="shared" si="5"/>
        <v>-0.17730406000000001</v>
      </c>
      <c r="T126" s="9">
        <f t="shared" si="5"/>
        <v>-8.7002460000000004E-2</v>
      </c>
      <c r="U126" s="9">
        <f t="shared" si="5"/>
        <v>-1.0950222E-3</v>
      </c>
      <c r="V126" s="9">
        <f t="shared" si="5"/>
        <v>-6.4679E-2</v>
      </c>
      <c r="W126" s="9">
        <f t="shared" si="5"/>
        <v>-0.38872590000000001</v>
      </c>
      <c r="X126" s="9">
        <f t="shared" si="5"/>
        <v>-1.8770328000000001</v>
      </c>
    </row>
    <row r="127" spans="1:24" x14ac:dyDescent="0.3">
      <c r="A127" s="8"/>
      <c r="B127" s="9"/>
      <c r="C127" s="9" t="s">
        <v>222</v>
      </c>
      <c r="D127" s="9"/>
      <c r="E127" s="8">
        <v>1</v>
      </c>
      <c r="F127" s="8" t="s">
        <v>61</v>
      </c>
      <c r="G127" s="9">
        <f>-G80</f>
        <v>-1.320136</v>
      </c>
      <c r="H127" s="9">
        <f t="shared" ref="H127:X127" si="6">-H80</f>
        <v>-7.2679199999999992E-11</v>
      </c>
      <c r="I127" s="9">
        <f t="shared" si="6"/>
        <v>-1.680948E-3</v>
      </c>
      <c r="J127" s="9">
        <f t="shared" si="6"/>
        <v>-1.7739999999999999E-7</v>
      </c>
      <c r="K127" s="9">
        <f t="shared" si="6"/>
        <v>-2.500348E-4</v>
      </c>
      <c r="L127" s="9">
        <f t="shared" si="6"/>
        <v>-3.7600000000000003E-4</v>
      </c>
      <c r="M127" s="9">
        <f t="shared" si="6"/>
        <v>-1.36045E-3</v>
      </c>
      <c r="N127" s="9">
        <f t="shared" si="6"/>
        <v>-6.2639800000000002E-4</v>
      </c>
      <c r="O127" s="9">
        <f t="shared" si="6"/>
        <v>-5.8599999999999995E-8</v>
      </c>
      <c r="P127" s="9">
        <f t="shared" si="6"/>
        <v>-1.3311800000000002E-5</v>
      </c>
      <c r="Q127" s="9">
        <f t="shared" si="6"/>
        <v>-2.2800000000000002E-5</v>
      </c>
      <c r="R127" s="9">
        <f t="shared" si="6"/>
        <v>-1.2500000000000001E-5</v>
      </c>
      <c r="S127" s="9">
        <f t="shared" si="6"/>
        <v>-4.5700000000000003E-6</v>
      </c>
      <c r="T127" s="9">
        <f t="shared" si="6"/>
        <v>-2.7699999999999997E-6</v>
      </c>
      <c r="U127" s="9">
        <f t="shared" si="6"/>
        <v>-2.4900000000000001E-8</v>
      </c>
      <c r="V127" s="9">
        <f t="shared" si="6"/>
        <v>-4.2814000000000005E-2</v>
      </c>
      <c r="W127" s="9">
        <f t="shared" si="6"/>
        <v>-4.2400000000000001E-5</v>
      </c>
      <c r="X127" s="9">
        <f t="shared" si="6"/>
        <v>-0.45803690000000002</v>
      </c>
    </row>
    <row r="128" spans="1:24" x14ac:dyDescent="0.3">
      <c r="A128" s="8">
        <v>7</v>
      </c>
      <c r="B128" s="9" t="s">
        <v>179</v>
      </c>
      <c r="C128" s="9" t="s">
        <v>179</v>
      </c>
      <c r="D128" s="9" t="s">
        <v>274</v>
      </c>
      <c r="E128" s="8">
        <v>1</v>
      </c>
      <c r="F128" s="8" t="s">
        <v>61</v>
      </c>
      <c r="G128" s="9">
        <f>-G129</f>
        <v>-172</v>
      </c>
      <c r="H128" s="9">
        <f t="shared" ref="H128:X128" si="7">-H129</f>
        <v>-2.0400000000000001E-5</v>
      </c>
      <c r="I128" s="9">
        <f t="shared" si="7"/>
        <v>-2.54</v>
      </c>
      <c r="J128" s="9">
        <f t="shared" si="7"/>
        <v>-1.74</v>
      </c>
      <c r="K128" s="9">
        <f t="shared" si="7"/>
        <v>-0.27700000000000002</v>
      </c>
      <c r="L128" s="9">
        <f t="shared" si="7"/>
        <v>-2740</v>
      </c>
      <c r="M128" s="9">
        <f t="shared" si="7"/>
        <v>-3.23</v>
      </c>
      <c r="N128" s="9">
        <f t="shared" si="7"/>
        <v>-0.95599999999999996</v>
      </c>
      <c r="O128" s="9">
        <f t="shared" si="7"/>
        <v>-4.87E-2</v>
      </c>
      <c r="P128" s="9">
        <f t="shared" si="7"/>
        <v>-603</v>
      </c>
      <c r="Q128" s="9">
        <f t="shared" si="7"/>
        <v>-527</v>
      </c>
      <c r="R128" s="9">
        <f t="shared" si="7"/>
        <v>-9.89</v>
      </c>
      <c r="S128" s="9">
        <f t="shared" si="7"/>
        <v>-5.74</v>
      </c>
      <c r="T128" s="9">
        <f t="shared" si="7"/>
        <v>-12.9</v>
      </c>
      <c r="U128" s="9">
        <f t="shared" si="7"/>
        <v>-7.5300000000000006E-2</v>
      </c>
      <c r="V128" s="9">
        <f t="shared" si="7"/>
        <v>-1.32</v>
      </c>
      <c r="W128" s="9">
        <f t="shared" si="7"/>
        <v>-1060</v>
      </c>
      <c r="X128" s="9">
        <f t="shared" si="7"/>
        <v>-52.9</v>
      </c>
    </row>
    <row r="129" spans="1:25" hidden="1" x14ac:dyDescent="0.3">
      <c r="A129" s="8"/>
      <c r="B129" s="9"/>
      <c r="C129" s="9"/>
      <c r="D129" s="9" t="s">
        <v>272</v>
      </c>
      <c r="E129" s="8">
        <v>1</v>
      </c>
      <c r="F129" s="8" t="s">
        <v>61</v>
      </c>
      <c r="G129" s="9">
        <v>172</v>
      </c>
      <c r="H129" s="9">
        <f>2.04*10^-5</f>
        <v>2.0400000000000001E-5</v>
      </c>
      <c r="I129" s="9">
        <v>2.54</v>
      </c>
      <c r="J129" s="9">
        <v>1.74</v>
      </c>
      <c r="K129" s="9">
        <v>0.27700000000000002</v>
      </c>
      <c r="L129" s="9">
        <f>2.74*10^3</f>
        <v>2740</v>
      </c>
      <c r="M129" s="9">
        <v>3.23</v>
      </c>
      <c r="N129" s="9">
        <v>0.95599999999999996</v>
      </c>
      <c r="O129" s="9">
        <v>4.87E-2</v>
      </c>
      <c r="P129" s="9">
        <v>603</v>
      </c>
      <c r="Q129" s="9">
        <v>527</v>
      </c>
      <c r="R129" s="9">
        <v>9.89</v>
      </c>
      <c r="S129" s="9">
        <v>5.74</v>
      </c>
      <c r="T129" s="9">
        <v>12.9</v>
      </c>
      <c r="U129" s="9">
        <v>7.5300000000000006E-2</v>
      </c>
      <c r="V129" s="9">
        <v>1.32</v>
      </c>
      <c r="W129" s="9">
        <f>1.06*10^3</f>
        <v>1060</v>
      </c>
      <c r="X129" s="9">
        <v>52.9</v>
      </c>
      <c r="Y129" s="4" t="s">
        <v>273</v>
      </c>
    </row>
    <row r="130" spans="1:25" x14ac:dyDescent="0.3">
      <c r="A130" s="8">
        <v>8</v>
      </c>
      <c r="B130" s="9" t="s">
        <v>88</v>
      </c>
      <c r="C130" s="9" t="s">
        <v>88</v>
      </c>
      <c r="D130" s="9" t="s">
        <v>270</v>
      </c>
      <c r="E130" s="8">
        <v>1</v>
      </c>
      <c r="F130" s="8" t="s">
        <v>61</v>
      </c>
      <c r="G130" s="9">
        <v>-1.67</v>
      </c>
      <c r="H130" s="9">
        <f>-6.81*10^-8</f>
        <v>-6.8099999999999994E-8</v>
      </c>
      <c r="I130" s="9">
        <v>-4.8700000000000002E-3</v>
      </c>
      <c r="J130" s="9">
        <v>-5.1700000000000001E-3</v>
      </c>
      <c r="K130" s="9">
        <v>-2.8E-3</v>
      </c>
      <c r="L130" s="9">
        <v>-0.39200000000000002</v>
      </c>
      <c r="M130" s="9">
        <v>-7.5700000000000003E-3</v>
      </c>
      <c r="N130" s="9">
        <v>-6.2700000000000004E-3</v>
      </c>
      <c r="O130" s="9">
        <f>-6.14*10^-5</f>
        <v>-6.1400000000000002E-5</v>
      </c>
      <c r="P130" s="9">
        <v>-1.37E-2</v>
      </c>
      <c r="Q130" s="9">
        <v>-1.2999999999999999E-2</v>
      </c>
      <c r="R130" s="9">
        <v>-2.9399999999999999E-2</v>
      </c>
      <c r="S130" s="9">
        <v>-1.9099999999999999E-2</v>
      </c>
      <c r="T130" s="9">
        <v>-1.9900000000000001E-2</v>
      </c>
      <c r="U130" s="9">
        <v>-1.26E-4</v>
      </c>
      <c r="V130" s="9">
        <v>-3.4399999999999999E-3</v>
      </c>
      <c r="W130" s="9">
        <v>-1.1100000000000001</v>
      </c>
      <c r="X130" s="9">
        <v>-0.33900000000000002</v>
      </c>
    </row>
    <row r="131" spans="1:25" x14ac:dyDescent="0.3">
      <c r="A131" s="20" t="s">
        <v>275</v>
      </c>
      <c r="B131" s="17"/>
      <c r="C131" s="17"/>
      <c r="D131" s="17"/>
      <c r="E131" s="18"/>
      <c r="F131" s="18"/>
      <c r="G131" s="17"/>
      <c r="H131" s="17"/>
      <c r="I131" s="17"/>
      <c r="J131" s="17"/>
      <c r="K131" s="17"/>
      <c r="L131" s="17"/>
      <c r="M131" s="17"/>
      <c r="N131" s="17"/>
      <c r="O131" s="17"/>
      <c r="P131" s="17"/>
      <c r="Q131" s="17"/>
      <c r="R131" s="17"/>
      <c r="S131" s="17"/>
      <c r="T131" s="17"/>
      <c r="U131" s="17"/>
      <c r="V131" s="17"/>
      <c r="W131" s="17"/>
      <c r="X131" s="17"/>
    </row>
    <row r="132" spans="1:25" x14ac:dyDescent="0.3">
      <c r="A132" s="8">
        <v>1</v>
      </c>
      <c r="B132" s="9" t="s">
        <v>267</v>
      </c>
      <c r="C132" s="9" t="s">
        <v>267</v>
      </c>
      <c r="D132" s="9" t="s">
        <v>268</v>
      </c>
      <c r="E132" s="8">
        <v>1</v>
      </c>
      <c r="F132" s="8" t="s">
        <v>61</v>
      </c>
      <c r="G132" s="9">
        <v>6.08E-2</v>
      </c>
      <c r="H132" s="9">
        <v>0</v>
      </c>
      <c r="I132" s="9">
        <v>2.22E-4</v>
      </c>
      <c r="J132" s="9">
        <v>0</v>
      </c>
      <c r="K132" s="9">
        <f>6.86*10^-6</f>
        <v>6.8600000000000004E-6</v>
      </c>
      <c r="L132" s="9">
        <v>0</v>
      </c>
      <c r="M132" s="9">
        <v>2.52E-4</v>
      </c>
      <c r="N132" s="9">
        <f>6.09*10^-5</f>
        <v>6.0900000000000003E-5</v>
      </c>
      <c r="O132" s="9">
        <v>0</v>
      </c>
      <c r="P132" s="9">
        <v>0</v>
      </c>
      <c r="Q132" s="9">
        <v>0</v>
      </c>
      <c r="R132" s="9">
        <v>0</v>
      </c>
      <c r="S132" s="9">
        <v>0</v>
      </c>
      <c r="T132" s="9">
        <v>0</v>
      </c>
      <c r="U132" s="9">
        <v>0</v>
      </c>
      <c r="V132" s="9">
        <v>0</v>
      </c>
      <c r="W132" s="9">
        <v>3.31E-3</v>
      </c>
      <c r="X132" s="9">
        <v>1.5800000000000002E-2</v>
      </c>
    </row>
    <row r="133" spans="1:25" x14ac:dyDescent="0.3">
      <c r="A133" s="8">
        <v>2</v>
      </c>
      <c r="B133" s="9" t="s">
        <v>291</v>
      </c>
      <c r="C133" s="9" t="s">
        <v>294</v>
      </c>
      <c r="D133" s="9" t="s">
        <v>277</v>
      </c>
      <c r="E133" s="8">
        <v>1</v>
      </c>
      <c r="F133" s="8" t="s">
        <v>61</v>
      </c>
      <c r="G133" s="9">
        <v>1.2200000000000001E-2</v>
      </c>
      <c r="H133" s="9">
        <v>2.8500000000000003E-9</v>
      </c>
      <c r="I133" s="9">
        <v>8.4000000000000009E-5</v>
      </c>
      <c r="J133" s="9">
        <v>9.1699999999999997E-7</v>
      </c>
      <c r="K133" s="9">
        <v>4.5700000000000003E-6</v>
      </c>
      <c r="L133" s="9">
        <v>1.6900000000000001E-3</v>
      </c>
      <c r="M133" s="9">
        <v>1.3200000000000001E-4</v>
      </c>
      <c r="N133" s="9">
        <v>1.22E-4</v>
      </c>
      <c r="O133" s="9">
        <v>2.0499999999999999E-6</v>
      </c>
      <c r="P133" s="9">
        <v>7.5900000000000002E-5</v>
      </c>
      <c r="Q133" s="9">
        <v>7.9400000000000006E-5</v>
      </c>
      <c r="R133" s="9">
        <v>1.1299999999999999E-3</v>
      </c>
      <c r="S133" s="9">
        <v>3.1500000000000001E-4</v>
      </c>
      <c r="T133" s="9">
        <v>1.25E-3</v>
      </c>
      <c r="U133" s="9">
        <v>-3.7700000000000002E-5</v>
      </c>
      <c r="V133" s="9">
        <v>1.64E-4</v>
      </c>
      <c r="W133" s="9">
        <v>5.6999999999999998E-4</v>
      </c>
      <c r="X133" s="9">
        <v>5.8799999999999998E-3</v>
      </c>
    </row>
    <row r="134" spans="1:25" x14ac:dyDescent="0.3">
      <c r="A134" s="8">
        <v>3</v>
      </c>
      <c r="B134" s="9" t="s">
        <v>292</v>
      </c>
      <c r="C134" s="9" t="s">
        <v>292</v>
      </c>
      <c r="D134" s="9" t="s">
        <v>283</v>
      </c>
      <c r="E134" s="8">
        <v>1</v>
      </c>
      <c r="F134" s="8" t="s">
        <v>61</v>
      </c>
      <c r="G134" s="9">
        <v>0.10299999999999999</v>
      </c>
      <c r="H134" s="9">
        <f>2.56*10^-9</f>
        <v>2.5600000000000003E-9</v>
      </c>
      <c r="I134" s="9">
        <f>7.18*10^-5</f>
        <v>7.1799999999999997E-5</v>
      </c>
      <c r="J134" s="9">
        <f>4.25*10^-5</f>
        <v>4.2500000000000003E-5</v>
      </c>
      <c r="K134" s="9">
        <v>1.2999999999999999E-2</v>
      </c>
      <c r="L134" s="9">
        <v>0.58799999999999997</v>
      </c>
      <c r="M134" s="9">
        <v>1.2799999999999999E-4</v>
      </c>
      <c r="N134" s="9">
        <f>3.59*10^-5</f>
        <v>3.5899999999999998E-5</v>
      </c>
      <c r="O134" s="9">
        <v>4.4000000000000003E-3</v>
      </c>
      <c r="P134" s="9">
        <v>0.68899999999999995</v>
      </c>
      <c r="Q134" s="9">
        <v>0.434</v>
      </c>
      <c r="R134" s="9">
        <v>1.1999999999999999E-3</v>
      </c>
      <c r="S134" s="9">
        <v>3.9500000000000001E-4</v>
      </c>
      <c r="T134" s="9">
        <v>3.81E-3</v>
      </c>
      <c r="U134" s="9">
        <f>-4.35*10^-5</f>
        <v>-4.35E-5</v>
      </c>
      <c r="V134" s="9">
        <v>2.5799999999999998E-4</v>
      </c>
      <c r="W134" s="9">
        <v>7.6499999999999995E-4</v>
      </c>
      <c r="X134" s="9">
        <v>5.8500000000000002E-3</v>
      </c>
    </row>
    <row r="135" spans="1:25" x14ac:dyDescent="0.3">
      <c r="A135" s="8">
        <v>4</v>
      </c>
      <c r="B135" s="9" t="s">
        <v>116</v>
      </c>
      <c r="C135" s="9" t="s">
        <v>116</v>
      </c>
      <c r="D135" s="9" t="s">
        <v>278</v>
      </c>
      <c r="E135" s="8">
        <v>1</v>
      </c>
      <c r="F135" s="8" t="s">
        <v>61</v>
      </c>
      <c r="G135" s="9">
        <v>9.1299999999999992E-3</v>
      </c>
      <c r="H135" s="9">
        <f>2.5*10^-9</f>
        <v>2.5000000000000001E-9</v>
      </c>
      <c r="I135" s="9">
        <f>6.34*10^-5</f>
        <v>6.340000000000001E-5</v>
      </c>
      <c r="J135" s="9">
        <f>9.31*10^-7</f>
        <v>9.3099999999999996E-7</v>
      </c>
      <c r="K135" s="9">
        <f>3.45*10^-6</f>
        <v>3.45E-6</v>
      </c>
      <c r="L135" s="9">
        <v>9.9699999999999997E-3</v>
      </c>
      <c r="M135" s="9">
        <f>9.25*10^-5</f>
        <v>9.2500000000000012E-5</v>
      </c>
      <c r="N135" s="9">
        <f>3.1*10^-5</f>
        <v>3.1000000000000001E-5</v>
      </c>
      <c r="O135" s="9">
        <f>1.05*10^-6</f>
        <v>1.0499999999999999E-6</v>
      </c>
      <c r="P135" s="9">
        <v>1.06E-3</v>
      </c>
      <c r="Q135" s="9">
        <v>9.1200000000000005E-4</v>
      </c>
      <c r="R135" s="9">
        <v>1.01E-3</v>
      </c>
      <c r="S135" s="9">
        <v>3.4600000000000001E-4</v>
      </c>
      <c r="T135" s="9">
        <v>3.8E-3</v>
      </c>
      <c r="U135" s="9">
        <f>-4.37*10^-5</f>
        <v>-4.3700000000000005E-5</v>
      </c>
      <c r="V135" s="9">
        <v>2.4800000000000001E-4</v>
      </c>
      <c r="W135" s="9">
        <v>6.7000000000000002E-4</v>
      </c>
      <c r="X135" s="9">
        <v>5.4799999999999996E-3</v>
      </c>
    </row>
    <row r="136" spans="1:25" x14ac:dyDescent="0.3">
      <c r="A136" s="8">
        <v>5</v>
      </c>
      <c r="B136" s="9" t="s">
        <v>123</v>
      </c>
      <c r="C136" s="9" t="s">
        <v>123</v>
      </c>
      <c r="D136" s="9" t="s">
        <v>279</v>
      </c>
      <c r="E136" s="8">
        <v>1</v>
      </c>
      <c r="F136" s="8" t="s">
        <v>61</v>
      </c>
      <c r="G136" s="9">
        <v>5.1399999999999996E-3</v>
      </c>
      <c r="H136" s="9">
        <v>1.69E-9</v>
      </c>
      <c r="I136" s="9">
        <v>3.7500000000000003E-5</v>
      </c>
      <c r="J136" s="9">
        <v>4.7899999999999999E-7</v>
      </c>
      <c r="K136" s="9">
        <v>1.86E-6</v>
      </c>
      <c r="L136" s="9">
        <v>6.6699999999999995E-4</v>
      </c>
      <c r="M136" s="9">
        <v>5.4600000000000006E-5</v>
      </c>
      <c r="N136" s="9">
        <v>1.7600000000000001E-5</v>
      </c>
      <c r="O136" s="9">
        <v>5.5999999999999993E-7</v>
      </c>
      <c r="P136" s="9">
        <v>3.8000000000000002E-5</v>
      </c>
      <c r="Q136" s="9">
        <v>3.6200000000000006E-5</v>
      </c>
      <c r="R136" s="9">
        <v>6.5499999999999998E-4</v>
      </c>
      <c r="S136" s="9">
        <v>2.7399999999999999E-4</v>
      </c>
      <c r="T136" s="9">
        <v>1.0200000000000001E-3</v>
      </c>
      <c r="U136" s="9">
        <v>-4.0200000000000001E-5</v>
      </c>
      <c r="V136" s="9">
        <v>1.55E-4</v>
      </c>
      <c r="W136" s="9">
        <v>2.4399999999999999E-4</v>
      </c>
      <c r="X136" s="9">
        <v>3.49E-3</v>
      </c>
    </row>
    <row r="137" spans="1:25" x14ac:dyDescent="0.3">
      <c r="A137" s="8">
        <v>6</v>
      </c>
      <c r="B137" s="9" t="s">
        <v>126</v>
      </c>
      <c r="C137" s="9" t="s">
        <v>126</v>
      </c>
      <c r="D137" s="9" t="s">
        <v>280</v>
      </c>
      <c r="E137" s="8">
        <v>1</v>
      </c>
      <c r="F137" s="8" t="s">
        <v>61</v>
      </c>
      <c r="G137" s="9">
        <v>8.8599999999999998E-3</v>
      </c>
      <c r="H137" s="9">
        <v>2.9900000000000002E-9</v>
      </c>
      <c r="I137" s="9">
        <v>2.46E-2</v>
      </c>
      <c r="J137" s="9">
        <v>9.6899999999999996E-7</v>
      </c>
      <c r="K137" s="9">
        <v>4.8099999999999997E-6</v>
      </c>
      <c r="L137" s="9">
        <v>3.6400000000000002E-2</v>
      </c>
      <c r="M137" s="9">
        <v>2.0799999999999998E-3</v>
      </c>
      <c r="N137" s="9">
        <v>4.9300000000000004E-3</v>
      </c>
      <c r="O137" s="9">
        <v>2.83E-6</v>
      </c>
      <c r="P137" s="9">
        <v>1.8799999999999999E-3</v>
      </c>
      <c r="Q137" s="9">
        <v>1.7099999999999999E-3</v>
      </c>
      <c r="R137" s="9">
        <v>2.1299999999999999E-3</v>
      </c>
      <c r="S137" s="9">
        <v>9.9500000000000001E-4</v>
      </c>
      <c r="T137" s="9">
        <v>3.8E-3</v>
      </c>
      <c r="U137" s="9">
        <v>-4.3900000000000003E-5</v>
      </c>
      <c r="V137" s="9">
        <v>3.39E-4</v>
      </c>
      <c r="W137" s="9">
        <v>9.5399999999999999E-4</v>
      </c>
      <c r="X137" s="9">
        <v>5.4200000000000003E-3</v>
      </c>
    </row>
    <row r="138" spans="1:25" x14ac:dyDescent="0.3">
      <c r="A138" s="8">
        <v>7</v>
      </c>
      <c r="B138" s="9" t="s">
        <v>130</v>
      </c>
      <c r="C138" s="9" t="s">
        <v>130</v>
      </c>
      <c r="D138" s="9" t="s">
        <v>284</v>
      </c>
      <c r="E138" s="8">
        <v>1</v>
      </c>
      <c r="F138" s="8" t="s">
        <v>61</v>
      </c>
      <c r="G138" s="9">
        <v>7.9000000000000008E-3</v>
      </c>
      <c r="H138" s="9">
        <f>2.82*10^-9</f>
        <v>2.8200000000000002E-9</v>
      </c>
      <c r="I138" s="9">
        <f>5.46*10^-5</f>
        <v>5.4600000000000006E-5</v>
      </c>
      <c r="J138" s="9">
        <v>3.59E-4</v>
      </c>
      <c r="K138" s="9">
        <f>2.47*10^-6</f>
        <v>2.4700000000000001E-6</v>
      </c>
      <c r="L138" s="9">
        <v>15.4</v>
      </c>
      <c r="M138" s="9">
        <f>7.29*10^-5</f>
        <v>7.290000000000001E-5</v>
      </c>
      <c r="N138" s="9">
        <f>2.44*10^-5</f>
        <v>2.44E-5</v>
      </c>
      <c r="O138" s="9">
        <f>9.86*10^-7</f>
        <v>9.8599999999999996E-7</v>
      </c>
      <c r="P138" s="9">
        <v>3.73E-2</v>
      </c>
      <c r="Q138" s="9">
        <v>3.5200000000000002E-2</v>
      </c>
      <c r="R138" s="9">
        <v>1.1100000000000001E-3</v>
      </c>
      <c r="S138" s="9">
        <v>4.37E-4</v>
      </c>
      <c r="T138" s="9">
        <v>5.1999999999999998E-3</v>
      </c>
      <c r="U138" s="9">
        <f>-5.53*10^-5</f>
        <v>-5.5300000000000009E-5</v>
      </c>
      <c r="V138" s="9">
        <v>2.9399999999999999E-4</v>
      </c>
      <c r="W138" s="9">
        <v>3.7399999999999998E-4</v>
      </c>
      <c r="X138" s="9">
        <v>6.0600000000000003E-3</v>
      </c>
    </row>
    <row r="139" spans="1:25" x14ac:dyDescent="0.3">
      <c r="A139" s="8">
        <v>8</v>
      </c>
      <c r="B139" s="9" t="s">
        <v>78</v>
      </c>
      <c r="C139" s="9" t="s">
        <v>78</v>
      </c>
      <c r="D139" s="9" t="s">
        <v>276</v>
      </c>
      <c r="E139" s="8">
        <v>1</v>
      </c>
      <c r="F139" s="8" t="s">
        <v>61</v>
      </c>
      <c r="G139" s="9">
        <v>8.8300000000000003E-2</v>
      </c>
      <c r="H139" s="9">
        <v>2.5600000000000003E-9</v>
      </c>
      <c r="I139" s="9">
        <v>7.290000000000001E-5</v>
      </c>
      <c r="J139" s="9">
        <v>1.75E-6</v>
      </c>
      <c r="K139" s="9">
        <v>6.0899999999999999E-3</v>
      </c>
      <c r="L139" s="9">
        <v>0.33</v>
      </c>
      <c r="M139" s="9">
        <v>1.2400000000000001E-4</v>
      </c>
      <c r="N139" s="9">
        <v>3.6200000000000006E-5</v>
      </c>
      <c r="O139" s="9">
        <v>4.0099999999999999E-5</v>
      </c>
      <c r="P139" s="9">
        <v>5.2999999999999999E-2</v>
      </c>
      <c r="Q139" s="9">
        <v>4.5100000000000001E-2</v>
      </c>
      <c r="R139" s="9">
        <v>1.25E-3</v>
      </c>
      <c r="S139" s="9">
        <v>4.06E-4</v>
      </c>
      <c r="T139" s="9">
        <v>3.82E-3</v>
      </c>
      <c r="U139" s="9">
        <v>-4.3400000000000005E-5</v>
      </c>
      <c r="V139" s="9">
        <v>2.5999999999999998E-4</v>
      </c>
      <c r="W139" s="9">
        <v>7.6099999999999996E-4</v>
      </c>
      <c r="X139" s="9">
        <v>5.9699999999999996E-3</v>
      </c>
    </row>
    <row r="140" spans="1:25" x14ac:dyDescent="0.3">
      <c r="A140" s="8">
        <v>9</v>
      </c>
      <c r="B140" s="9" t="s">
        <v>293</v>
      </c>
      <c r="C140" s="9" t="s">
        <v>295</v>
      </c>
      <c r="D140" s="9" t="s">
        <v>285</v>
      </c>
      <c r="E140" s="8">
        <v>1</v>
      </c>
      <c r="F140" s="8" t="s">
        <v>61</v>
      </c>
      <c r="G140" s="9">
        <v>0.32800000000000001</v>
      </c>
      <c r="H140" s="9">
        <f>1.58*10^-8</f>
        <v>1.5800000000000003E-8</v>
      </c>
      <c r="I140" s="9">
        <v>8.2299999999999995E-4</v>
      </c>
      <c r="J140" s="9">
        <f>9.12*10^-5</f>
        <v>9.1199999999999994E-5</v>
      </c>
      <c r="K140" s="9">
        <f>4.39*10^-5</f>
        <v>4.3900000000000003E-5</v>
      </c>
      <c r="L140" s="9">
        <v>0.10199999999999999</v>
      </c>
      <c r="M140" s="9">
        <v>9.1E-4</v>
      </c>
      <c r="N140" s="9">
        <v>3.7800000000000003E-4</v>
      </c>
      <c r="O140" s="9">
        <f>1.8*10^-5</f>
        <v>1.8E-5</v>
      </c>
      <c r="P140" s="9">
        <v>4.3299999999999996E-3</v>
      </c>
      <c r="Q140" s="9">
        <v>4.1700000000000001E-3</v>
      </c>
      <c r="R140" s="9">
        <v>9.9299999999999996E-3</v>
      </c>
      <c r="S140" s="9">
        <v>4.4200000000000003E-3</v>
      </c>
      <c r="T140" s="9">
        <v>1.7100000000000001E-2</v>
      </c>
      <c r="U140" s="9">
        <f>-9.13*10^-5</f>
        <v>-9.130000000000001E-5</v>
      </c>
      <c r="V140" s="9">
        <v>1.08E-3</v>
      </c>
      <c r="W140" s="9">
        <v>6.8900000000000003E-3</v>
      </c>
      <c r="X140" s="9">
        <v>4.7100000000000003E-2</v>
      </c>
      <c r="Y140" s="4" t="s">
        <v>286</v>
      </c>
    </row>
    <row r="141" spans="1:25" x14ac:dyDescent="0.3">
      <c r="A141" s="8">
        <v>10</v>
      </c>
      <c r="B141" s="9" t="s">
        <v>188</v>
      </c>
      <c r="C141" s="9" t="s">
        <v>188</v>
      </c>
      <c r="D141" s="9" t="s">
        <v>281</v>
      </c>
      <c r="E141" s="8">
        <v>1</v>
      </c>
      <c r="F141" s="8" t="s">
        <v>61</v>
      </c>
      <c r="G141" s="9">
        <v>6.4399999999999999E-2</v>
      </c>
      <c r="H141" s="9">
        <f>3.18*10^-9</f>
        <v>3.1800000000000002E-9</v>
      </c>
      <c r="I141" s="9">
        <f>8.19*10^-5</f>
        <v>8.1899999999999999E-5</v>
      </c>
      <c r="J141" s="9">
        <f>8.67*10^-5</f>
        <v>8.6700000000000007E-5</v>
      </c>
      <c r="K141" s="9">
        <v>9.8400000000000007E-4</v>
      </c>
      <c r="L141" s="9">
        <v>5.8799999999999998E-2</v>
      </c>
      <c r="M141" s="9">
        <v>1.6000000000000001E-4</v>
      </c>
      <c r="N141" s="9">
        <f>3.89*10^-5</f>
        <v>3.8900000000000004E-5</v>
      </c>
      <c r="O141" s="9">
        <f>7.42*10^-7</f>
        <v>7.4199999999999995E-7</v>
      </c>
      <c r="P141" s="9">
        <v>9.7300000000000002E-4</v>
      </c>
      <c r="Q141" s="9">
        <v>8.5499999999999997E-4</v>
      </c>
      <c r="R141" s="9">
        <v>2.2300000000000002E-3</v>
      </c>
      <c r="S141" s="9">
        <v>3.3E-4</v>
      </c>
      <c r="T141" s="9">
        <v>4.1799999999999997E-3</v>
      </c>
      <c r="U141" s="9">
        <f>-3.48*10^-5</f>
        <v>-3.4800000000000006E-5</v>
      </c>
      <c r="V141" s="9">
        <v>3.56E-2</v>
      </c>
      <c r="W141" s="9">
        <v>9.0499999999999999E-4</v>
      </c>
      <c r="X141" s="9">
        <v>6.8799999999999998E-3</v>
      </c>
    </row>
    <row r="142" spans="1:25" x14ac:dyDescent="0.3">
      <c r="A142" s="8">
        <v>11</v>
      </c>
      <c r="B142" s="9" t="s">
        <v>191</v>
      </c>
      <c r="C142" s="9" t="s">
        <v>191</v>
      </c>
      <c r="D142" s="9" t="s">
        <v>282</v>
      </c>
      <c r="E142" s="8">
        <v>1</v>
      </c>
      <c r="F142" s="8" t="s">
        <v>61</v>
      </c>
      <c r="G142" s="9">
        <v>7.9000000000000008E-3</v>
      </c>
      <c r="H142" s="9">
        <f>2.82*10^-9</f>
        <v>2.8200000000000002E-9</v>
      </c>
      <c r="I142" s="9">
        <f>5.46*10^-5</f>
        <v>5.4600000000000006E-5</v>
      </c>
      <c r="J142" s="9">
        <f>1.01*10^-6</f>
        <v>1.0099999999999999E-6</v>
      </c>
      <c r="K142" s="9">
        <f>2.49*10^-6</f>
        <v>2.4900000000000003E-6</v>
      </c>
      <c r="L142" s="9">
        <v>4.3600000000000003</v>
      </c>
      <c r="M142" s="9">
        <f>7.32*10^-5</f>
        <v>7.3200000000000004E-5</v>
      </c>
      <c r="N142" s="9">
        <f>2.45*10^-5</f>
        <v>2.4500000000000003E-5</v>
      </c>
      <c r="O142" s="9">
        <f>9.72*10^-7</f>
        <v>9.7199999999999997E-7</v>
      </c>
      <c r="P142" s="9">
        <v>3.2800000000000003E-2</v>
      </c>
      <c r="Q142" s="9">
        <v>0.03</v>
      </c>
      <c r="R142" s="9">
        <v>1.1100000000000001E-3</v>
      </c>
      <c r="S142" s="9">
        <v>4.37E-4</v>
      </c>
      <c r="T142" s="9">
        <v>5.1999999999999998E-3</v>
      </c>
      <c r="U142" s="9">
        <f>-5.52*10^-5</f>
        <v>-5.52E-5</v>
      </c>
      <c r="V142" s="9">
        <v>2.9300000000000002E-4</v>
      </c>
      <c r="W142" s="9">
        <v>3.8099999999999999E-4</v>
      </c>
      <c r="X142" s="9">
        <v>6.0699999999999999E-3</v>
      </c>
    </row>
    <row r="143" spans="1:25" x14ac:dyDescent="0.3">
      <c r="A143" s="7"/>
    </row>
    <row r="144" spans="1:25" x14ac:dyDescent="0.3">
      <c r="A144" s="7"/>
    </row>
    <row r="145" spans="1:1" x14ac:dyDescent="0.3">
      <c r="A145" s="7"/>
    </row>
    <row r="146" spans="1:1" x14ac:dyDescent="0.3">
      <c r="A146" s="7"/>
    </row>
  </sheetData>
  <mergeCells count="6">
    <mergeCell ref="A6:A7"/>
    <mergeCell ref="B6:B7"/>
    <mergeCell ref="C6:C7"/>
    <mergeCell ref="D6:D7"/>
    <mergeCell ref="E6:E7"/>
    <mergeCell ref="F6: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C401-0727-459B-9BBE-F1D72B8904F0}">
  <sheetPr codeName="Sheet3"/>
  <dimension ref="B2:E21"/>
  <sheetViews>
    <sheetView topLeftCell="A5" workbookViewId="0">
      <selection activeCell="B2" sqref="B2:B21"/>
    </sheetView>
  </sheetViews>
  <sheetFormatPr defaultRowHeight="15.6" x14ac:dyDescent="0.3"/>
  <cols>
    <col min="1" max="1" width="8.88671875" style="1"/>
    <col min="2" max="2" width="16.6640625" style="1" customWidth="1"/>
    <col min="3" max="5" width="16.21875" style="1" customWidth="1"/>
    <col min="6" max="16384" width="8.88671875" style="1"/>
  </cols>
  <sheetData>
    <row r="2" spans="2:5" ht="18" x14ac:dyDescent="0.3">
      <c r="B2" s="23" t="s">
        <v>8</v>
      </c>
      <c r="C2" s="21" t="s">
        <v>303</v>
      </c>
      <c r="D2" s="21"/>
      <c r="E2" s="21"/>
    </row>
    <row r="3" spans="2:5" x14ac:dyDescent="0.3">
      <c r="B3" s="23"/>
      <c r="C3" s="22" t="s">
        <v>300</v>
      </c>
      <c r="D3" s="22" t="s">
        <v>301</v>
      </c>
      <c r="E3" s="22" t="s">
        <v>302</v>
      </c>
    </row>
    <row r="4" spans="2:5" x14ac:dyDescent="0.3">
      <c r="B4" s="24" t="s">
        <v>12</v>
      </c>
      <c r="C4" s="25">
        <v>1.3999999999999999E-6</v>
      </c>
      <c r="D4" s="25">
        <v>7.9300000000000005E-9</v>
      </c>
      <c r="E4" s="25">
        <v>0</v>
      </c>
    </row>
    <row r="5" spans="2:5" x14ac:dyDescent="0.3">
      <c r="B5" s="24" t="s">
        <v>15</v>
      </c>
      <c r="C5" s="25">
        <v>1.7600000000000001E-3</v>
      </c>
      <c r="D5" s="25">
        <v>0</v>
      </c>
      <c r="E5" s="25">
        <v>0</v>
      </c>
    </row>
    <row r="6" spans="2:5" x14ac:dyDescent="0.3">
      <c r="B6" s="24" t="s">
        <v>18</v>
      </c>
      <c r="C6" s="25">
        <v>0</v>
      </c>
      <c r="D6" s="25">
        <v>5.7999999999999998E-9</v>
      </c>
      <c r="E6" s="25">
        <v>0</v>
      </c>
    </row>
    <row r="7" spans="2:5" x14ac:dyDescent="0.3">
      <c r="B7" s="24" t="s">
        <v>21</v>
      </c>
      <c r="C7" s="25">
        <v>0</v>
      </c>
      <c r="D7" s="25">
        <v>4.4400000000000001E-8</v>
      </c>
      <c r="E7" s="25">
        <v>0</v>
      </c>
    </row>
    <row r="8" spans="2:5" x14ac:dyDescent="0.3">
      <c r="B8" s="24" t="s">
        <v>24</v>
      </c>
      <c r="C8" s="25">
        <v>0</v>
      </c>
      <c r="D8" s="25">
        <v>1.6999999999999999E-9</v>
      </c>
      <c r="E8" s="25">
        <v>0</v>
      </c>
    </row>
    <row r="9" spans="2:5" x14ac:dyDescent="0.3">
      <c r="B9" s="24" t="s">
        <v>27</v>
      </c>
      <c r="C9" s="25">
        <v>5.3633333333333336E-7</v>
      </c>
      <c r="D9" s="25">
        <v>0</v>
      </c>
      <c r="E9" s="25">
        <v>0</v>
      </c>
    </row>
    <row r="10" spans="2:5" x14ac:dyDescent="0.3">
      <c r="B10" s="24" t="s">
        <v>30</v>
      </c>
      <c r="C10" s="25">
        <v>0</v>
      </c>
      <c r="D10" s="25">
        <v>3.8999999999999998E-8</v>
      </c>
      <c r="E10" s="25">
        <v>0</v>
      </c>
    </row>
    <row r="11" spans="2:5" x14ac:dyDescent="0.3">
      <c r="B11" s="24" t="s">
        <v>33</v>
      </c>
      <c r="C11" s="25">
        <v>0</v>
      </c>
      <c r="D11" s="25">
        <v>2.5999999999999998E-4</v>
      </c>
      <c r="E11" s="25">
        <v>0</v>
      </c>
    </row>
    <row r="12" spans="2:5" x14ac:dyDescent="0.3">
      <c r="B12" s="24" t="s">
        <v>36</v>
      </c>
      <c r="C12" s="25">
        <v>0</v>
      </c>
      <c r="D12" s="25">
        <v>5.2190333333333335E-8</v>
      </c>
      <c r="E12" s="25">
        <v>0</v>
      </c>
    </row>
    <row r="13" spans="2:5" x14ac:dyDescent="0.3">
      <c r="B13" s="24" t="s">
        <v>38</v>
      </c>
      <c r="C13" s="25">
        <v>0</v>
      </c>
      <c r="D13" s="25">
        <v>2.9107000000000001E-10</v>
      </c>
      <c r="E13" s="25">
        <v>0</v>
      </c>
    </row>
    <row r="14" spans="2:5" x14ac:dyDescent="0.3">
      <c r="B14" s="24" t="s">
        <v>40</v>
      </c>
      <c r="C14" s="25">
        <v>0</v>
      </c>
      <c r="D14" s="25">
        <v>2.9966666666666663E-11</v>
      </c>
      <c r="E14" s="25">
        <v>0</v>
      </c>
    </row>
    <row r="15" spans="2:5" x14ac:dyDescent="0.3">
      <c r="B15" s="24" t="s">
        <v>42</v>
      </c>
      <c r="C15" s="25">
        <v>6.0595666666666671E-9</v>
      </c>
      <c r="D15" s="25">
        <v>0</v>
      </c>
      <c r="E15" s="25">
        <v>0</v>
      </c>
    </row>
    <row r="16" spans="2:5" x14ac:dyDescent="0.3">
      <c r="B16" s="24" t="s">
        <v>45</v>
      </c>
      <c r="C16" s="25">
        <v>0</v>
      </c>
      <c r="D16" s="25">
        <v>1.9700000000000001E-8</v>
      </c>
      <c r="E16" s="25">
        <v>0</v>
      </c>
    </row>
    <row r="17" spans="2:5" x14ac:dyDescent="0.3">
      <c r="B17" s="24" t="s">
        <v>48</v>
      </c>
      <c r="C17" s="25">
        <v>0</v>
      </c>
      <c r="D17" s="25">
        <v>1.63E-8</v>
      </c>
      <c r="E17" s="25">
        <v>0</v>
      </c>
    </row>
    <row r="18" spans="2:5" x14ac:dyDescent="0.3">
      <c r="B18" s="24" t="s">
        <v>50</v>
      </c>
      <c r="C18" s="25">
        <v>0</v>
      </c>
      <c r="D18" s="25">
        <v>7.5499999999999997E-7</v>
      </c>
      <c r="E18" s="25">
        <v>0</v>
      </c>
    </row>
    <row r="19" spans="2:5" x14ac:dyDescent="0.3">
      <c r="B19" s="24" t="s">
        <v>53</v>
      </c>
      <c r="C19" s="25">
        <v>0</v>
      </c>
      <c r="D19" s="25">
        <v>1.3500604000000001E-8</v>
      </c>
      <c r="E19" s="25">
        <v>0</v>
      </c>
    </row>
    <row r="20" spans="2:5" x14ac:dyDescent="0.3">
      <c r="B20" s="24" t="s">
        <v>56</v>
      </c>
      <c r="C20" s="25">
        <v>0</v>
      </c>
      <c r="D20" s="25">
        <v>0</v>
      </c>
      <c r="E20" s="26">
        <v>7.1499999999999994E-2</v>
      </c>
    </row>
    <row r="21" spans="2:5" x14ac:dyDescent="0.3">
      <c r="B21" s="24" t="s">
        <v>59</v>
      </c>
      <c r="C21" s="25">
        <v>0</v>
      </c>
      <c r="D21" s="25">
        <v>0</v>
      </c>
      <c r="E21" s="25">
        <v>0.17199999999999999</v>
      </c>
    </row>
  </sheetData>
  <mergeCells count="2">
    <mergeCell ref="C2:E2"/>
    <mergeCell ref="B2: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5C13D-DD32-423D-89F8-97A50C5D7552}">
  <sheetPr codeName="Sheet4"/>
  <dimension ref="B2:E20"/>
  <sheetViews>
    <sheetView workbookViewId="0">
      <selection activeCell="H5" sqref="H5"/>
    </sheetView>
  </sheetViews>
  <sheetFormatPr defaultRowHeight="15.6" x14ac:dyDescent="0.3"/>
  <cols>
    <col min="1" max="1" width="8.88671875" style="1"/>
    <col min="2" max="2" width="16.6640625" style="1" customWidth="1"/>
    <col min="3" max="3" width="19.88671875" style="1" customWidth="1"/>
    <col min="4" max="5" width="21.109375" style="1" customWidth="1"/>
    <col min="6" max="16384" width="8.88671875" style="1"/>
  </cols>
  <sheetData>
    <row r="2" spans="2:5" s="28" customFormat="1" ht="49.2" x14ac:dyDescent="0.3">
      <c r="B2" s="27" t="s">
        <v>8</v>
      </c>
      <c r="C2" s="29" t="s">
        <v>304</v>
      </c>
      <c r="D2" s="30" t="s">
        <v>305</v>
      </c>
      <c r="E2" s="30" t="s">
        <v>306</v>
      </c>
    </row>
    <row r="3" spans="2:5" x14ac:dyDescent="0.3">
      <c r="B3" s="24" t="s">
        <v>12</v>
      </c>
      <c r="C3" s="26">
        <v>4078.7528006115863</v>
      </c>
      <c r="D3" s="25">
        <v>279310000000</v>
      </c>
      <c r="E3" s="25">
        <v>223448000000</v>
      </c>
    </row>
    <row r="4" spans="2:5" x14ac:dyDescent="0.3">
      <c r="B4" s="24" t="s">
        <v>15</v>
      </c>
      <c r="C4" s="26">
        <v>4.221485773857731E-3</v>
      </c>
      <c r="D4" s="25">
        <v>353000</v>
      </c>
      <c r="E4" s="25">
        <v>176500</v>
      </c>
    </row>
    <row r="5" spans="2:5" x14ac:dyDescent="0.3">
      <c r="B5" s="24" t="s">
        <v>18</v>
      </c>
      <c r="C5" s="26">
        <v>4.4780673614465627</v>
      </c>
      <c r="D5" s="25">
        <v>497240000</v>
      </c>
      <c r="E5" s="25">
        <v>228730400</v>
      </c>
    </row>
    <row r="6" spans="2:5" x14ac:dyDescent="0.3">
      <c r="B6" s="24" t="s">
        <v>21</v>
      </c>
      <c r="C6" s="26">
        <v>1.8557615148022462E-2</v>
      </c>
      <c r="D6" s="25">
        <v>2044136</v>
      </c>
      <c r="E6" s="25">
        <v>940302.56</v>
      </c>
    </row>
    <row r="7" spans="2:5" x14ac:dyDescent="0.3">
      <c r="B7" s="24" t="s">
        <v>24</v>
      </c>
      <c r="C7" s="26">
        <v>1.9031392768776438</v>
      </c>
      <c r="D7" s="25">
        <v>209632298</v>
      </c>
      <c r="E7" s="25">
        <v>96430857.079999998</v>
      </c>
    </row>
    <row r="8" spans="2:5" x14ac:dyDescent="0.3">
      <c r="B8" s="24" t="s">
        <v>27</v>
      </c>
      <c r="C8" s="26">
        <v>238.5956286282775</v>
      </c>
      <c r="D8" s="25">
        <v>1910000000000</v>
      </c>
      <c r="E8" s="25">
        <v>382000000000</v>
      </c>
    </row>
    <row r="9" spans="2:5" x14ac:dyDescent="0.3">
      <c r="B9" s="24" t="s">
        <v>30</v>
      </c>
      <c r="C9" s="26">
        <v>22.294417236371807</v>
      </c>
      <c r="D9" s="25">
        <v>1057869999.9999999</v>
      </c>
      <c r="E9" s="25">
        <v>528934999.99999994</v>
      </c>
    </row>
    <row r="10" spans="2:5" x14ac:dyDescent="0.3">
      <c r="B10" s="24" t="s">
        <v>33</v>
      </c>
      <c r="C10" s="26">
        <v>49.349047650209805</v>
      </c>
      <c r="D10" s="25">
        <v>3156138000</v>
      </c>
      <c r="E10" s="25">
        <v>1451823480</v>
      </c>
    </row>
    <row r="11" spans="2:5" x14ac:dyDescent="0.3">
      <c r="B11" s="24" t="s">
        <v>36</v>
      </c>
      <c r="C11" s="26">
        <v>19.787197683099034</v>
      </c>
      <c r="D11" s="25">
        <v>264000000000</v>
      </c>
      <c r="E11" s="25">
        <v>121440000000</v>
      </c>
    </row>
    <row r="12" spans="2:5" x14ac:dyDescent="0.3">
      <c r="B12" s="24" t="s">
        <v>38</v>
      </c>
      <c r="C12" s="26">
        <v>96.687443224233917</v>
      </c>
      <c r="D12" s="25">
        <v>1290000000000</v>
      </c>
      <c r="E12" s="25">
        <v>593400000000</v>
      </c>
    </row>
    <row r="13" spans="2:5" x14ac:dyDescent="0.3">
      <c r="B13" s="24" t="s">
        <v>40</v>
      </c>
      <c r="C13" s="26">
        <v>430221.64659465326</v>
      </c>
      <c r="D13" s="25">
        <v>5740000000000000</v>
      </c>
      <c r="E13" s="25">
        <v>2640400000000000</v>
      </c>
    </row>
    <row r="14" spans="2:5" x14ac:dyDescent="0.3">
      <c r="B14" s="24" t="s">
        <v>42</v>
      </c>
      <c r="C14" s="26">
        <v>70.454415992852631</v>
      </c>
      <c r="D14" s="25">
        <v>564000000000</v>
      </c>
      <c r="E14" s="25">
        <v>535800000000</v>
      </c>
    </row>
    <row r="15" spans="2:5" x14ac:dyDescent="0.3">
      <c r="B15" s="24" t="s">
        <v>45</v>
      </c>
      <c r="C15" s="26">
        <v>3493.7560972288366</v>
      </c>
      <c r="D15" s="25">
        <v>230904000000</v>
      </c>
      <c r="E15" s="25">
        <v>196268400000</v>
      </c>
    </row>
    <row r="16" spans="2:5" x14ac:dyDescent="0.3">
      <c r="B16" s="24" t="s">
        <v>48</v>
      </c>
      <c r="C16" s="26">
        <v>553.74115559012091</v>
      </c>
      <c r="D16" s="25">
        <v>36597016000</v>
      </c>
      <c r="E16" s="25">
        <v>34767165200</v>
      </c>
    </row>
    <row r="17" spans="2:5" x14ac:dyDescent="0.3">
      <c r="B17" s="24" t="s">
        <v>50</v>
      </c>
      <c r="C17" s="26">
        <v>3716.4051854673462</v>
      </c>
      <c r="D17" s="25">
        <v>245618984000</v>
      </c>
      <c r="E17" s="25">
        <v>159652339600</v>
      </c>
    </row>
    <row r="18" spans="2:5" x14ac:dyDescent="0.3">
      <c r="B18" s="24" t="s">
        <v>53</v>
      </c>
      <c r="C18" s="26">
        <v>315.60000000000002</v>
      </c>
      <c r="D18" s="25">
        <v>19662576000.000004</v>
      </c>
      <c r="E18" s="25">
        <v>9831288000.0000019</v>
      </c>
    </row>
    <row r="19" spans="2:5" x14ac:dyDescent="0.3">
      <c r="B19" s="24" t="s">
        <v>56</v>
      </c>
      <c r="C19" s="26">
        <v>80.193098929913873</v>
      </c>
      <c r="D19" s="25">
        <v>6403000000</v>
      </c>
      <c r="E19" s="25">
        <v>1920900000</v>
      </c>
    </row>
    <row r="20" spans="2:5" x14ac:dyDescent="0.3">
      <c r="B20" s="24" t="s">
        <v>59</v>
      </c>
      <c r="C20" s="26">
        <v>1065.5339413602144</v>
      </c>
      <c r="D20" s="25">
        <v>74394925230.108002</v>
      </c>
      <c r="E20" s="25">
        <v>52076447661.0756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Method</vt:lpstr>
      <vt:lpstr>Midpoint</vt:lpstr>
      <vt:lpstr>Endpoint</vt:lpstr>
      <vt:lpstr>Single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Chindamanee Pokson</dc:creator>
  <cp:lastModifiedBy>Chindamanee Pokson</cp:lastModifiedBy>
  <dcterms:created xsi:type="dcterms:W3CDTF">2023-10-31T03:01:14Z</dcterms:created>
  <dcterms:modified xsi:type="dcterms:W3CDTF">2023-10-31T04:35:52Z</dcterms:modified>
</cp:coreProperties>
</file>